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comments3.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udistritaleduco-my.sharepoint.com/personal/pmo6ofex_udistrital_edu_co/Documents/Documentos/"/>
    </mc:Choice>
  </mc:AlternateContent>
  <xr:revisionPtr revIDLastSave="1" documentId="8_{0F4D490C-7BA6-4428-B6D8-7F985C9459DB}" xr6:coauthVersionLast="47" xr6:coauthVersionMax="47" xr10:uidLastSave="{B124E822-358D-4D01-877C-6997DA6EDC15}"/>
  <bookViews>
    <workbookView xWindow="-120" yWindow="-120" windowWidth="29040" windowHeight="15840" firstSheet="5" activeTab="5" xr2:uid="{00000000-000D-0000-FFFF-FFFF00000000}"/>
  </bookViews>
  <sheets>
    <sheet name="LISTAS DESPLEGABLES" sheetId="8" r:id="rId1"/>
    <sheet name="COTIZACIONES 2025" sheetId="10" r:id="rId2"/>
    <sheet name="PROPUESTAS 2025" sheetId="11" r:id="rId3"/>
    <sheet name="borrador 08.04.25" sheetId="6" state="hidden" r:id="rId4"/>
    <sheet name="respaldo 15.04 1.50 pm" sheetId="14" state="hidden" r:id="rId5"/>
    <sheet name="PROYECTOS VIGENCIA 2025" sheetId="13" r:id="rId6"/>
    <sheet name="ESTADÍSTICAS " sheetId="12" r:id="rId7"/>
    <sheet name="Hoja1" sheetId="15" r:id="rId8"/>
  </sheets>
  <definedNames>
    <definedName name="_xlnm._FilterDatabase" localSheetId="3" hidden="1">'borrador 08.04.25'!$R$125:$R$125</definedName>
    <definedName name="_xlnm._FilterDatabase" localSheetId="6" hidden="1">'ESTADÍSTICAS '!$A$32:$D$38</definedName>
    <definedName name="_xlnm._FilterDatabase" localSheetId="5" hidden="1">'borrador 08.04.25'!$R$125:$R$125</definedName>
    <definedName name="_xlnm._FilterDatabase" localSheetId="4" hidden="1">'borrador 08.04.25'!$R$125:$R$125</definedName>
  </definedNames>
  <calcPr calcId="191029"/>
  <pivotCaches>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0" i="10" l="1"/>
  <c r="H100" i="10" s="1"/>
  <c r="AA34" i="13"/>
  <c r="Z30" i="13"/>
  <c r="AB29" i="13"/>
  <c r="Z29" i="13"/>
  <c r="U12" i="13"/>
  <c r="Z4" i="13"/>
  <c r="C4" i="15"/>
  <c r="U6" i="13"/>
  <c r="Q87" i="13"/>
  <c r="F9" i="12"/>
  <c r="U85" i="13"/>
  <c r="V85" i="13"/>
  <c r="Q85" i="13"/>
  <c r="K85" i="13" s="1"/>
  <c r="Q86" i="13"/>
  <c r="Q84" i="13"/>
  <c r="U80" i="13"/>
  <c r="T10" i="13"/>
  <c r="V10" i="13" s="1"/>
  <c r="S10" i="13"/>
  <c r="V79" i="13"/>
  <c r="U83" i="13"/>
  <c r="U4" i="13"/>
  <c r="U5" i="13"/>
  <c r="U7" i="13"/>
  <c r="U8" i="13"/>
  <c r="U9" i="13"/>
  <c r="U11" i="13"/>
  <c r="U13" i="13"/>
  <c r="U14" i="13"/>
  <c r="U16" i="13"/>
  <c r="U17" i="13"/>
  <c r="U18" i="13"/>
  <c r="U19" i="13"/>
  <c r="U20" i="13"/>
  <c r="U21" i="13"/>
  <c r="U22" i="13"/>
  <c r="U23" i="13"/>
  <c r="U24" i="13"/>
  <c r="U25" i="13"/>
  <c r="U26" i="13"/>
  <c r="U27" i="13"/>
  <c r="U28" i="13"/>
  <c r="U29" i="13"/>
  <c r="U30" i="13"/>
  <c r="U31" i="13"/>
  <c r="U32" i="13"/>
  <c r="U33" i="13"/>
  <c r="U34" i="13"/>
  <c r="U35" i="13"/>
  <c r="U36" i="13"/>
  <c r="U37" i="13"/>
  <c r="U38" i="13"/>
  <c r="U39" i="13"/>
  <c r="U40" i="13"/>
  <c r="U41" i="13"/>
  <c r="U42" i="13"/>
  <c r="U43" i="13"/>
  <c r="U44" i="13"/>
  <c r="U45" i="13"/>
  <c r="U46" i="13"/>
  <c r="U47" i="13"/>
  <c r="U48" i="13"/>
  <c r="U49" i="13"/>
  <c r="U50" i="13"/>
  <c r="U51" i="13"/>
  <c r="U52" i="13"/>
  <c r="U53" i="13"/>
  <c r="U54" i="13"/>
  <c r="U55" i="13"/>
  <c r="U56" i="13"/>
  <c r="U57" i="13"/>
  <c r="U58" i="13"/>
  <c r="U59" i="13"/>
  <c r="U60" i="13"/>
  <c r="U61" i="13"/>
  <c r="U62" i="13"/>
  <c r="U63" i="13"/>
  <c r="U64" i="13"/>
  <c r="U65" i="13"/>
  <c r="U66" i="13"/>
  <c r="U67" i="13"/>
  <c r="U68" i="13"/>
  <c r="U69" i="13"/>
  <c r="U70" i="13"/>
  <c r="U71" i="13"/>
  <c r="U72" i="13"/>
  <c r="U73" i="13"/>
  <c r="U74" i="13"/>
  <c r="U75" i="13"/>
  <c r="U76" i="13"/>
  <c r="U77" i="13"/>
  <c r="U78" i="13"/>
  <c r="U79" i="13"/>
  <c r="U81" i="13"/>
  <c r="U82" i="13"/>
  <c r="U84" i="13"/>
  <c r="U86" i="13"/>
  <c r="U87" i="13"/>
  <c r="U88" i="13"/>
  <c r="U89" i="13"/>
  <c r="U90" i="13"/>
  <c r="U91" i="13"/>
  <c r="U92" i="13"/>
  <c r="U93" i="13"/>
  <c r="U94" i="13"/>
  <c r="U95" i="13"/>
  <c r="U96" i="13"/>
  <c r="U97" i="13"/>
  <c r="U98" i="13"/>
  <c r="U99" i="13"/>
  <c r="U100" i="13"/>
  <c r="U101" i="13"/>
  <c r="U102" i="13"/>
  <c r="U103" i="13"/>
  <c r="U104" i="13"/>
  <c r="U105" i="13"/>
  <c r="U106" i="13"/>
  <c r="U107" i="13"/>
  <c r="U108" i="13"/>
  <c r="U109" i="13"/>
  <c r="U110" i="13"/>
  <c r="U111" i="13"/>
  <c r="U112" i="13"/>
  <c r="U113" i="13"/>
  <c r="U114" i="13"/>
  <c r="U115" i="13"/>
  <c r="U116" i="13"/>
  <c r="U117" i="13"/>
  <c r="U118" i="13"/>
  <c r="U119" i="13"/>
  <c r="U120" i="13"/>
  <c r="U121" i="13"/>
  <c r="U122" i="13"/>
  <c r="U3" i="13"/>
  <c r="V84" i="13"/>
  <c r="V83" i="13"/>
  <c r="V3" i="13"/>
  <c r="V122" i="13"/>
  <c r="V121" i="13"/>
  <c r="V120" i="13"/>
  <c r="V119" i="13"/>
  <c r="V118" i="13"/>
  <c r="V117" i="13"/>
  <c r="V116" i="13"/>
  <c r="V115" i="13"/>
  <c r="V114" i="13"/>
  <c r="V113" i="13"/>
  <c r="V112" i="13"/>
  <c r="V111" i="13"/>
  <c r="V110" i="13"/>
  <c r="V109" i="13"/>
  <c r="V108" i="13"/>
  <c r="V107" i="13"/>
  <c r="V106" i="13"/>
  <c r="V105" i="13"/>
  <c r="V104" i="13"/>
  <c r="V103" i="13"/>
  <c r="V102" i="13"/>
  <c r="V101" i="13"/>
  <c r="V100" i="13"/>
  <c r="V99" i="13"/>
  <c r="V98" i="13"/>
  <c r="V97" i="13"/>
  <c r="V96" i="13"/>
  <c r="V95" i="13"/>
  <c r="V94" i="13"/>
  <c r="V93" i="13"/>
  <c r="V92" i="13"/>
  <c r="V91" i="13"/>
  <c r="V90" i="13"/>
  <c r="V89" i="13"/>
  <c r="V88" i="13"/>
  <c r="V87" i="13"/>
  <c r="V86" i="13"/>
  <c r="V82" i="13"/>
  <c r="V81" i="13"/>
  <c r="V80" i="13"/>
  <c r="V78" i="13"/>
  <c r="V77" i="13"/>
  <c r="V76" i="13"/>
  <c r="V75" i="13"/>
  <c r="V74" i="13"/>
  <c r="V73" i="13"/>
  <c r="V72" i="13"/>
  <c r="V71" i="13"/>
  <c r="V70" i="13"/>
  <c r="V69" i="13"/>
  <c r="V68" i="13"/>
  <c r="V67" i="13"/>
  <c r="V66" i="13"/>
  <c r="V65" i="13"/>
  <c r="V64" i="13"/>
  <c r="V63" i="13"/>
  <c r="V62" i="13"/>
  <c r="V61" i="13"/>
  <c r="V60" i="13"/>
  <c r="V59" i="13"/>
  <c r="V58" i="13"/>
  <c r="V57" i="13"/>
  <c r="V56" i="13"/>
  <c r="V55" i="13"/>
  <c r="V54" i="13"/>
  <c r="V53" i="13"/>
  <c r="V52" i="13"/>
  <c r="V51" i="13"/>
  <c r="V50" i="13"/>
  <c r="V49" i="13"/>
  <c r="V48" i="13"/>
  <c r="V47" i="13"/>
  <c r="V46" i="13"/>
  <c r="V45" i="13"/>
  <c r="V44" i="13"/>
  <c r="V43" i="13"/>
  <c r="V42" i="13"/>
  <c r="V41" i="13"/>
  <c r="V40" i="13"/>
  <c r="V39" i="13"/>
  <c r="V38" i="13"/>
  <c r="V37" i="13"/>
  <c r="V36" i="13"/>
  <c r="V35" i="13"/>
  <c r="V34" i="13"/>
  <c r="V33" i="13"/>
  <c r="V32" i="13"/>
  <c r="V31" i="13"/>
  <c r="V30" i="13"/>
  <c r="V29" i="13"/>
  <c r="V28" i="13"/>
  <c r="V27" i="13"/>
  <c r="V26" i="13"/>
  <c r="V25" i="13"/>
  <c r="V24" i="13"/>
  <c r="V23" i="13"/>
  <c r="V22" i="13"/>
  <c r="V21" i="13"/>
  <c r="V20" i="13"/>
  <c r="V19" i="13"/>
  <c r="V18" i="13"/>
  <c r="V17" i="13"/>
  <c r="V16" i="13"/>
  <c r="V14" i="13"/>
  <c r="V13" i="13"/>
  <c r="V12" i="13"/>
  <c r="V11" i="13"/>
  <c r="V9" i="13"/>
  <c r="V8" i="13"/>
  <c r="V7" i="13"/>
  <c r="V6" i="13"/>
  <c r="V5" i="13"/>
  <c r="X5" i="13" s="1"/>
  <c r="V4" i="13"/>
  <c r="Q79" i="13"/>
  <c r="AA36" i="13"/>
  <c r="AA38" i="13"/>
  <c r="Z67" i="13"/>
  <c r="AA69" i="13"/>
  <c r="B72" i="10"/>
  <c r="Q45" i="13"/>
  <c r="Q29" i="13"/>
  <c r="T15" i="13"/>
  <c r="V15" i="13" s="1"/>
  <c r="J61" i="10"/>
  <c r="Q58" i="13"/>
  <c r="Q57" i="13"/>
  <c r="K57" i="13" s="1"/>
  <c r="Q36" i="13"/>
  <c r="K36" i="13" s="1"/>
  <c r="U10" i="13" l="1"/>
  <c r="U15" i="13"/>
  <c r="AE22" i="13"/>
  <c r="AD22" i="13"/>
  <c r="L22" i="13" s="1"/>
  <c r="B31" i="10"/>
  <c r="B26" i="10"/>
  <c r="B16" i="10"/>
  <c r="B40" i="10"/>
  <c r="B35" i="10"/>
  <c r="B39" i="10"/>
  <c r="B34" i="10"/>
  <c r="B33" i="10"/>
  <c r="B41" i="10"/>
  <c r="B37" i="10"/>
  <c r="B36" i="10"/>
  <c r="B38" i="10"/>
  <c r="B30" i="10"/>
  <c r="B32" i="10"/>
  <c r="B50" i="10"/>
  <c r="B49" i="10"/>
  <c r="B51" i="10"/>
  <c r="B56" i="10"/>
  <c r="B55" i="10"/>
  <c r="B54" i="10"/>
  <c r="B57" i="10"/>
  <c r="B58" i="10"/>
  <c r="B59" i="10"/>
  <c r="B52" i="10"/>
  <c r="B53" i="10"/>
  <c r="B43" i="10"/>
  <c r="B42" i="10"/>
  <c r="B46" i="10"/>
  <c r="B44" i="10"/>
  <c r="B60" i="10"/>
  <c r="B61" i="10"/>
  <c r="B45" i="10"/>
  <c r="B47" i="10"/>
  <c r="B48" i="10"/>
  <c r="B78" i="10"/>
  <c r="B69" i="10"/>
  <c r="B65" i="10"/>
  <c r="B70" i="10"/>
  <c r="B73" i="10"/>
  <c r="B76" i="10"/>
  <c r="B66" i="10"/>
  <c r="B67" i="10"/>
  <c r="B74" i="10"/>
  <c r="B71" i="10"/>
  <c r="B68" i="10"/>
  <c r="B80" i="10"/>
  <c r="B62" i="10"/>
  <c r="B63" i="10"/>
  <c r="B64" i="10"/>
  <c r="B75" i="10"/>
  <c r="B79" i="10"/>
  <c r="B77"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6" i="10"/>
  <c r="B2" i="10"/>
  <c r="J159" i="11"/>
  <c r="J160" i="11"/>
  <c r="AE12" i="13"/>
  <c r="AE10" i="13"/>
  <c r="AE28" i="13"/>
  <c r="AE29" i="13"/>
  <c r="AE30" i="13"/>
  <c r="AE31" i="13"/>
  <c r="AE32" i="13"/>
  <c r="AE33" i="13"/>
  <c r="AE34" i="13"/>
  <c r="AE35" i="13"/>
  <c r="AE36" i="13"/>
  <c r="AE37" i="13"/>
  <c r="AE38" i="13"/>
  <c r="AE39" i="13"/>
  <c r="AE40" i="13"/>
  <c r="AE41" i="13"/>
  <c r="AE42" i="13"/>
  <c r="AE43" i="13"/>
  <c r="AE44" i="13"/>
  <c r="AE48" i="13"/>
  <c r="AE45" i="13"/>
  <c r="AE49" i="13"/>
  <c r="AE46" i="13"/>
  <c r="AE15" i="13"/>
  <c r="AE51" i="13"/>
  <c r="AE14" i="13"/>
  <c r="AE16" i="13"/>
  <c r="AE17" i="13"/>
  <c r="AE18" i="13"/>
  <c r="AE47" i="13"/>
  <c r="AE50" i="13"/>
  <c r="AE52" i="13"/>
  <c r="AE53" i="13"/>
  <c r="AE19" i="13"/>
  <c r="AE20" i="13"/>
  <c r="AE23" i="13"/>
  <c r="AE21" i="13"/>
  <c r="AE24" i="13"/>
  <c r="AE25" i="13"/>
  <c r="AE26" i="13"/>
  <c r="AE27" i="13"/>
  <c r="AE66" i="13"/>
  <c r="AE67" i="13"/>
  <c r="AE70" i="13"/>
  <c r="AE54" i="13"/>
  <c r="AE55" i="13"/>
  <c r="AE56" i="13"/>
  <c r="AE62" i="13"/>
  <c r="AE60" i="13"/>
  <c r="AE59" i="13"/>
  <c r="AE61" i="13"/>
  <c r="AE72" i="13"/>
  <c r="AE71" i="13"/>
  <c r="AE57" i="13"/>
  <c r="AE69" i="13"/>
  <c r="AE73" i="13"/>
  <c r="AE58" i="13"/>
  <c r="AE75" i="13"/>
  <c r="AE76" i="13"/>
  <c r="AE63" i="13"/>
  <c r="AE74" i="13"/>
  <c r="AE64" i="13"/>
  <c r="AE77" i="13"/>
  <c r="AE65" i="13"/>
  <c r="AE78" i="13"/>
  <c r="AE79" i="13"/>
  <c r="AE80" i="13"/>
  <c r="AE81" i="13"/>
  <c r="AE82" i="13"/>
  <c r="AE83" i="13"/>
  <c r="AE84" i="13"/>
  <c r="AE85" i="13"/>
  <c r="AE86" i="13"/>
  <c r="AE87" i="13"/>
  <c r="AE88" i="13"/>
  <c r="AE89" i="13"/>
  <c r="AE90" i="13"/>
  <c r="AE91" i="13"/>
  <c r="AE92" i="13"/>
  <c r="AE93" i="13"/>
  <c r="AE94" i="13"/>
  <c r="AE95" i="13"/>
  <c r="AE96" i="13"/>
  <c r="AE97" i="13"/>
  <c r="AE98" i="13"/>
  <c r="AE99" i="13"/>
  <c r="AE100" i="13"/>
  <c r="AE101" i="13"/>
  <c r="AE102" i="13"/>
  <c r="AE103" i="13"/>
  <c r="AE104" i="13"/>
  <c r="AE105" i="13"/>
  <c r="AE106" i="13"/>
  <c r="AE107" i="13"/>
  <c r="AE108" i="13"/>
  <c r="AE109" i="13"/>
  <c r="AE110" i="13"/>
  <c r="AE111" i="13"/>
  <c r="AE112" i="13"/>
  <c r="AE113" i="13"/>
  <c r="AE114" i="13"/>
  <c r="AE115" i="13"/>
  <c r="AE116" i="13"/>
  <c r="AE117" i="13"/>
  <c r="AE118" i="13"/>
  <c r="AE119" i="13"/>
  <c r="AE120" i="13"/>
  <c r="AE121" i="13"/>
  <c r="AE122" i="13"/>
  <c r="AE4" i="13"/>
  <c r="AD4" i="13"/>
  <c r="L4" i="13" s="1"/>
  <c r="AD5" i="13"/>
  <c r="L5" i="13" s="1"/>
  <c r="AD6" i="13"/>
  <c r="L6" i="13" s="1"/>
  <c r="AD7" i="13"/>
  <c r="L7" i="13" s="1"/>
  <c r="AD8" i="13"/>
  <c r="L8" i="13" s="1"/>
  <c r="AD9" i="13"/>
  <c r="L9" i="13" s="1"/>
  <c r="AD10" i="13"/>
  <c r="L10" i="13" s="1"/>
  <c r="AD11" i="13"/>
  <c r="L11" i="13" s="1"/>
  <c r="AD12" i="13"/>
  <c r="L12" i="13" s="1"/>
  <c r="AD13" i="13"/>
  <c r="L13" i="13" s="1"/>
  <c r="AD28" i="13"/>
  <c r="L28" i="13" s="1"/>
  <c r="AD29" i="13"/>
  <c r="L29" i="13" s="1"/>
  <c r="AD30" i="13"/>
  <c r="L30" i="13" s="1"/>
  <c r="AD31" i="13"/>
  <c r="L31" i="13" s="1"/>
  <c r="AD32" i="13"/>
  <c r="L32" i="13" s="1"/>
  <c r="AD33" i="13"/>
  <c r="L33" i="13" s="1"/>
  <c r="AD34" i="13"/>
  <c r="L34" i="13" s="1"/>
  <c r="AD35" i="13"/>
  <c r="L35" i="13" s="1"/>
  <c r="AD36" i="13"/>
  <c r="AD37" i="13"/>
  <c r="L37" i="13" s="1"/>
  <c r="AD38" i="13"/>
  <c r="L38" i="13" s="1"/>
  <c r="AD39" i="13"/>
  <c r="L39" i="13" s="1"/>
  <c r="AD40" i="13"/>
  <c r="L40" i="13" s="1"/>
  <c r="AD41" i="13"/>
  <c r="L41" i="13" s="1"/>
  <c r="AD42" i="13"/>
  <c r="L42" i="13" s="1"/>
  <c r="AD43" i="13"/>
  <c r="L43" i="13" s="1"/>
  <c r="AD44" i="13"/>
  <c r="L44" i="13" s="1"/>
  <c r="AD48" i="13"/>
  <c r="L48" i="13" s="1"/>
  <c r="AD45" i="13"/>
  <c r="L45" i="13" s="1"/>
  <c r="AD49" i="13"/>
  <c r="L49" i="13" s="1"/>
  <c r="AD46" i="13"/>
  <c r="L46" i="13" s="1"/>
  <c r="AD15" i="13"/>
  <c r="L15" i="13" s="1"/>
  <c r="AD51" i="13"/>
  <c r="L51" i="13" s="1"/>
  <c r="AD14" i="13"/>
  <c r="L14" i="13" s="1"/>
  <c r="AD16" i="13"/>
  <c r="L16" i="13" s="1"/>
  <c r="AD17" i="13"/>
  <c r="L17" i="13" s="1"/>
  <c r="AD18" i="13"/>
  <c r="L18" i="13" s="1"/>
  <c r="AD47" i="13"/>
  <c r="L47" i="13" s="1"/>
  <c r="AD50" i="13"/>
  <c r="L50" i="13" s="1"/>
  <c r="AD52" i="13"/>
  <c r="L52" i="13" s="1"/>
  <c r="AD53" i="13"/>
  <c r="L53" i="13" s="1"/>
  <c r="AD19" i="13"/>
  <c r="L19" i="13" s="1"/>
  <c r="AD20" i="13"/>
  <c r="L20" i="13" s="1"/>
  <c r="AD23" i="13"/>
  <c r="L23" i="13" s="1"/>
  <c r="AD21" i="13"/>
  <c r="L21" i="13" s="1"/>
  <c r="AD24" i="13"/>
  <c r="L24" i="13" s="1"/>
  <c r="AD25" i="13"/>
  <c r="L25" i="13" s="1"/>
  <c r="AD26" i="13"/>
  <c r="L26" i="13" s="1"/>
  <c r="AD27" i="13"/>
  <c r="L27" i="13" s="1"/>
  <c r="AD68" i="13"/>
  <c r="L68" i="13" s="1"/>
  <c r="AD66" i="13"/>
  <c r="L66" i="13" s="1"/>
  <c r="AD67" i="13"/>
  <c r="L67" i="13" s="1"/>
  <c r="AD70" i="13"/>
  <c r="L70" i="13" s="1"/>
  <c r="AD54" i="13"/>
  <c r="L54" i="13" s="1"/>
  <c r="AD55" i="13"/>
  <c r="L55" i="13" s="1"/>
  <c r="AD56" i="13"/>
  <c r="L56" i="13" s="1"/>
  <c r="AD62" i="13"/>
  <c r="L62" i="13" s="1"/>
  <c r="AD60" i="13"/>
  <c r="L60" i="13" s="1"/>
  <c r="AD59" i="13"/>
  <c r="L59" i="13" s="1"/>
  <c r="AD61" i="13"/>
  <c r="L61" i="13" s="1"/>
  <c r="AD72" i="13"/>
  <c r="L72" i="13" s="1"/>
  <c r="AD71" i="13"/>
  <c r="L71" i="13" s="1"/>
  <c r="AD57" i="13"/>
  <c r="AD69" i="13"/>
  <c r="L69" i="13" s="1"/>
  <c r="AD73" i="13"/>
  <c r="L73" i="13" s="1"/>
  <c r="AD58" i="13"/>
  <c r="L58" i="13" s="1"/>
  <c r="AD75" i="13"/>
  <c r="L75" i="13" s="1"/>
  <c r="AD76" i="13"/>
  <c r="L76" i="13" s="1"/>
  <c r="AD63" i="13"/>
  <c r="L63" i="13" s="1"/>
  <c r="AD74" i="13"/>
  <c r="L74" i="13" s="1"/>
  <c r="AD64" i="13"/>
  <c r="L64" i="13" s="1"/>
  <c r="AD77" i="13"/>
  <c r="L77" i="13" s="1"/>
  <c r="AD65" i="13"/>
  <c r="L65" i="13" s="1"/>
  <c r="AD78" i="13"/>
  <c r="L78" i="13" s="1"/>
  <c r="AD79" i="13"/>
  <c r="L79" i="13" s="1"/>
  <c r="AD80" i="13"/>
  <c r="L80" i="13" s="1"/>
  <c r="AD81" i="13"/>
  <c r="L81" i="13" s="1"/>
  <c r="AD82" i="13"/>
  <c r="L82" i="13" s="1"/>
  <c r="AD83" i="13"/>
  <c r="L83" i="13" s="1"/>
  <c r="AD84" i="13"/>
  <c r="L84" i="13" s="1"/>
  <c r="AD85" i="13"/>
  <c r="AD86" i="13"/>
  <c r="L86" i="13" s="1"/>
  <c r="AD87" i="13"/>
  <c r="L87" i="13" s="1"/>
  <c r="AD88" i="13"/>
  <c r="L88" i="13" s="1"/>
  <c r="AD89" i="13"/>
  <c r="L89" i="13" s="1"/>
  <c r="AD90" i="13"/>
  <c r="L90" i="13" s="1"/>
  <c r="AD91" i="13"/>
  <c r="L91" i="13" s="1"/>
  <c r="AD92" i="13"/>
  <c r="L92" i="13" s="1"/>
  <c r="AD93" i="13"/>
  <c r="L93" i="13" s="1"/>
  <c r="AD94" i="13"/>
  <c r="L94" i="13" s="1"/>
  <c r="AD95" i="13"/>
  <c r="L95" i="13" s="1"/>
  <c r="AD96" i="13"/>
  <c r="L96" i="13" s="1"/>
  <c r="AD97" i="13"/>
  <c r="L97" i="13" s="1"/>
  <c r="AD98" i="13"/>
  <c r="L98" i="13" s="1"/>
  <c r="AD99" i="13"/>
  <c r="L99" i="13" s="1"/>
  <c r="AD100" i="13"/>
  <c r="L100" i="13" s="1"/>
  <c r="AD101" i="13"/>
  <c r="L101" i="13" s="1"/>
  <c r="AD102" i="13"/>
  <c r="L102" i="13" s="1"/>
  <c r="AD103" i="13"/>
  <c r="L103" i="13" s="1"/>
  <c r="AD104" i="13"/>
  <c r="L104" i="13" s="1"/>
  <c r="AD105" i="13"/>
  <c r="L105" i="13" s="1"/>
  <c r="AD106" i="13"/>
  <c r="L106" i="13" s="1"/>
  <c r="AD107" i="13"/>
  <c r="L107" i="13" s="1"/>
  <c r="AD108" i="13"/>
  <c r="L108" i="13" s="1"/>
  <c r="AD109" i="13"/>
  <c r="L109" i="13" s="1"/>
  <c r="AD110" i="13"/>
  <c r="L110" i="13" s="1"/>
  <c r="AD111" i="13"/>
  <c r="L111" i="13" s="1"/>
  <c r="AD112" i="13"/>
  <c r="L112" i="13" s="1"/>
  <c r="AD113" i="13"/>
  <c r="L113" i="13" s="1"/>
  <c r="AD114" i="13"/>
  <c r="L114" i="13" s="1"/>
  <c r="AD115" i="13"/>
  <c r="L115" i="13" s="1"/>
  <c r="AD116" i="13"/>
  <c r="L116" i="13" s="1"/>
  <c r="AD117" i="13"/>
  <c r="L117" i="13" s="1"/>
  <c r="AD118" i="13"/>
  <c r="L118" i="13" s="1"/>
  <c r="AD119" i="13"/>
  <c r="L119" i="13" s="1"/>
  <c r="AD120" i="13"/>
  <c r="L120" i="13" s="1"/>
  <c r="AD121" i="13"/>
  <c r="L121" i="13" s="1"/>
  <c r="AD122" i="13"/>
  <c r="L122" i="13" s="1"/>
  <c r="AD3" i="13"/>
  <c r="L3" i="13" s="1"/>
  <c r="Q3" i="13"/>
  <c r="K3" i="13" s="1"/>
  <c r="Q5" i="13"/>
  <c r="K5" i="13" s="1"/>
  <c r="Q6" i="13"/>
  <c r="K6" i="13" s="1"/>
  <c r="Q7" i="13"/>
  <c r="K7" i="13" s="1"/>
  <c r="Q8" i="13"/>
  <c r="K8" i="13" s="1"/>
  <c r="Q9" i="13"/>
  <c r="K9" i="13" s="1"/>
  <c r="Q10" i="13"/>
  <c r="K10" i="13" s="1"/>
  <c r="Q11" i="13"/>
  <c r="K11" i="13" s="1"/>
  <c r="Q12" i="13"/>
  <c r="K12" i="13" s="1"/>
  <c r="Q13" i="13"/>
  <c r="K13" i="13" s="1"/>
  <c r="Q28" i="13"/>
  <c r="K28" i="13" s="1"/>
  <c r="K29" i="13"/>
  <c r="Q30" i="13"/>
  <c r="K30" i="13" s="1"/>
  <c r="Q31" i="13"/>
  <c r="K31" i="13" s="1"/>
  <c r="Q32" i="13"/>
  <c r="K32" i="13" s="1"/>
  <c r="Q33" i="13"/>
  <c r="K33" i="13" s="1"/>
  <c r="Q34" i="13"/>
  <c r="K34" i="13" s="1"/>
  <c r="Q35" i="13"/>
  <c r="K35" i="13" s="1"/>
  <c r="Q37" i="13"/>
  <c r="K37" i="13" s="1"/>
  <c r="Q38" i="13"/>
  <c r="K38" i="13" s="1"/>
  <c r="Q39" i="13"/>
  <c r="K39" i="13" s="1"/>
  <c r="Q40" i="13"/>
  <c r="K40" i="13" s="1"/>
  <c r="Q41" i="13"/>
  <c r="K41" i="13" s="1"/>
  <c r="Q42" i="13"/>
  <c r="K42" i="13" s="1"/>
  <c r="Q43" i="13"/>
  <c r="K43" i="13" s="1"/>
  <c r="Q44" i="13"/>
  <c r="K44" i="13" s="1"/>
  <c r="Q48" i="13"/>
  <c r="K48" i="13" s="1"/>
  <c r="K45" i="13"/>
  <c r="Q49" i="13"/>
  <c r="K49" i="13" s="1"/>
  <c r="Q46" i="13"/>
  <c r="K46" i="13" s="1"/>
  <c r="Q15" i="13"/>
  <c r="K15" i="13" s="1"/>
  <c r="Q51" i="13"/>
  <c r="K51" i="13" s="1"/>
  <c r="Q14" i="13"/>
  <c r="K14" i="13" s="1"/>
  <c r="Q16" i="13"/>
  <c r="K16" i="13" s="1"/>
  <c r="Q17" i="13"/>
  <c r="K17" i="13" s="1"/>
  <c r="Q18" i="13"/>
  <c r="K18" i="13" s="1"/>
  <c r="Q47" i="13"/>
  <c r="K47" i="13" s="1"/>
  <c r="Q50" i="13"/>
  <c r="K50" i="13" s="1"/>
  <c r="Q52" i="13"/>
  <c r="K52" i="13" s="1"/>
  <c r="Q53" i="13"/>
  <c r="K53" i="13" s="1"/>
  <c r="Q19" i="13"/>
  <c r="K19" i="13" s="1"/>
  <c r="Q20" i="13"/>
  <c r="K20" i="13" s="1"/>
  <c r="Q23" i="13"/>
  <c r="K23" i="13" s="1"/>
  <c r="Q21" i="13"/>
  <c r="K21" i="13" s="1"/>
  <c r="Q24" i="13"/>
  <c r="K24" i="13" s="1"/>
  <c r="Q25" i="13"/>
  <c r="K25" i="13" s="1"/>
  <c r="Q26" i="13"/>
  <c r="K26" i="13" s="1"/>
  <c r="Q22" i="13"/>
  <c r="K22" i="13" s="1"/>
  <c r="Q27" i="13"/>
  <c r="K27" i="13" s="1"/>
  <c r="Q68" i="13"/>
  <c r="K68" i="13" s="1"/>
  <c r="Q66" i="13"/>
  <c r="K66" i="13" s="1"/>
  <c r="Q67" i="13"/>
  <c r="K67" i="13" s="1"/>
  <c r="Q70" i="13"/>
  <c r="K70" i="13" s="1"/>
  <c r="Q54" i="13"/>
  <c r="K54" i="13" s="1"/>
  <c r="Q55" i="13"/>
  <c r="K55" i="13" s="1"/>
  <c r="Q56" i="13"/>
  <c r="K56" i="13" s="1"/>
  <c r="Q62" i="13"/>
  <c r="K62" i="13" s="1"/>
  <c r="Q60" i="13"/>
  <c r="K60" i="13" s="1"/>
  <c r="Q59" i="13"/>
  <c r="K59" i="13" s="1"/>
  <c r="Q61" i="13"/>
  <c r="K61" i="13" s="1"/>
  <c r="Q72" i="13"/>
  <c r="K72" i="13" s="1"/>
  <c r="Q71" i="13"/>
  <c r="K71" i="13" s="1"/>
  <c r="Q69" i="13"/>
  <c r="K69" i="13" s="1"/>
  <c r="Q73" i="13"/>
  <c r="K73" i="13" s="1"/>
  <c r="K58" i="13"/>
  <c r="Q75" i="13"/>
  <c r="K75" i="13" s="1"/>
  <c r="Q76" i="13"/>
  <c r="K76" i="13" s="1"/>
  <c r="Q63" i="13"/>
  <c r="K63" i="13" s="1"/>
  <c r="Q74" i="13"/>
  <c r="K74" i="13" s="1"/>
  <c r="Q64" i="13"/>
  <c r="K64" i="13" s="1"/>
  <c r="Q77" i="13"/>
  <c r="K77" i="13" s="1"/>
  <c r="Q65" i="13"/>
  <c r="K65" i="13" s="1"/>
  <c r="Q78" i="13"/>
  <c r="K78" i="13" s="1"/>
  <c r="K79" i="13"/>
  <c r="Q80" i="13"/>
  <c r="K80" i="13" s="1"/>
  <c r="Q81" i="13"/>
  <c r="K81" i="13" s="1"/>
  <c r="Q82" i="13"/>
  <c r="K82" i="13" s="1"/>
  <c r="Q83" i="13"/>
  <c r="K83" i="13" s="1"/>
  <c r="K84" i="13"/>
  <c r="K86" i="13"/>
  <c r="M86" i="13" s="1"/>
  <c r="K87" i="13"/>
  <c r="Q88" i="13"/>
  <c r="K88" i="13" s="1"/>
  <c r="M88" i="13" s="1"/>
  <c r="Q89" i="13"/>
  <c r="K89" i="13" s="1"/>
  <c r="M89" i="13" s="1"/>
  <c r="Q90" i="13"/>
  <c r="K90" i="13" s="1"/>
  <c r="M90" i="13" s="1"/>
  <c r="Q91" i="13"/>
  <c r="K91" i="13" s="1"/>
  <c r="M91" i="13" s="1"/>
  <c r="Q92" i="13"/>
  <c r="K92" i="13" s="1"/>
  <c r="M92" i="13" s="1"/>
  <c r="Q93" i="13"/>
  <c r="K93" i="13" s="1"/>
  <c r="M93" i="13" s="1"/>
  <c r="Q94" i="13"/>
  <c r="K94" i="13" s="1"/>
  <c r="M94" i="13" s="1"/>
  <c r="Q95" i="13"/>
  <c r="K95" i="13" s="1"/>
  <c r="M95" i="13" s="1"/>
  <c r="Q96" i="13"/>
  <c r="K96" i="13" s="1"/>
  <c r="M96" i="13" s="1"/>
  <c r="Q97" i="13"/>
  <c r="K97" i="13" s="1"/>
  <c r="M97" i="13" s="1"/>
  <c r="Q98" i="13"/>
  <c r="K98" i="13" s="1"/>
  <c r="M98" i="13" s="1"/>
  <c r="Q99" i="13"/>
  <c r="K99" i="13" s="1"/>
  <c r="M99" i="13" s="1"/>
  <c r="Q100" i="13"/>
  <c r="K100" i="13" s="1"/>
  <c r="M100" i="13" s="1"/>
  <c r="Q101" i="13"/>
  <c r="K101" i="13" s="1"/>
  <c r="M101" i="13" s="1"/>
  <c r="Q102" i="13"/>
  <c r="K102" i="13" s="1"/>
  <c r="M102" i="13" s="1"/>
  <c r="Q103" i="13"/>
  <c r="K103" i="13" s="1"/>
  <c r="M103" i="13" s="1"/>
  <c r="Q104" i="13"/>
  <c r="K104" i="13" s="1"/>
  <c r="M104" i="13" s="1"/>
  <c r="Q105" i="13"/>
  <c r="K105" i="13" s="1"/>
  <c r="M105" i="13" s="1"/>
  <c r="Q106" i="13"/>
  <c r="K106" i="13" s="1"/>
  <c r="M106" i="13" s="1"/>
  <c r="Q107" i="13"/>
  <c r="K107" i="13" s="1"/>
  <c r="M107" i="13" s="1"/>
  <c r="Q108" i="13"/>
  <c r="K108" i="13" s="1"/>
  <c r="M108" i="13" s="1"/>
  <c r="Q109" i="13"/>
  <c r="K109" i="13" s="1"/>
  <c r="M109" i="13" s="1"/>
  <c r="Q110" i="13"/>
  <c r="K110" i="13" s="1"/>
  <c r="M110" i="13" s="1"/>
  <c r="Q111" i="13"/>
  <c r="K111" i="13" s="1"/>
  <c r="M111" i="13" s="1"/>
  <c r="Q112" i="13"/>
  <c r="K112" i="13" s="1"/>
  <c r="M112" i="13" s="1"/>
  <c r="Q113" i="13"/>
  <c r="K113" i="13" s="1"/>
  <c r="M113" i="13" s="1"/>
  <c r="Q114" i="13"/>
  <c r="K114" i="13" s="1"/>
  <c r="M114" i="13" s="1"/>
  <c r="Q115" i="13"/>
  <c r="K115" i="13" s="1"/>
  <c r="M115" i="13" s="1"/>
  <c r="Q116" i="13"/>
  <c r="K116" i="13" s="1"/>
  <c r="M116" i="13" s="1"/>
  <c r="Q117" i="13"/>
  <c r="K117" i="13" s="1"/>
  <c r="M117" i="13" s="1"/>
  <c r="Q118" i="13"/>
  <c r="K118" i="13" s="1"/>
  <c r="M118" i="13" s="1"/>
  <c r="Q119" i="13"/>
  <c r="K119" i="13" s="1"/>
  <c r="M119" i="13" s="1"/>
  <c r="Q120" i="13"/>
  <c r="K120" i="13" s="1"/>
  <c r="M120" i="13" s="1"/>
  <c r="Q121" i="13"/>
  <c r="K121" i="13" s="1"/>
  <c r="M121" i="13" s="1"/>
  <c r="Q122" i="13"/>
  <c r="K122" i="13" s="1"/>
  <c r="M122" i="13" s="1"/>
  <c r="X57" i="13"/>
  <c r="X48" i="13"/>
  <c r="X7" i="13"/>
  <c r="BH122" i="14"/>
  <c r="BF122" i="14"/>
  <c r="BG122" i="14" s="1"/>
  <c r="AN122" i="14"/>
  <c r="AM122" i="14" a="1"/>
  <c r="AM122" i="14" s="1"/>
  <c r="U122" i="14"/>
  <c r="T122" i="14"/>
  <c r="M122" i="14"/>
  <c r="BH121" i="14"/>
  <c r="BF121" i="14"/>
  <c r="BG121" i="14" s="1"/>
  <c r="AN121" i="14"/>
  <c r="AM121" i="14" a="1"/>
  <c r="AM121" i="14" s="1"/>
  <c r="AO121" i="14" s="1"/>
  <c r="U121" i="14"/>
  <c r="T121" i="14"/>
  <c r="M121" i="14"/>
  <c r="BH120" i="14"/>
  <c r="BF120" i="14"/>
  <c r="BG120" i="14" s="1"/>
  <c r="AN120" i="14"/>
  <c r="AM120" i="14" a="1"/>
  <c r="AM120" i="14" s="1"/>
  <c r="U120" i="14"/>
  <c r="T120" i="14"/>
  <c r="M120" i="14"/>
  <c r="BH119" i="14"/>
  <c r="BF119" i="14"/>
  <c r="BG119" i="14" s="1"/>
  <c r="AN119" i="14"/>
  <c r="AM119" i="14" a="1"/>
  <c r="AM119" i="14" s="1"/>
  <c r="AO119" i="14" s="1"/>
  <c r="U119" i="14"/>
  <c r="T119" i="14"/>
  <c r="M119" i="14"/>
  <c r="BH118" i="14"/>
  <c r="BF118" i="14"/>
  <c r="BG118" i="14" s="1"/>
  <c r="AN118" i="14"/>
  <c r="AM118" i="14" a="1"/>
  <c r="AM118" i="14" s="1"/>
  <c r="U118" i="14"/>
  <c r="T118" i="14"/>
  <c r="M118" i="14"/>
  <c r="BH117" i="14"/>
  <c r="BF117" i="14"/>
  <c r="BG117" i="14" s="1"/>
  <c r="AN117" i="14"/>
  <c r="AM117" i="14" a="1"/>
  <c r="AM117" i="14" s="1"/>
  <c r="AO117" i="14" s="1"/>
  <c r="U117" i="14"/>
  <c r="T117" i="14"/>
  <c r="M117" i="14"/>
  <c r="BH116" i="14"/>
  <c r="BF116" i="14"/>
  <c r="BG116" i="14" s="1"/>
  <c r="AN116" i="14"/>
  <c r="AM116" i="14" a="1"/>
  <c r="AM116" i="14" s="1"/>
  <c r="U116" i="14"/>
  <c r="T116" i="14"/>
  <c r="M116" i="14"/>
  <c r="BH115" i="14"/>
  <c r="BF115" i="14"/>
  <c r="BG115" i="14" s="1"/>
  <c r="AN115" i="14"/>
  <c r="AM115" i="14" a="1"/>
  <c r="AM115" i="14" s="1"/>
  <c r="AO115" i="14" s="1"/>
  <c r="U115" i="14"/>
  <c r="T115" i="14"/>
  <c r="M115" i="14"/>
  <c r="BH114" i="14"/>
  <c r="BF114" i="14"/>
  <c r="BG114" i="14" s="1"/>
  <c r="AN114" i="14"/>
  <c r="AM114" i="14" a="1"/>
  <c r="AM114" i="14" s="1"/>
  <c r="U114" i="14"/>
  <c r="T114" i="14"/>
  <c r="M114" i="14"/>
  <c r="BH113" i="14"/>
  <c r="BF113" i="14"/>
  <c r="BG113" i="14" s="1"/>
  <c r="AN113" i="14"/>
  <c r="AM113" i="14" a="1"/>
  <c r="AM113" i="14" s="1"/>
  <c r="AO113" i="14" s="1"/>
  <c r="U113" i="14"/>
  <c r="T113" i="14"/>
  <c r="M113" i="14"/>
  <c r="BH112" i="14"/>
  <c r="BF112" i="14"/>
  <c r="BG112" i="14" s="1"/>
  <c r="AN112" i="14"/>
  <c r="AM112" i="14" a="1"/>
  <c r="AM112" i="14" s="1"/>
  <c r="U112" i="14"/>
  <c r="T112" i="14"/>
  <c r="M112" i="14"/>
  <c r="BH111" i="14"/>
  <c r="BF111" i="14"/>
  <c r="BG111" i="14" s="1"/>
  <c r="AN111" i="14"/>
  <c r="AM111" i="14" a="1"/>
  <c r="AM111" i="14" s="1"/>
  <c r="AO111" i="14" s="1"/>
  <c r="U111" i="14"/>
  <c r="T111" i="14"/>
  <c r="M111" i="14"/>
  <c r="BH110" i="14"/>
  <c r="BF110" i="14"/>
  <c r="BG110" i="14" s="1"/>
  <c r="AN110" i="14"/>
  <c r="AM110" i="14" a="1"/>
  <c r="AM110" i="14" s="1"/>
  <c r="U110" i="14"/>
  <c r="T110" i="14"/>
  <c r="M110" i="14"/>
  <c r="BH109" i="14"/>
  <c r="BF109" i="14"/>
  <c r="BG109" i="14" s="1"/>
  <c r="AN109" i="14"/>
  <c r="AM109" i="14" a="1"/>
  <c r="AM109" i="14" s="1"/>
  <c r="AO109" i="14" s="1"/>
  <c r="U109" i="14"/>
  <c r="T109" i="14"/>
  <c r="M109" i="14"/>
  <c r="BH108" i="14"/>
  <c r="BF108" i="14"/>
  <c r="BG108" i="14" s="1"/>
  <c r="AN108" i="14"/>
  <c r="AM108" i="14" a="1"/>
  <c r="AM108" i="14" s="1"/>
  <c r="U108" i="14"/>
  <c r="T108" i="14"/>
  <c r="M108" i="14"/>
  <c r="BH107" i="14"/>
  <c r="BF107" i="14"/>
  <c r="BG107" i="14" s="1"/>
  <c r="AN107" i="14"/>
  <c r="AM107" i="14" a="1"/>
  <c r="AM107" i="14" s="1"/>
  <c r="AO107" i="14" s="1"/>
  <c r="U107" i="14"/>
  <c r="T107" i="14"/>
  <c r="M107" i="14"/>
  <c r="BH106" i="14"/>
  <c r="BF106" i="14"/>
  <c r="BG106" i="14" s="1"/>
  <c r="AN106" i="14"/>
  <c r="AM106" i="14" a="1"/>
  <c r="AM106" i="14" s="1"/>
  <c r="U106" i="14"/>
  <c r="T106" i="14"/>
  <c r="M106" i="14"/>
  <c r="BH105" i="14"/>
  <c r="BF105" i="14"/>
  <c r="BG105" i="14" s="1"/>
  <c r="AN105" i="14"/>
  <c r="AM105" i="14" a="1"/>
  <c r="AM105" i="14" s="1"/>
  <c r="AO105" i="14" s="1"/>
  <c r="U105" i="14"/>
  <c r="T105" i="14"/>
  <c r="M105" i="14"/>
  <c r="BH104" i="14"/>
  <c r="BF104" i="14"/>
  <c r="BG104" i="14" s="1"/>
  <c r="AN104" i="14"/>
  <c r="AM104" i="14" a="1"/>
  <c r="AM104" i="14" s="1"/>
  <c r="U104" i="14"/>
  <c r="T104" i="14"/>
  <c r="M104" i="14"/>
  <c r="BH103" i="14"/>
  <c r="BF103" i="14"/>
  <c r="BG103" i="14" s="1"/>
  <c r="AN103" i="14"/>
  <c r="AM103" i="14" a="1"/>
  <c r="AM103" i="14" s="1"/>
  <c r="AO103" i="14" s="1"/>
  <c r="U103" i="14"/>
  <c r="T103" i="14"/>
  <c r="M103" i="14"/>
  <c r="BH102" i="14"/>
  <c r="BF102" i="14"/>
  <c r="BG102" i="14" s="1"/>
  <c r="AN102" i="14"/>
  <c r="AM102" i="14" a="1"/>
  <c r="AM102" i="14" s="1"/>
  <c r="U102" i="14"/>
  <c r="T102" i="14"/>
  <c r="M102" i="14"/>
  <c r="BH101" i="14"/>
  <c r="BF101" i="14"/>
  <c r="BG101" i="14" s="1"/>
  <c r="AN101" i="14"/>
  <c r="AM101" i="14" a="1"/>
  <c r="AM101" i="14" s="1"/>
  <c r="AO101" i="14" s="1"/>
  <c r="U101" i="14"/>
  <c r="T101" i="14"/>
  <c r="M101" i="14"/>
  <c r="BH100" i="14"/>
  <c r="BF100" i="14"/>
  <c r="BG100" i="14" s="1"/>
  <c r="AN100" i="14"/>
  <c r="AM100" i="14" a="1"/>
  <c r="AM100" i="14" s="1"/>
  <c r="U100" i="14"/>
  <c r="T100" i="14"/>
  <c r="M100" i="14"/>
  <c r="BH99" i="14"/>
  <c r="BF99" i="14"/>
  <c r="BG99" i="14" s="1"/>
  <c r="AN99" i="14"/>
  <c r="AM99" i="14" a="1"/>
  <c r="AM99" i="14" s="1"/>
  <c r="AO99" i="14" s="1"/>
  <c r="U99" i="14"/>
  <c r="T99" i="14"/>
  <c r="M99" i="14"/>
  <c r="BH98" i="14"/>
  <c r="BF98" i="14"/>
  <c r="BG98" i="14" s="1"/>
  <c r="AN98" i="14"/>
  <c r="AM98" i="14" a="1"/>
  <c r="AM98" i="14" s="1"/>
  <c r="U98" i="14"/>
  <c r="T98" i="14"/>
  <c r="M98" i="14"/>
  <c r="BH97" i="14"/>
  <c r="BF97" i="14"/>
  <c r="BG97" i="14" s="1"/>
  <c r="AN97" i="14"/>
  <c r="AM97" i="14" a="1"/>
  <c r="AM97" i="14" s="1"/>
  <c r="AO97" i="14" s="1"/>
  <c r="U97" i="14"/>
  <c r="T97" i="14"/>
  <c r="M97" i="14"/>
  <c r="BH96" i="14"/>
  <c r="BF96" i="14"/>
  <c r="BG96" i="14" s="1"/>
  <c r="AN96" i="14"/>
  <c r="AM96" i="14" a="1"/>
  <c r="AM96" i="14" s="1"/>
  <c r="U96" i="14"/>
  <c r="T96" i="14"/>
  <c r="M96" i="14"/>
  <c r="BH95" i="14"/>
  <c r="BF95" i="14"/>
  <c r="BG95" i="14" s="1"/>
  <c r="AN95" i="14"/>
  <c r="AM95" i="14" a="1"/>
  <c r="AM95" i="14" s="1"/>
  <c r="AO95" i="14" s="1"/>
  <c r="U95" i="14"/>
  <c r="T95" i="14"/>
  <c r="M95" i="14"/>
  <c r="BH94" i="14"/>
  <c r="BF94" i="14"/>
  <c r="BG94" i="14" s="1"/>
  <c r="AN94" i="14"/>
  <c r="AM94" i="14" a="1"/>
  <c r="AM94" i="14" s="1"/>
  <c r="U94" i="14"/>
  <c r="T94" i="14"/>
  <c r="M94" i="14"/>
  <c r="BH93" i="14"/>
  <c r="BF93" i="14"/>
  <c r="BG93" i="14" s="1"/>
  <c r="AN93" i="14"/>
  <c r="AM93" i="14" a="1"/>
  <c r="AM93" i="14" s="1"/>
  <c r="AO93" i="14" s="1"/>
  <c r="U93" i="14"/>
  <c r="T93" i="14"/>
  <c r="M93" i="14"/>
  <c r="BH92" i="14"/>
  <c r="BF92" i="14"/>
  <c r="BG92" i="14" s="1"/>
  <c r="AN92" i="14"/>
  <c r="AM92" i="14" a="1"/>
  <c r="AM92" i="14" s="1"/>
  <c r="U92" i="14"/>
  <c r="T92" i="14"/>
  <c r="M92" i="14"/>
  <c r="BH91" i="14"/>
  <c r="BF91" i="14"/>
  <c r="BG91" i="14" s="1"/>
  <c r="AN91" i="14"/>
  <c r="AM91" i="14" a="1"/>
  <c r="AM91" i="14" s="1"/>
  <c r="AO91" i="14" s="1"/>
  <c r="U91" i="14"/>
  <c r="T91" i="14"/>
  <c r="M91" i="14"/>
  <c r="BH90" i="14"/>
  <c r="BF90" i="14"/>
  <c r="BG90" i="14" s="1"/>
  <c r="AN90" i="14"/>
  <c r="AM90" i="14" a="1"/>
  <c r="AM90" i="14" s="1"/>
  <c r="U90" i="14"/>
  <c r="T90" i="14"/>
  <c r="M90" i="14"/>
  <c r="BH89" i="14"/>
  <c r="BF89" i="14"/>
  <c r="BG89" i="14" s="1"/>
  <c r="AN89" i="14"/>
  <c r="AM89" i="14" a="1"/>
  <c r="AM89" i="14" s="1"/>
  <c r="AO89" i="14" s="1"/>
  <c r="U89" i="14"/>
  <c r="T89" i="14"/>
  <c r="M89" i="14"/>
  <c r="BH88" i="14"/>
  <c r="BF88" i="14"/>
  <c r="BG88" i="14" s="1"/>
  <c r="AN88" i="14"/>
  <c r="AM88" i="14" a="1"/>
  <c r="AM88" i="14" s="1"/>
  <c r="U88" i="14"/>
  <c r="T88" i="14"/>
  <c r="M88" i="14"/>
  <c r="BH87" i="14"/>
  <c r="BF87" i="14"/>
  <c r="BG87" i="14" s="1"/>
  <c r="AN87" i="14"/>
  <c r="AM87" i="14" a="1"/>
  <c r="AM87" i="14" s="1"/>
  <c r="AO87" i="14" s="1"/>
  <c r="U87" i="14"/>
  <c r="T87" i="14"/>
  <c r="M87" i="14"/>
  <c r="BH86" i="14"/>
  <c r="BF86" i="14"/>
  <c r="BG86" i="14" s="1"/>
  <c r="AN86" i="14"/>
  <c r="AM86" i="14" a="1"/>
  <c r="AM86" i="14" s="1"/>
  <c r="U86" i="14"/>
  <c r="T86" i="14"/>
  <c r="M86" i="14"/>
  <c r="BH85" i="14"/>
  <c r="BF85" i="14"/>
  <c r="BG85" i="14" s="1"/>
  <c r="AN85" i="14"/>
  <c r="AM85" i="14" a="1"/>
  <c r="AM85" i="14" s="1"/>
  <c r="AO85" i="14" s="1"/>
  <c r="U85" i="14"/>
  <c r="T85" i="14"/>
  <c r="M85" i="14"/>
  <c r="BH84" i="14"/>
  <c r="BF84" i="14"/>
  <c r="BG84" i="14" s="1"/>
  <c r="AN84" i="14"/>
  <c r="AM84" i="14" a="1"/>
  <c r="AM84" i="14" s="1"/>
  <c r="U84" i="14"/>
  <c r="T84" i="14"/>
  <c r="M84" i="14"/>
  <c r="BH83" i="14"/>
  <c r="BF83" i="14"/>
  <c r="BG83" i="14" s="1"/>
  <c r="AN83" i="14"/>
  <c r="AM83" i="14" a="1"/>
  <c r="AM83" i="14" s="1"/>
  <c r="AO83" i="14" s="1"/>
  <c r="U83" i="14"/>
  <c r="T83" i="14"/>
  <c r="M83" i="14"/>
  <c r="BH82" i="14"/>
  <c r="BF82" i="14"/>
  <c r="BG82" i="14" s="1"/>
  <c r="AN82" i="14"/>
  <c r="AM82" i="14" a="1"/>
  <c r="AM82" i="14" s="1"/>
  <c r="U82" i="14"/>
  <c r="T82" i="14"/>
  <c r="M82" i="14"/>
  <c r="BH81" i="14"/>
  <c r="BF81" i="14"/>
  <c r="BG81" i="14" s="1"/>
  <c r="AN81" i="14"/>
  <c r="AM81" i="14" a="1"/>
  <c r="AM81" i="14" s="1"/>
  <c r="AO81" i="14" s="1"/>
  <c r="U81" i="14"/>
  <c r="T81" i="14"/>
  <c r="M81" i="14"/>
  <c r="BH80" i="14"/>
  <c r="BF80" i="14"/>
  <c r="BG80" i="14" s="1"/>
  <c r="AN80" i="14"/>
  <c r="AM80" i="14" a="1"/>
  <c r="AM80" i="14" s="1"/>
  <c r="U80" i="14"/>
  <c r="T80" i="14"/>
  <c r="M80" i="14"/>
  <c r="BH79" i="14"/>
  <c r="BF79" i="14"/>
  <c r="BG79" i="14" s="1"/>
  <c r="AN79" i="14"/>
  <c r="AM79" i="14" a="1"/>
  <c r="AM79" i="14" s="1"/>
  <c r="AO79" i="14" s="1"/>
  <c r="U79" i="14"/>
  <c r="T79" i="14"/>
  <c r="M79" i="14"/>
  <c r="BH78" i="14"/>
  <c r="BF78" i="14"/>
  <c r="BG78" i="14" s="1"/>
  <c r="AN78" i="14"/>
  <c r="AM78" i="14" a="1"/>
  <c r="AM78" i="14" s="1"/>
  <c r="U78" i="14"/>
  <c r="T78" i="14"/>
  <c r="M78" i="14"/>
  <c r="BH77" i="14"/>
  <c r="BF77" i="14"/>
  <c r="BG77" i="14" s="1"/>
  <c r="AN77" i="14"/>
  <c r="AM77" i="14" a="1"/>
  <c r="AM77" i="14" s="1"/>
  <c r="AO77" i="14" s="1"/>
  <c r="U77" i="14"/>
  <c r="T77" i="14"/>
  <c r="M77" i="14"/>
  <c r="BH76" i="14"/>
  <c r="BF76" i="14"/>
  <c r="BG76" i="14" s="1"/>
  <c r="AN76" i="14"/>
  <c r="AM76" i="14" a="1"/>
  <c r="AM76" i="14" s="1"/>
  <c r="U76" i="14"/>
  <c r="T76" i="14"/>
  <c r="M76" i="14"/>
  <c r="BH75" i="14"/>
  <c r="BF75" i="14"/>
  <c r="BG75" i="14" s="1"/>
  <c r="AN75" i="14"/>
  <c r="AM75" i="14" a="1"/>
  <c r="AM75" i="14" s="1"/>
  <c r="AO75" i="14" s="1"/>
  <c r="U75" i="14"/>
  <c r="T75" i="14"/>
  <c r="M75" i="14"/>
  <c r="BH74" i="14"/>
  <c r="BF74" i="14"/>
  <c r="BG74" i="14" s="1"/>
  <c r="AN74" i="14"/>
  <c r="AM74" i="14" a="1"/>
  <c r="AM74" i="14" s="1"/>
  <c r="U74" i="14"/>
  <c r="T74" i="14"/>
  <c r="M74" i="14"/>
  <c r="BH73" i="14"/>
  <c r="BF73" i="14"/>
  <c r="BG73" i="14" s="1"/>
  <c r="AN73" i="14"/>
  <c r="AM73" i="14" a="1"/>
  <c r="AM73" i="14" s="1"/>
  <c r="AO73" i="14" s="1"/>
  <c r="U73" i="14"/>
  <c r="T73" i="14"/>
  <c r="M73" i="14"/>
  <c r="BH72" i="14"/>
  <c r="BF72" i="14"/>
  <c r="BG72" i="14" s="1"/>
  <c r="AN72" i="14"/>
  <c r="AM72" i="14" a="1"/>
  <c r="AM72" i="14" s="1"/>
  <c r="U72" i="14"/>
  <c r="T72" i="14"/>
  <c r="M72" i="14"/>
  <c r="BH71" i="14"/>
  <c r="BF71" i="14"/>
  <c r="BG71" i="14" s="1"/>
  <c r="AN71" i="14"/>
  <c r="AM71" i="14" a="1"/>
  <c r="AM71" i="14" s="1"/>
  <c r="AO71" i="14" s="1"/>
  <c r="U71" i="14"/>
  <c r="T71" i="14"/>
  <c r="M71" i="14"/>
  <c r="BH70" i="14"/>
  <c r="BF70" i="14"/>
  <c r="BG70" i="14" s="1"/>
  <c r="AN70" i="14"/>
  <c r="AM70" i="14" a="1"/>
  <c r="AM70" i="14" s="1"/>
  <c r="U70" i="14"/>
  <c r="T70" i="14"/>
  <c r="M70" i="14"/>
  <c r="BH69" i="14"/>
  <c r="BF69" i="14"/>
  <c r="BG69" i="14" s="1"/>
  <c r="AN69" i="14"/>
  <c r="AM69" i="14" a="1"/>
  <c r="AM69" i="14" s="1"/>
  <c r="AO69" i="14" s="1"/>
  <c r="U69" i="14"/>
  <c r="T69" i="14"/>
  <c r="M69" i="14"/>
  <c r="BH68" i="14"/>
  <c r="BF68" i="14"/>
  <c r="BG68" i="14" s="1"/>
  <c r="AN68" i="14"/>
  <c r="AM68" i="14" a="1"/>
  <c r="AM68" i="14" s="1"/>
  <c r="U68" i="14"/>
  <c r="T68" i="14"/>
  <c r="M68" i="14"/>
  <c r="BH67" i="14"/>
  <c r="BF67" i="14"/>
  <c r="BG67" i="14" s="1"/>
  <c r="AN67" i="14"/>
  <c r="AM67" i="14" a="1"/>
  <c r="AM67" i="14" s="1"/>
  <c r="AO67" i="14" s="1"/>
  <c r="U67" i="14"/>
  <c r="T67" i="14"/>
  <c r="M67" i="14"/>
  <c r="BH66" i="14"/>
  <c r="BF66" i="14"/>
  <c r="BG66" i="14" s="1"/>
  <c r="AN66" i="14"/>
  <c r="AM66" i="14" a="1"/>
  <c r="AM66" i="14" s="1"/>
  <c r="U66" i="14"/>
  <c r="T66" i="14"/>
  <c r="M66" i="14"/>
  <c r="BH65" i="14"/>
  <c r="BF65" i="14"/>
  <c r="BG65" i="14" s="1"/>
  <c r="AN65" i="14"/>
  <c r="AM65" i="14" a="1"/>
  <c r="AM65" i="14" s="1"/>
  <c r="AO65" i="14" s="1"/>
  <c r="U65" i="14"/>
  <c r="T65" i="14"/>
  <c r="M65" i="14"/>
  <c r="BH64" i="14"/>
  <c r="BF64" i="14"/>
  <c r="BG64" i="14" s="1"/>
  <c r="AN64" i="14"/>
  <c r="AM64" i="14" a="1"/>
  <c r="AM64" i="14" s="1"/>
  <c r="U64" i="14"/>
  <c r="T64" i="14"/>
  <c r="M64" i="14"/>
  <c r="BF63" i="14"/>
  <c r="BG63" i="14" s="1"/>
  <c r="BH63" i="14" s="1"/>
  <c r="AN63" i="14"/>
  <c r="AM63" i="14" a="1"/>
  <c r="AM63" i="14" s="1"/>
  <c r="U63" i="14"/>
  <c r="T63" i="14"/>
  <c r="M63" i="14"/>
  <c r="BH62" i="14"/>
  <c r="BF62" i="14"/>
  <c r="BG62" i="14" s="1"/>
  <c r="AN62" i="14"/>
  <c r="AM62" i="14" a="1"/>
  <c r="AM62" i="14" s="1"/>
  <c r="AO62" i="14" s="1"/>
  <c r="U62" i="14"/>
  <c r="T62" i="14"/>
  <c r="M62" i="14"/>
  <c r="BF61" i="14"/>
  <c r="BG61" i="14" s="1"/>
  <c r="BH61" i="14" s="1"/>
  <c r="AN61" i="14"/>
  <c r="AM61" i="14" a="1"/>
  <c r="AM61" i="14" s="1"/>
  <c r="AO61" i="14" s="1"/>
  <c r="U61" i="14"/>
  <c r="T61" i="14"/>
  <c r="M61" i="14"/>
  <c r="BF60" i="14"/>
  <c r="BG60" i="14" s="1"/>
  <c r="BH60" i="14" s="1"/>
  <c r="AN60" i="14"/>
  <c r="AM60" i="14" a="1"/>
  <c r="AM60" i="14" s="1"/>
  <c r="AO60" i="14" s="1"/>
  <c r="U60" i="14"/>
  <c r="T60" i="14"/>
  <c r="M60" i="14"/>
  <c r="BF59" i="14"/>
  <c r="BG59" i="14" s="1"/>
  <c r="BH59" i="14" s="1"/>
  <c r="AN59" i="14"/>
  <c r="AM59" i="14" a="1"/>
  <c r="AM59" i="14" s="1"/>
  <c r="AO59" i="14" s="1"/>
  <c r="U59" i="14"/>
  <c r="T59" i="14"/>
  <c r="M59" i="14"/>
  <c r="BH58" i="14"/>
  <c r="BF58" i="14"/>
  <c r="BG58" i="14" s="1"/>
  <c r="AN58" i="14"/>
  <c r="AM58" i="14" a="1"/>
  <c r="AM58" i="14" s="1"/>
  <c r="U58" i="14"/>
  <c r="T58" i="14"/>
  <c r="M58" i="14"/>
  <c r="BF57" i="14"/>
  <c r="BG57" i="14" s="1"/>
  <c r="BH57" i="14" s="1"/>
  <c r="AN57" i="14"/>
  <c r="AM57" i="14" a="1"/>
  <c r="AM57" i="14" s="1"/>
  <c r="U57" i="14"/>
  <c r="T57" i="14"/>
  <c r="M57" i="14"/>
  <c r="BF56" i="14"/>
  <c r="BG56" i="14" s="1"/>
  <c r="BH56" i="14" s="1"/>
  <c r="AN56" i="14"/>
  <c r="AM56" i="14" a="1"/>
  <c r="AM56" i="14" s="1"/>
  <c r="U56" i="14"/>
  <c r="T56" i="14"/>
  <c r="M56" i="14"/>
  <c r="BF55" i="14"/>
  <c r="BG55" i="14" s="1"/>
  <c r="BH55" i="14" s="1"/>
  <c r="AN55" i="14"/>
  <c r="AM55" i="14" a="1"/>
  <c r="AM55" i="14" s="1"/>
  <c r="U55" i="14"/>
  <c r="T55" i="14"/>
  <c r="M55" i="14"/>
  <c r="BF54" i="14"/>
  <c r="BG54" i="14" s="1"/>
  <c r="BH54" i="14" s="1"/>
  <c r="AN54" i="14"/>
  <c r="AM54" i="14" a="1"/>
  <c r="AM54" i="14" s="1"/>
  <c r="T54" i="14"/>
  <c r="M54" i="14"/>
  <c r="BF53" i="14"/>
  <c r="BG53" i="14" s="1"/>
  <c r="BH53" i="14" s="1"/>
  <c r="AN53" i="14"/>
  <c r="AM53" i="14" a="1"/>
  <c r="AM53" i="14" s="1"/>
  <c r="AO53" i="14" s="1"/>
  <c r="U53" i="14"/>
  <c r="T53" i="14"/>
  <c r="M53" i="14"/>
  <c r="BF52" i="14"/>
  <c r="BG52" i="14" s="1"/>
  <c r="BH52" i="14" s="1"/>
  <c r="AN52" i="14"/>
  <c r="AM52" i="14" a="1"/>
  <c r="AM52" i="14" s="1"/>
  <c r="AO52" i="14" s="1"/>
  <c r="U52" i="14"/>
  <c r="T52" i="14"/>
  <c r="M52" i="14"/>
  <c r="BF51" i="14"/>
  <c r="BG51" i="14" s="1"/>
  <c r="BH51" i="14" s="1"/>
  <c r="AN51" i="14"/>
  <c r="AM51" i="14" a="1"/>
  <c r="AM51" i="14" s="1"/>
  <c r="AO51" i="14" s="1"/>
  <c r="U51" i="14"/>
  <c r="T51" i="14"/>
  <c r="M51" i="14"/>
  <c r="BF50" i="14"/>
  <c r="BG50" i="14" s="1"/>
  <c r="BH50" i="14" s="1"/>
  <c r="AN50" i="14"/>
  <c r="AM50" i="14" a="1"/>
  <c r="AM50" i="14" s="1"/>
  <c r="AO50" i="14" s="1"/>
  <c r="U50" i="14"/>
  <c r="T50" i="14"/>
  <c r="M50" i="14"/>
  <c r="BF49" i="14"/>
  <c r="BG49" i="14" s="1"/>
  <c r="BH49" i="14" s="1"/>
  <c r="AN49" i="14"/>
  <c r="AM49" i="14" a="1"/>
  <c r="AM49" i="14" s="1"/>
  <c r="AO49" i="14" s="1"/>
  <c r="U49" i="14"/>
  <c r="T49" i="14"/>
  <c r="M49" i="14"/>
  <c r="BF48" i="14"/>
  <c r="BG48" i="14" s="1"/>
  <c r="BH48" i="14" s="1"/>
  <c r="AN48" i="14"/>
  <c r="AM48" i="14" a="1"/>
  <c r="AM48" i="14" s="1"/>
  <c r="AO48" i="14" s="1"/>
  <c r="U48" i="14"/>
  <c r="T48" i="14"/>
  <c r="M48" i="14"/>
  <c r="BF47" i="14"/>
  <c r="BG47" i="14" s="1"/>
  <c r="BH47" i="14" s="1"/>
  <c r="AN47" i="14"/>
  <c r="AM47" i="14" a="1"/>
  <c r="AM47" i="14" s="1"/>
  <c r="AO47" i="14" s="1"/>
  <c r="U47" i="14"/>
  <c r="T47" i="14"/>
  <c r="M47" i="14"/>
  <c r="BF46" i="14"/>
  <c r="BG46" i="14" s="1"/>
  <c r="BH46" i="14" s="1"/>
  <c r="AN46" i="14"/>
  <c r="AM46" i="14" a="1"/>
  <c r="AM46" i="14" s="1"/>
  <c r="AO46" i="14" s="1"/>
  <c r="U46" i="14"/>
  <c r="T46" i="14"/>
  <c r="M46" i="14"/>
  <c r="BF45" i="14"/>
  <c r="BG45" i="14" s="1"/>
  <c r="BH45" i="14" s="1"/>
  <c r="AN45" i="14"/>
  <c r="AM45" i="14" a="1"/>
  <c r="AM45" i="14" s="1"/>
  <c r="AO45" i="14" s="1"/>
  <c r="U45" i="14"/>
  <c r="T45" i="14"/>
  <c r="M45" i="14"/>
  <c r="BF44" i="14"/>
  <c r="BG44" i="14" s="1"/>
  <c r="BH44" i="14" s="1"/>
  <c r="AN44" i="14"/>
  <c r="AM44" i="14" a="1"/>
  <c r="AM44" i="14" s="1"/>
  <c r="AO44" i="14" s="1"/>
  <c r="U44" i="14"/>
  <c r="T44" i="14"/>
  <c r="M44" i="14"/>
  <c r="BF43" i="14"/>
  <c r="BG43" i="14" s="1"/>
  <c r="BH43" i="14" s="1"/>
  <c r="AN43" i="14"/>
  <c r="AM43" i="14" a="1"/>
  <c r="AM43" i="14" s="1"/>
  <c r="AO43" i="14" s="1"/>
  <c r="U43" i="14"/>
  <c r="T43" i="14"/>
  <c r="M43" i="14"/>
  <c r="BF42" i="14"/>
  <c r="BG42" i="14" s="1"/>
  <c r="BH42" i="14" s="1"/>
  <c r="AN42" i="14"/>
  <c r="AM42" i="14" a="1"/>
  <c r="AM42" i="14" s="1"/>
  <c r="AO42" i="14" s="1"/>
  <c r="U42" i="14"/>
  <c r="T42" i="14"/>
  <c r="M42" i="14"/>
  <c r="BF41" i="14"/>
  <c r="BG41" i="14" s="1"/>
  <c r="BH41" i="14" s="1"/>
  <c r="AN41" i="14"/>
  <c r="AM41" i="14" a="1"/>
  <c r="AM41" i="14" s="1"/>
  <c r="AO41" i="14" s="1"/>
  <c r="U41" i="14"/>
  <c r="T41" i="14"/>
  <c r="M41" i="14"/>
  <c r="BF40" i="14"/>
  <c r="BG40" i="14" s="1"/>
  <c r="BH40" i="14" s="1"/>
  <c r="AN40" i="14"/>
  <c r="AM40" i="14" a="1"/>
  <c r="AM40" i="14" s="1"/>
  <c r="AO40" i="14" s="1"/>
  <c r="U40" i="14"/>
  <c r="T40" i="14"/>
  <c r="M40" i="14"/>
  <c r="BF39" i="14"/>
  <c r="BG39" i="14" s="1"/>
  <c r="BH39" i="14" s="1"/>
  <c r="AN39" i="14"/>
  <c r="AM39" i="14" a="1"/>
  <c r="AM39" i="14" s="1"/>
  <c r="AO39" i="14" s="1"/>
  <c r="U39" i="14"/>
  <c r="T39" i="14"/>
  <c r="M39" i="14"/>
  <c r="BF38" i="14"/>
  <c r="BG38" i="14" s="1"/>
  <c r="BH38" i="14" s="1"/>
  <c r="AN38" i="14"/>
  <c r="AM38" i="14" a="1"/>
  <c r="AM38" i="14" s="1"/>
  <c r="AO38" i="14" s="1"/>
  <c r="U38" i="14"/>
  <c r="T38" i="14"/>
  <c r="M38" i="14"/>
  <c r="BF37" i="14"/>
  <c r="BG37" i="14" s="1"/>
  <c r="BH37" i="14" s="1"/>
  <c r="AN37" i="14"/>
  <c r="AM37" i="14" a="1"/>
  <c r="AM37" i="14" s="1"/>
  <c r="AO37" i="14" s="1"/>
  <c r="U37" i="14"/>
  <c r="T37" i="14"/>
  <c r="M37" i="14"/>
  <c r="BF36" i="14"/>
  <c r="BG36" i="14" s="1"/>
  <c r="BH36" i="14" s="1"/>
  <c r="AN36" i="14"/>
  <c r="AM36" i="14" a="1"/>
  <c r="AM36" i="14" s="1"/>
  <c r="AO36" i="14" s="1"/>
  <c r="U36" i="14"/>
  <c r="T36" i="14"/>
  <c r="M36" i="14"/>
  <c r="BF35" i="14"/>
  <c r="BG35" i="14" s="1"/>
  <c r="BH35" i="14" s="1"/>
  <c r="AN35" i="14"/>
  <c r="AM35" i="14" a="1"/>
  <c r="AM35" i="14" s="1"/>
  <c r="AO35" i="14" s="1"/>
  <c r="U35" i="14"/>
  <c r="T35" i="14"/>
  <c r="M35" i="14"/>
  <c r="BF34" i="14"/>
  <c r="BG34" i="14" s="1"/>
  <c r="BH34" i="14" s="1"/>
  <c r="AN34" i="14"/>
  <c r="AM34" i="14" a="1"/>
  <c r="AM34" i="14" s="1"/>
  <c r="AO34" i="14" s="1"/>
  <c r="U34" i="14"/>
  <c r="T34" i="14"/>
  <c r="M34" i="14"/>
  <c r="BF33" i="14"/>
  <c r="BG33" i="14" s="1"/>
  <c r="BH33" i="14" s="1"/>
  <c r="AN33" i="14"/>
  <c r="AM33" i="14" a="1"/>
  <c r="AM33" i="14" s="1"/>
  <c r="AO33" i="14" s="1"/>
  <c r="U33" i="14"/>
  <c r="T33" i="14"/>
  <c r="M33" i="14"/>
  <c r="BF32" i="14"/>
  <c r="BG32" i="14" s="1"/>
  <c r="BH32" i="14" s="1"/>
  <c r="AN32" i="14"/>
  <c r="AM32" i="14" a="1"/>
  <c r="AM32" i="14" s="1"/>
  <c r="AO32" i="14" s="1"/>
  <c r="U32" i="14"/>
  <c r="T32" i="14"/>
  <c r="M32" i="14"/>
  <c r="BF31" i="14"/>
  <c r="BG31" i="14" s="1"/>
  <c r="BH31" i="14" s="1"/>
  <c r="AN31" i="14"/>
  <c r="AM31" i="14" a="1"/>
  <c r="AM31" i="14" s="1"/>
  <c r="AO31" i="14" s="1"/>
  <c r="U31" i="14"/>
  <c r="T31" i="14"/>
  <c r="M31" i="14"/>
  <c r="BF30" i="14"/>
  <c r="BG30" i="14" s="1"/>
  <c r="BH30" i="14" s="1"/>
  <c r="AN30" i="14"/>
  <c r="AM30" i="14" a="1"/>
  <c r="AM30" i="14" s="1"/>
  <c r="AO30" i="14" s="1"/>
  <c r="U30" i="14"/>
  <c r="T30" i="14"/>
  <c r="M30" i="14"/>
  <c r="BF29" i="14"/>
  <c r="BG29" i="14" s="1"/>
  <c r="BH29" i="14" s="1"/>
  <c r="AN29" i="14"/>
  <c r="AM29" i="14" a="1"/>
  <c r="AM29" i="14" s="1"/>
  <c r="AO29" i="14" s="1"/>
  <c r="U29" i="14"/>
  <c r="T29" i="14"/>
  <c r="M29" i="14"/>
  <c r="BF28" i="14"/>
  <c r="BG28" i="14" s="1"/>
  <c r="BH28" i="14" s="1"/>
  <c r="AN28" i="14"/>
  <c r="AM28" i="14" a="1"/>
  <c r="AM28" i="14" s="1"/>
  <c r="AO28" i="14" s="1"/>
  <c r="U28" i="14"/>
  <c r="T28" i="14"/>
  <c r="M28" i="14"/>
  <c r="BF27" i="14"/>
  <c r="BG27" i="14" s="1"/>
  <c r="BH27" i="14" s="1"/>
  <c r="AN27" i="14"/>
  <c r="AM27" i="14" a="1"/>
  <c r="AM27" i="14" s="1"/>
  <c r="AO27" i="14" s="1"/>
  <c r="U27" i="14"/>
  <c r="T27" i="14"/>
  <c r="M27" i="14"/>
  <c r="BF26" i="14"/>
  <c r="BG26" i="14" s="1"/>
  <c r="BH26" i="14" s="1"/>
  <c r="AN26" i="14"/>
  <c r="AM26" i="14" a="1"/>
  <c r="AM26" i="14" s="1"/>
  <c r="AO26" i="14" s="1"/>
  <c r="U26" i="14"/>
  <c r="T26" i="14"/>
  <c r="M26" i="14"/>
  <c r="BF25" i="14"/>
  <c r="BG25" i="14" s="1"/>
  <c r="BH25" i="14" s="1"/>
  <c r="AN25" i="14"/>
  <c r="AM25" i="14" a="1"/>
  <c r="AM25" i="14" s="1"/>
  <c r="AO25" i="14" s="1"/>
  <c r="U25" i="14"/>
  <c r="T25" i="14"/>
  <c r="M25" i="14"/>
  <c r="BF24" i="14"/>
  <c r="BG24" i="14" s="1"/>
  <c r="BH24" i="14" s="1"/>
  <c r="AN24" i="14"/>
  <c r="AM24" i="14" a="1"/>
  <c r="AM24" i="14" s="1"/>
  <c r="AO24" i="14" s="1"/>
  <c r="U24" i="14"/>
  <c r="T24" i="14"/>
  <c r="M24" i="14"/>
  <c r="BF23" i="14"/>
  <c r="BG23" i="14" s="1"/>
  <c r="BH23" i="14" s="1"/>
  <c r="AN23" i="14"/>
  <c r="AM23" i="14" a="1"/>
  <c r="AM23" i="14" s="1"/>
  <c r="AO23" i="14" s="1"/>
  <c r="U23" i="14"/>
  <c r="T23" i="14"/>
  <c r="M23" i="14"/>
  <c r="BF22" i="14"/>
  <c r="BG22" i="14" s="1"/>
  <c r="BH22" i="14" s="1"/>
  <c r="AN22" i="14"/>
  <c r="AM22" i="14" a="1"/>
  <c r="AM22" i="14" s="1"/>
  <c r="AO22" i="14" s="1"/>
  <c r="U22" i="14"/>
  <c r="T22" i="14"/>
  <c r="M22" i="14"/>
  <c r="BF21" i="14"/>
  <c r="BG21" i="14" s="1"/>
  <c r="BH21" i="14" s="1"/>
  <c r="AN21" i="14"/>
  <c r="AM21" i="14" a="1"/>
  <c r="AM21" i="14" s="1"/>
  <c r="AO21" i="14" s="1"/>
  <c r="U21" i="14"/>
  <c r="T21" i="14"/>
  <c r="M21" i="14"/>
  <c r="BF20" i="14"/>
  <c r="BG20" i="14" s="1"/>
  <c r="BH20" i="14" s="1"/>
  <c r="AN20" i="14"/>
  <c r="AM20" i="14" a="1"/>
  <c r="AM20" i="14" s="1"/>
  <c r="AO20" i="14" s="1"/>
  <c r="U20" i="14"/>
  <c r="T20" i="14"/>
  <c r="M20" i="14"/>
  <c r="BF19" i="14"/>
  <c r="BG19" i="14" s="1"/>
  <c r="BH19" i="14" s="1"/>
  <c r="AN19" i="14"/>
  <c r="AM19" i="14" a="1"/>
  <c r="AM19" i="14" s="1"/>
  <c r="AO19" i="14" s="1"/>
  <c r="U19" i="14"/>
  <c r="T19" i="14"/>
  <c r="M19" i="14"/>
  <c r="BF18" i="14"/>
  <c r="BG18" i="14" s="1"/>
  <c r="BH18" i="14" s="1"/>
  <c r="AN18" i="14"/>
  <c r="AM18" i="14" a="1"/>
  <c r="AM18" i="14" s="1"/>
  <c r="AO18" i="14" s="1"/>
  <c r="U18" i="14"/>
  <c r="T18" i="14"/>
  <c r="M18" i="14"/>
  <c r="BF17" i="14"/>
  <c r="BG17" i="14" s="1"/>
  <c r="BH17" i="14" s="1"/>
  <c r="AN17" i="14"/>
  <c r="AM17" i="14" a="1"/>
  <c r="AM17" i="14" s="1"/>
  <c r="AO17" i="14" s="1"/>
  <c r="U17" i="14"/>
  <c r="T17" i="14"/>
  <c r="M17" i="14"/>
  <c r="BF16" i="14"/>
  <c r="BG16" i="14" s="1"/>
  <c r="BH16" i="14" s="1"/>
  <c r="AN16" i="14"/>
  <c r="AM16" i="14" a="1"/>
  <c r="AM16" i="14" s="1"/>
  <c r="AO16" i="14" s="1"/>
  <c r="U16" i="14"/>
  <c r="T16" i="14"/>
  <c r="M16" i="14"/>
  <c r="BF15" i="14"/>
  <c r="BG15" i="14" s="1"/>
  <c r="BH15" i="14" s="1"/>
  <c r="AN15" i="14"/>
  <c r="AM15" i="14" a="1"/>
  <c r="AM15" i="14" s="1"/>
  <c r="AO15" i="14" s="1"/>
  <c r="U15" i="14"/>
  <c r="T15" i="14"/>
  <c r="M15" i="14"/>
  <c r="BF14" i="14"/>
  <c r="BG14" i="14" s="1"/>
  <c r="BH14" i="14" s="1"/>
  <c r="AN14" i="14"/>
  <c r="AM14" i="14" a="1"/>
  <c r="AM14" i="14" s="1"/>
  <c r="AO14" i="14" s="1"/>
  <c r="U14" i="14"/>
  <c r="T14" i="14"/>
  <c r="M14" i="14"/>
  <c r="BF13" i="14"/>
  <c r="BG13" i="14" s="1"/>
  <c r="BH13" i="14" s="1"/>
  <c r="AN13" i="14"/>
  <c r="AM13" i="14" a="1"/>
  <c r="AM13" i="14" s="1"/>
  <c r="AO13" i="14" s="1"/>
  <c r="T13" i="14"/>
  <c r="M13" i="14"/>
  <c r="BF12" i="14"/>
  <c r="BG12" i="14" s="1"/>
  <c r="BH12" i="14" s="1"/>
  <c r="AN12" i="14"/>
  <c r="AM12" i="14" a="1"/>
  <c r="AM12" i="14" s="1"/>
  <c r="U12" i="14"/>
  <c r="T12" i="14"/>
  <c r="M12" i="14"/>
  <c r="BF11" i="14"/>
  <c r="BG11" i="14" s="1"/>
  <c r="BH11" i="14" s="1"/>
  <c r="AN11" i="14"/>
  <c r="AM11" i="14" a="1"/>
  <c r="AM11" i="14" s="1"/>
  <c r="T11" i="14"/>
  <c r="M11" i="14"/>
  <c r="BF10" i="14"/>
  <c r="BG10" i="14" s="1"/>
  <c r="BH10" i="14" s="1"/>
  <c r="AN10" i="14"/>
  <c r="AM10" i="14" a="1"/>
  <c r="AM10" i="14" s="1"/>
  <c r="AO10" i="14" s="1"/>
  <c r="U10" i="14"/>
  <c r="T10" i="14"/>
  <c r="BF9" i="14"/>
  <c r="BG9" i="14" s="1"/>
  <c r="BH9" i="14" s="1"/>
  <c r="AN9" i="14"/>
  <c r="AM9" i="14" a="1"/>
  <c r="AM9" i="14" s="1"/>
  <c r="T9" i="14"/>
  <c r="M9" i="14"/>
  <c r="BF8" i="14"/>
  <c r="BG8" i="14" s="1"/>
  <c r="BH8" i="14" s="1"/>
  <c r="AN8" i="14"/>
  <c r="AM8" i="14" a="1"/>
  <c r="AM8" i="14" s="1"/>
  <c r="AO8" i="14" s="1"/>
  <c r="T8" i="14"/>
  <c r="M8" i="14"/>
  <c r="BF7" i="14"/>
  <c r="BG7" i="14" s="1"/>
  <c r="BH7" i="14" s="1"/>
  <c r="AN7" i="14"/>
  <c r="AM7" i="14" a="1"/>
  <c r="AM7" i="14" s="1"/>
  <c r="T7" i="14"/>
  <c r="M7" i="14"/>
  <c r="BF6" i="14"/>
  <c r="BG6" i="14" s="1"/>
  <c r="BH6" i="14" s="1"/>
  <c r="AN6" i="14"/>
  <c r="AM6" i="14" a="1"/>
  <c r="AM6" i="14" s="1"/>
  <c r="AO6" i="14" s="1"/>
  <c r="U6" i="14"/>
  <c r="T6" i="14"/>
  <c r="M6" i="14"/>
  <c r="BF5" i="14"/>
  <c r="BG5" i="14" s="1"/>
  <c r="BH5" i="14" s="1"/>
  <c r="AN5" i="14"/>
  <c r="AM5" i="14" a="1"/>
  <c r="AM5" i="14" s="1"/>
  <c r="AO5" i="14" s="1"/>
  <c r="U5" i="14"/>
  <c r="T5" i="14"/>
  <c r="M5" i="14"/>
  <c r="BF4" i="14"/>
  <c r="BG4" i="14" s="1"/>
  <c r="BH4" i="14" s="1"/>
  <c r="AN4" i="14"/>
  <c r="AM4" i="14" a="1"/>
  <c r="AM4" i="14" s="1"/>
  <c r="AO4" i="14" s="1"/>
  <c r="U4" i="14"/>
  <c r="T4" i="14"/>
  <c r="M4" i="14"/>
  <c r="BH3" i="14"/>
  <c r="BF3" i="14"/>
  <c r="BG3" i="14" s="1"/>
  <c r="AN3" i="14"/>
  <c r="AM3" i="14" a="1"/>
  <c r="AM3" i="14" s="1"/>
  <c r="T3" i="14"/>
  <c r="M3" i="14"/>
  <c r="BQ122" i="13"/>
  <c r="BO122" i="13"/>
  <c r="BP122" i="13" s="1"/>
  <c r="AW122" i="13"/>
  <c r="AV122" i="13" a="1"/>
  <c r="AV122" i="13" s="1"/>
  <c r="BQ121" i="13"/>
  <c r="BO121" i="13"/>
  <c r="BP121" i="13" s="1"/>
  <c r="AW121" i="13"/>
  <c r="AV121" i="13" a="1"/>
  <c r="AV121" i="13" s="1"/>
  <c r="BQ120" i="13"/>
  <c r="BO120" i="13"/>
  <c r="BP120" i="13" s="1"/>
  <c r="AW120" i="13"/>
  <c r="AV120" i="13" a="1"/>
  <c r="AV120" i="13" s="1"/>
  <c r="BQ119" i="13"/>
  <c r="BO119" i="13"/>
  <c r="BP119" i="13" s="1"/>
  <c r="AW119" i="13"/>
  <c r="AV119" i="13" a="1"/>
  <c r="AV119" i="13" s="1"/>
  <c r="BQ118" i="13"/>
  <c r="BO118" i="13"/>
  <c r="BP118" i="13" s="1"/>
  <c r="AW118" i="13"/>
  <c r="AV118" i="13" a="1"/>
  <c r="AV118" i="13" s="1"/>
  <c r="BQ117" i="13"/>
  <c r="BO117" i="13"/>
  <c r="BP117" i="13" s="1"/>
  <c r="AW117" i="13"/>
  <c r="AV117" i="13" a="1"/>
  <c r="AV117" i="13" s="1"/>
  <c r="BQ116" i="13"/>
  <c r="BO116" i="13"/>
  <c r="BP116" i="13" s="1"/>
  <c r="AW116" i="13"/>
  <c r="AV116" i="13" a="1"/>
  <c r="AV116" i="13" s="1"/>
  <c r="BQ115" i="13"/>
  <c r="BO115" i="13"/>
  <c r="BP115" i="13" s="1"/>
  <c r="AW115" i="13"/>
  <c r="AV115" i="13" a="1"/>
  <c r="AV115" i="13" s="1"/>
  <c r="BQ114" i="13"/>
  <c r="BO114" i="13"/>
  <c r="BP114" i="13" s="1"/>
  <c r="AW114" i="13"/>
  <c r="AV114" i="13" a="1"/>
  <c r="AV114" i="13" s="1"/>
  <c r="BQ113" i="13"/>
  <c r="BO113" i="13"/>
  <c r="BP113" i="13" s="1"/>
  <c r="AW113" i="13"/>
  <c r="AV113" i="13" a="1"/>
  <c r="AV113" i="13" s="1"/>
  <c r="BQ112" i="13"/>
  <c r="BO112" i="13"/>
  <c r="BP112" i="13" s="1"/>
  <c r="AW112" i="13"/>
  <c r="AV112" i="13" a="1"/>
  <c r="AV112" i="13" s="1"/>
  <c r="BQ111" i="13"/>
  <c r="BO111" i="13"/>
  <c r="BP111" i="13" s="1"/>
  <c r="AW111" i="13"/>
  <c r="AV111" i="13" a="1"/>
  <c r="AV111" i="13" s="1"/>
  <c r="BQ110" i="13"/>
  <c r="BO110" i="13"/>
  <c r="BP110" i="13" s="1"/>
  <c r="AW110" i="13"/>
  <c r="AV110" i="13" a="1"/>
  <c r="AV110" i="13" s="1"/>
  <c r="BQ109" i="13"/>
  <c r="BO109" i="13"/>
  <c r="BP109" i="13" s="1"/>
  <c r="AW109" i="13"/>
  <c r="AV109" i="13" a="1"/>
  <c r="AV109" i="13" s="1"/>
  <c r="BQ108" i="13"/>
  <c r="BO108" i="13"/>
  <c r="BP108" i="13" s="1"/>
  <c r="AW108" i="13"/>
  <c r="AV108" i="13" a="1"/>
  <c r="AV108" i="13" s="1"/>
  <c r="BQ107" i="13"/>
  <c r="BO107" i="13"/>
  <c r="BP107" i="13" s="1"/>
  <c r="AW107" i="13"/>
  <c r="AV107" i="13" a="1"/>
  <c r="AV107" i="13" s="1"/>
  <c r="BQ106" i="13"/>
  <c r="BO106" i="13"/>
  <c r="BP106" i="13" s="1"/>
  <c r="AW106" i="13"/>
  <c r="AV106" i="13" a="1"/>
  <c r="AV106" i="13" s="1"/>
  <c r="BQ105" i="13"/>
  <c r="BO105" i="13"/>
  <c r="BP105" i="13" s="1"/>
  <c r="AW105" i="13"/>
  <c r="AV105" i="13" a="1"/>
  <c r="AV105" i="13" s="1"/>
  <c r="BQ104" i="13"/>
  <c r="BO104" i="13"/>
  <c r="BP104" i="13" s="1"/>
  <c r="AW104" i="13"/>
  <c r="AV104" i="13" a="1"/>
  <c r="AV104" i="13" s="1"/>
  <c r="BQ103" i="13"/>
  <c r="BO103" i="13"/>
  <c r="BP103" i="13" s="1"/>
  <c r="AW103" i="13"/>
  <c r="AV103" i="13" a="1"/>
  <c r="AV103" i="13" s="1"/>
  <c r="BQ102" i="13"/>
  <c r="BO102" i="13"/>
  <c r="BP102" i="13" s="1"/>
  <c r="AW102" i="13"/>
  <c r="AV102" i="13" a="1"/>
  <c r="AV102" i="13" s="1"/>
  <c r="BQ101" i="13"/>
  <c r="BO101" i="13"/>
  <c r="BP101" i="13" s="1"/>
  <c r="AW101" i="13"/>
  <c r="AV101" i="13" a="1"/>
  <c r="AV101" i="13" s="1"/>
  <c r="BQ100" i="13"/>
  <c r="BO100" i="13"/>
  <c r="BP100" i="13" s="1"/>
  <c r="AW100" i="13"/>
  <c r="AV100" i="13" a="1"/>
  <c r="AV100" i="13" s="1"/>
  <c r="BQ99" i="13"/>
  <c r="BO99" i="13"/>
  <c r="BP99" i="13" s="1"/>
  <c r="AW99" i="13"/>
  <c r="AV99" i="13" a="1"/>
  <c r="AV99" i="13" s="1"/>
  <c r="BQ98" i="13"/>
  <c r="BO98" i="13"/>
  <c r="BP98" i="13" s="1"/>
  <c r="AW98" i="13"/>
  <c r="AV98" i="13" a="1"/>
  <c r="AV98" i="13" s="1"/>
  <c r="BQ97" i="13"/>
  <c r="BO97" i="13"/>
  <c r="BP97" i="13" s="1"/>
  <c r="AW97" i="13"/>
  <c r="AV97" i="13" a="1"/>
  <c r="AV97" i="13" s="1"/>
  <c r="BQ96" i="13"/>
  <c r="BO96" i="13"/>
  <c r="BP96" i="13" s="1"/>
  <c r="AW96" i="13"/>
  <c r="AV96" i="13" a="1"/>
  <c r="AV96" i="13" s="1"/>
  <c r="BQ95" i="13"/>
  <c r="BO95" i="13"/>
  <c r="BP95" i="13" s="1"/>
  <c r="AW95" i="13"/>
  <c r="AV95" i="13" a="1"/>
  <c r="AV95" i="13" s="1"/>
  <c r="BQ94" i="13"/>
  <c r="BO94" i="13"/>
  <c r="BP94" i="13" s="1"/>
  <c r="AW94" i="13"/>
  <c r="AV94" i="13" a="1"/>
  <c r="AV94" i="13" s="1"/>
  <c r="BQ93" i="13"/>
  <c r="BO93" i="13"/>
  <c r="BP93" i="13" s="1"/>
  <c r="AW93" i="13"/>
  <c r="AV93" i="13" a="1"/>
  <c r="AV93" i="13" s="1"/>
  <c r="BQ92" i="13"/>
  <c r="BO92" i="13"/>
  <c r="BP92" i="13" s="1"/>
  <c r="AW92" i="13"/>
  <c r="AV92" i="13" a="1"/>
  <c r="AV92" i="13" s="1"/>
  <c r="BQ91" i="13"/>
  <c r="BO91" i="13"/>
  <c r="BP91" i="13" s="1"/>
  <c r="AW91" i="13"/>
  <c r="AV91" i="13" a="1"/>
  <c r="AV91" i="13" s="1"/>
  <c r="BQ90" i="13"/>
  <c r="BO90" i="13"/>
  <c r="BP90" i="13" s="1"/>
  <c r="AW90" i="13"/>
  <c r="AV90" i="13" a="1"/>
  <c r="AV90" i="13" s="1"/>
  <c r="BQ89" i="13"/>
  <c r="BO89" i="13"/>
  <c r="BP89" i="13" s="1"/>
  <c r="AW89" i="13"/>
  <c r="AV89" i="13" a="1"/>
  <c r="AV89" i="13" s="1"/>
  <c r="BQ88" i="13"/>
  <c r="BO88" i="13"/>
  <c r="BP88" i="13" s="1"/>
  <c r="AW88" i="13"/>
  <c r="AV88" i="13" a="1"/>
  <c r="AV88" i="13" s="1"/>
  <c r="BO87" i="13"/>
  <c r="BP87" i="13" s="1"/>
  <c r="BQ87" i="13" s="1"/>
  <c r="AW87" i="13"/>
  <c r="AV87" i="13" a="1"/>
  <c r="AV87" i="13" s="1"/>
  <c r="BO86" i="13"/>
  <c r="BP86" i="13" s="1"/>
  <c r="BQ86" i="13" s="1"/>
  <c r="AW86" i="13"/>
  <c r="AV86" i="13" a="1"/>
  <c r="AV86" i="13" s="1"/>
  <c r="BQ85" i="13"/>
  <c r="BO85" i="13"/>
  <c r="BP85" i="13" s="1"/>
  <c r="AW85" i="13"/>
  <c r="AV85" i="13" a="1"/>
  <c r="AV85" i="13" s="1"/>
  <c r="BQ84" i="13"/>
  <c r="BO84" i="13"/>
  <c r="BP84" i="13" s="1"/>
  <c r="AW84" i="13"/>
  <c r="AV84" i="13" a="1"/>
  <c r="AV84" i="13" s="1"/>
  <c r="BO83" i="13"/>
  <c r="BP83" i="13" s="1"/>
  <c r="BQ83" i="13" s="1"/>
  <c r="AW83" i="13"/>
  <c r="AV83" i="13" a="1"/>
  <c r="AV83" i="13" s="1"/>
  <c r="BO82" i="13"/>
  <c r="BP82" i="13" s="1"/>
  <c r="BQ82" i="13" s="1"/>
  <c r="AW82" i="13"/>
  <c r="AV82" i="13" a="1"/>
  <c r="AV82" i="13" s="1"/>
  <c r="BO81" i="13"/>
  <c r="BP81" i="13" s="1"/>
  <c r="BQ81" i="13" s="1"/>
  <c r="AW81" i="13"/>
  <c r="AV81" i="13" a="1"/>
  <c r="AV81" i="13" s="1"/>
  <c r="BQ80" i="13"/>
  <c r="BO80" i="13"/>
  <c r="BP80" i="13" s="1"/>
  <c r="AW80" i="13"/>
  <c r="AV80" i="13" a="1"/>
  <c r="AV80" i="13" s="1"/>
  <c r="BO79" i="13"/>
  <c r="BP79" i="13" s="1"/>
  <c r="BQ79" i="13" s="1"/>
  <c r="AW79" i="13"/>
  <c r="AV79" i="13" a="1"/>
  <c r="AV79" i="13" s="1"/>
  <c r="BO78" i="13"/>
  <c r="BP78" i="13" s="1"/>
  <c r="BQ78" i="13" s="1"/>
  <c r="AW78" i="13"/>
  <c r="AV78" i="13" a="1"/>
  <c r="AV78" i="13" s="1"/>
  <c r="BO65" i="13"/>
  <c r="BP65" i="13" s="1"/>
  <c r="BQ65" i="13" s="1"/>
  <c r="AW65" i="13"/>
  <c r="AV65" i="13" a="1"/>
  <c r="AV65" i="13" s="1"/>
  <c r="BO77" i="13"/>
  <c r="BP77" i="13" s="1"/>
  <c r="BQ77" i="13" s="1"/>
  <c r="AW77" i="13"/>
  <c r="AV77" i="13" a="1"/>
  <c r="AV77" i="13" s="1"/>
  <c r="BO64" i="13"/>
  <c r="BP64" i="13" s="1"/>
  <c r="BQ64" i="13" s="1"/>
  <c r="AW64" i="13"/>
  <c r="AV64" i="13" a="1"/>
  <c r="AV64" i="13" s="1"/>
  <c r="BO74" i="13"/>
  <c r="BP74" i="13" s="1"/>
  <c r="BQ74" i="13" s="1"/>
  <c r="AW74" i="13"/>
  <c r="AV74" i="13" a="1"/>
  <c r="AV74" i="13" s="1"/>
  <c r="BO63" i="13"/>
  <c r="BP63" i="13" s="1"/>
  <c r="BQ63" i="13" s="1"/>
  <c r="AW63" i="13"/>
  <c r="AV63" i="13" a="1"/>
  <c r="AV63" i="13" s="1"/>
  <c r="BO76" i="13"/>
  <c r="BP76" i="13" s="1"/>
  <c r="BQ76" i="13" s="1"/>
  <c r="AW76" i="13"/>
  <c r="AV76" i="13" a="1"/>
  <c r="AV76" i="13" s="1"/>
  <c r="BO75" i="13"/>
  <c r="BP75" i="13" s="1"/>
  <c r="BQ75" i="13" s="1"/>
  <c r="AW75" i="13"/>
  <c r="AV75" i="13" a="1"/>
  <c r="AV75" i="13" s="1"/>
  <c r="BO58" i="13"/>
  <c r="BP58" i="13" s="1"/>
  <c r="BQ58" i="13" s="1"/>
  <c r="AW58" i="13"/>
  <c r="AV58" i="13" a="1"/>
  <c r="AV58" i="13" s="1"/>
  <c r="BO73" i="13"/>
  <c r="BP73" i="13" s="1"/>
  <c r="BQ73" i="13" s="1"/>
  <c r="AW73" i="13"/>
  <c r="AV73" i="13" a="1"/>
  <c r="AV73" i="13" s="1"/>
  <c r="BO69" i="13"/>
  <c r="BP69" i="13" s="1"/>
  <c r="BQ69" i="13" s="1"/>
  <c r="AW69" i="13"/>
  <c r="AV69" i="13" a="1"/>
  <c r="AV69" i="13" s="1"/>
  <c r="BO57" i="13"/>
  <c r="BP57" i="13" s="1"/>
  <c r="BQ57" i="13" s="1"/>
  <c r="AW57" i="13"/>
  <c r="AV57" i="13" a="1"/>
  <c r="AV57" i="13" s="1"/>
  <c r="BO71" i="13"/>
  <c r="BP71" i="13" s="1"/>
  <c r="BQ71" i="13" s="1"/>
  <c r="AW71" i="13"/>
  <c r="AV71" i="13" a="1"/>
  <c r="AV71" i="13" s="1"/>
  <c r="BO72" i="13"/>
  <c r="BP72" i="13" s="1"/>
  <c r="BQ72" i="13" s="1"/>
  <c r="AW72" i="13"/>
  <c r="AV72" i="13" a="1"/>
  <c r="AV72" i="13" s="1"/>
  <c r="BQ61" i="13"/>
  <c r="BO61" i="13"/>
  <c r="BP61" i="13" s="1"/>
  <c r="AW61" i="13"/>
  <c r="AV61" i="13" a="1"/>
  <c r="AV61" i="13" s="1"/>
  <c r="BO45" i="13"/>
  <c r="BP45" i="13" s="1"/>
  <c r="BQ45" i="13" s="1"/>
  <c r="AW45" i="13"/>
  <c r="AV45" i="13" a="1"/>
  <c r="AV45" i="13" s="1"/>
  <c r="BO13" i="13"/>
  <c r="BP13" i="13" s="1"/>
  <c r="BQ13" i="13" s="1"/>
  <c r="AW13" i="13"/>
  <c r="AV13" i="13" a="1"/>
  <c r="AV13" i="13" s="1"/>
  <c r="BO59" i="13"/>
  <c r="BP59" i="13" s="1"/>
  <c r="BQ59" i="13" s="1"/>
  <c r="AW59" i="13"/>
  <c r="AV59" i="13" a="1"/>
  <c r="AV59" i="13" s="1"/>
  <c r="BO60" i="13"/>
  <c r="BP60" i="13" s="1"/>
  <c r="BQ60" i="13" s="1"/>
  <c r="AW60" i="13"/>
  <c r="AV60" i="13" a="1"/>
  <c r="AV60" i="13" s="1"/>
  <c r="BO62" i="13"/>
  <c r="BP62" i="13" s="1"/>
  <c r="BQ62" i="13" s="1"/>
  <c r="AW62" i="13"/>
  <c r="AV62" i="13" a="1"/>
  <c r="AV62" i="13" s="1"/>
  <c r="BO55" i="13"/>
  <c r="BP55" i="13" s="1"/>
  <c r="BQ55" i="13" s="1"/>
  <c r="AW55" i="13"/>
  <c r="AV55" i="13" a="1"/>
  <c r="AV55" i="13" s="1"/>
  <c r="BO56" i="13"/>
  <c r="BP56" i="13" s="1"/>
  <c r="BQ56" i="13" s="1"/>
  <c r="AW56" i="13"/>
  <c r="AV56" i="13" a="1"/>
  <c r="AV56" i="13" s="1"/>
  <c r="AX56" i="13" s="1"/>
  <c r="BO54" i="13"/>
  <c r="BP54" i="13" s="1"/>
  <c r="BQ54" i="13" s="1"/>
  <c r="AW54" i="13"/>
  <c r="AV54" i="13" a="1"/>
  <c r="AV54" i="13" s="1"/>
  <c r="BO67" i="13"/>
  <c r="BP67" i="13" s="1"/>
  <c r="BQ67" i="13" s="1"/>
  <c r="AW67" i="13"/>
  <c r="AV67" i="13" a="1"/>
  <c r="AV67" i="13" s="1"/>
  <c r="BO70" i="13"/>
  <c r="BP70" i="13" s="1"/>
  <c r="BQ70" i="13" s="1"/>
  <c r="AW70" i="13"/>
  <c r="AV70" i="13" a="1"/>
  <c r="AV70" i="13" s="1"/>
  <c r="BO66" i="13"/>
  <c r="BP66" i="13" s="1"/>
  <c r="BQ66" i="13" s="1"/>
  <c r="AW66" i="13"/>
  <c r="AV66" i="13" a="1"/>
  <c r="AV66" i="13" s="1"/>
  <c r="BO68" i="13"/>
  <c r="BP68" i="13" s="1"/>
  <c r="BQ68" i="13" s="1"/>
  <c r="AW68" i="13"/>
  <c r="AV68" i="13" a="1"/>
  <c r="AV68" i="13" s="1"/>
  <c r="BO23" i="13"/>
  <c r="BP23" i="13" s="1"/>
  <c r="BQ23" i="13" s="1"/>
  <c r="AW23" i="13"/>
  <c r="AV23" i="13" a="1"/>
  <c r="AV23" i="13" s="1"/>
  <c r="BO21" i="13"/>
  <c r="BP21" i="13" s="1"/>
  <c r="BQ21" i="13" s="1"/>
  <c r="AW21" i="13"/>
  <c r="AV21" i="13" a="1"/>
  <c r="AV21" i="13" s="1"/>
  <c r="BO26" i="13"/>
  <c r="BP26" i="13" s="1"/>
  <c r="BQ26" i="13" s="1"/>
  <c r="AW26" i="13"/>
  <c r="AV26" i="13" a="1"/>
  <c r="AV26" i="13" s="1"/>
  <c r="AX26" i="13" s="1"/>
  <c r="BO22" i="13"/>
  <c r="BP22" i="13" s="1"/>
  <c r="BQ22" i="13" s="1"/>
  <c r="AW22" i="13"/>
  <c r="AV22" i="13" a="1"/>
  <c r="AV22" i="13" s="1"/>
  <c r="BO25" i="13"/>
  <c r="BP25" i="13" s="1"/>
  <c r="BQ25" i="13" s="1"/>
  <c r="AW25" i="13"/>
  <c r="AV25" i="13" a="1"/>
  <c r="AV25" i="13" s="1"/>
  <c r="BO27" i="13"/>
  <c r="BP27" i="13" s="1"/>
  <c r="BQ27" i="13" s="1"/>
  <c r="AW27" i="13"/>
  <c r="AV27" i="13" a="1"/>
  <c r="AV27" i="13" s="1"/>
  <c r="BO24" i="13"/>
  <c r="BP24" i="13" s="1"/>
  <c r="BQ24" i="13" s="1"/>
  <c r="AW24" i="13"/>
  <c r="AV24" i="13" a="1"/>
  <c r="AV24" i="13" s="1"/>
  <c r="BO20" i="13"/>
  <c r="BP20" i="13" s="1"/>
  <c r="BQ20" i="13" s="1"/>
  <c r="AW20" i="13"/>
  <c r="AV20" i="13" a="1"/>
  <c r="AV20" i="13" s="1"/>
  <c r="BO53" i="13"/>
  <c r="BP53" i="13" s="1"/>
  <c r="BQ53" i="13" s="1"/>
  <c r="AW53" i="13"/>
  <c r="AV53" i="13" a="1"/>
  <c r="AV53" i="13" s="1"/>
  <c r="BO19" i="13"/>
  <c r="BP19" i="13" s="1"/>
  <c r="BQ19" i="13" s="1"/>
  <c r="AW19" i="13"/>
  <c r="AV19" i="13" a="1"/>
  <c r="AV19" i="13" s="1"/>
  <c r="BO52" i="13"/>
  <c r="BP52" i="13" s="1"/>
  <c r="BQ52" i="13" s="1"/>
  <c r="AW52" i="13"/>
  <c r="AV52" i="13" a="1"/>
  <c r="AV52" i="13" s="1"/>
  <c r="AX52" i="13" s="1"/>
  <c r="BO50" i="13"/>
  <c r="BP50" i="13" s="1"/>
  <c r="BQ50" i="13" s="1"/>
  <c r="AW50" i="13"/>
  <c r="AV50" i="13" a="1"/>
  <c r="AV50" i="13" s="1"/>
  <c r="BO47" i="13"/>
  <c r="BP47" i="13" s="1"/>
  <c r="BQ47" i="13" s="1"/>
  <c r="AW47" i="13"/>
  <c r="AV47" i="13" a="1"/>
  <c r="AV47" i="13" s="1"/>
  <c r="BO18" i="13"/>
  <c r="BP18" i="13" s="1"/>
  <c r="BQ18" i="13" s="1"/>
  <c r="AW18" i="13"/>
  <c r="AV18" i="13" a="1"/>
  <c r="AV18" i="13" s="1"/>
  <c r="BO16" i="13"/>
  <c r="BP16" i="13" s="1"/>
  <c r="BQ16" i="13" s="1"/>
  <c r="AW16" i="13"/>
  <c r="AV16" i="13" a="1"/>
  <c r="AV16" i="13" s="1"/>
  <c r="AX16" i="13" s="1"/>
  <c r="BO17" i="13"/>
  <c r="BP17" i="13" s="1"/>
  <c r="BQ17" i="13" s="1"/>
  <c r="AW17" i="13"/>
  <c r="AV17" i="13" a="1"/>
  <c r="AV17" i="13" s="1"/>
  <c r="BO14" i="13"/>
  <c r="BP14" i="13" s="1"/>
  <c r="BQ14" i="13" s="1"/>
  <c r="AW14" i="13"/>
  <c r="AV14" i="13" a="1"/>
  <c r="AV14" i="13" s="1"/>
  <c r="BO51" i="13"/>
  <c r="BP51" i="13" s="1"/>
  <c r="BQ51" i="13" s="1"/>
  <c r="AW51" i="13"/>
  <c r="AV51" i="13" a="1"/>
  <c r="AV51" i="13" s="1"/>
  <c r="BO46" i="13"/>
  <c r="BP46" i="13" s="1"/>
  <c r="BQ46" i="13" s="1"/>
  <c r="AW46" i="13"/>
  <c r="AV46" i="13" a="1"/>
  <c r="AV46" i="13" s="1"/>
  <c r="AX46" i="13" s="1"/>
  <c r="BO15" i="13"/>
  <c r="BP15" i="13" s="1"/>
  <c r="BQ15" i="13" s="1"/>
  <c r="AW15" i="13"/>
  <c r="AV15" i="13" a="1"/>
  <c r="AV15" i="13" s="1"/>
  <c r="BO49" i="13"/>
  <c r="BP49" i="13" s="1"/>
  <c r="BQ49" i="13" s="1"/>
  <c r="AW49" i="13"/>
  <c r="AV49" i="13" a="1"/>
  <c r="AV49" i="13" s="1"/>
  <c r="BO48" i="13"/>
  <c r="BP48" i="13" s="1"/>
  <c r="BQ48" i="13" s="1"/>
  <c r="AW48" i="13"/>
  <c r="AV48" i="13" a="1"/>
  <c r="AV48" i="13" s="1"/>
  <c r="BO44" i="13"/>
  <c r="BP44" i="13" s="1"/>
  <c r="BQ44" i="13" s="1"/>
  <c r="AW44" i="13"/>
  <c r="AV44" i="13" a="1"/>
  <c r="AV44" i="13" s="1"/>
  <c r="AX44" i="13" s="1"/>
  <c r="BO43" i="13"/>
  <c r="BP43" i="13" s="1"/>
  <c r="BQ43" i="13" s="1"/>
  <c r="AW43" i="13"/>
  <c r="AV43" i="13" a="1"/>
  <c r="AV43" i="13" s="1"/>
  <c r="BO42" i="13"/>
  <c r="BP42" i="13" s="1"/>
  <c r="BQ42" i="13" s="1"/>
  <c r="AW42" i="13"/>
  <c r="AV42" i="13" a="1"/>
  <c r="AV42" i="13" s="1"/>
  <c r="BO41" i="13"/>
  <c r="BP41" i="13" s="1"/>
  <c r="BQ41" i="13" s="1"/>
  <c r="AW41" i="13"/>
  <c r="AV41" i="13" a="1"/>
  <c r="AV41" i="13" s="1"/>
  <c r="BO40" i="13"/>
  <c r="BP40" i="13" s="1"/>
  <c r="BQ40" i="13" s="1"/>
  <c r="AW40" i="13"/>
  <c r="AV40" i="13" a="1"/>
  <c r="AV40" i="13" s="1"/>
  <c r="BO36" i="13"/>
  <c r="BP36" i="13" s="1"/>
  <c r="BQ36" i="13" s="1"/>
  <c r="AW36" i="13"/>
  <c r="AV36" i="13" a="1"/>
  <c r="AV36" i="13" s="1"/>
  <c r="BO37" i="13"/>
  <c r="BP37" i="13" s="1"/>
  <c r="BQ37" i="13" s="1"/>
  <c r="AW37" i="13"/>
  <c r="AV37" i="13" a="1"/>
  <c r="AV37" i="13" s="1"/>
  <c r="BO38" i="13"/>
  <c r="BP38" i="13" s="1"/>
  <c r="BQ38" i="13" s="1"/>
  <c r="AW38" i="13"/>
  <c r="AV38" i="13" a="1"/>
  <c r="AV38" i="13" s="1"/>
  <c r="BO39" i="13"/>
  <c r="BP39" i="13" s="1"/>
  <c r="BQ39" i="13" s="1"/>
  <c r="AW39" i="13"/>
  <c r="AV39" i="13" a="1"/>
  <c r="AV39" i="13" s="1"/>
  <c r="BO34" i="13"/>
  <c r="BP34" i="13" s="1"/>
  <c r="BQ34" i="13" s="1"/>
  <c r="AW34" i="13"/>
  <c r="AV34" i="13" a="1"/>
  <c r="AV34" i="13" s="1"/>
  <c r="BO35" i="13"/>
  <c r="BP35" i="13" s="1"/>
  <c r="BQ35" i="13" s="1"/>
  <c r="AW35" i="13"/>
  <c r="AV35" i="13" a="1"/>
  <c r="AV35" i="13" s="1"/>
  <c r="BO33" i="13"/>
  <c r="BP33" i="13" s="1"/>
  <c r="BQ33" i="13" s="1"/>
  <c r="AW33" i="13"/>
  <c r="AV33" i="13" a="1"/>
  <c r="AV33" i="13" s="1"/>
  <c r="BO32" i="13"/>
  <c r="BP32" i="13" s="1"/>
  <c r="BQ32" i="13" s="1"/>
  <c r="AW32" i="13"/>
  <c r="AV32" i="13" a="1"/>
  <c r="AV32" i="13" s="1"/>
  <c r="BO31" i="13"/>
  <c r="BP31" i="13" s="1"/>
  <c r="BQ31" i="13" s="1"/>
  <c r="AW31" i="13"/>
  <c r="AV31" i="13" a="1"/>
  <c r="AV31" i="13" s="1"/>
  <c r="BO30" i="13"/>
  <c r="BP30" i="13" s="1"/>
  <c r="BQ30" i="13" s="1"/>
  <c r="AW30" i="13"/>
  <c r="AV30" i="13" a="1"/>
  <c r="AV30" i="13" s="1"/>
  <c r="BO29" i="13"/>
  <c r="BP29" i="13" s="1"/>
  <c r="AW29" i="13"/>
  <c r="AV29" i="13" a="1"/>
  <c r="AV29" i="13" s="1"/>
  <c r="BO28" i="13"/>
  <c r="BP28" i="13" s="1"/>
  <c r="BQ28" i="13" s="1"/>
  <c r="AW28" i="13"/>
  <c r="AV28" i="13" a="1"/>
  <c r="AV28" i="13" s="1"/>
  <c r="BO12" i="13"/>
  <c r="BP12" i="13" s="1"/>
  <c r="BQ12" i="13" s="1"/>
  <c r="AW12" i="13"/>
  <c r="AV12" i="13" a="1"/>
  <c r="AV12" i="13" s="1"/>
  <c r="BO11" i="13"/>
  <c r="BP11" i="13" s="1"/>
  <c r="BQ11" i="13" s="1"/>
  <c r="AW11" i="13"/>
  <c r="AV11" i="13" a="1"/>
  <c r="AV11" i="13" s="1"/>
  <c r="BO10" i="13"/>
  <c r="BP10" i="13" s="1"/>
  <c r="BQ10" i="13" s="1"/>
  <c r="AW10" i="13"/>
  <c r="AV10" i="13" a="1"/>
  <c r="AV10" i="13" s="1"/>
  <c r="BO9" i="13"/>
  <c r="BP9" i="13" s="1"/>
  <c r="BQ9" i="13" s="1"/>
  <c r="AW9" i="13"/>
  <c r="AV9" i="13" a="1"/>
  <c r="AV9" i="13" s="1"/>
  <c r="AX9" i="13" s="1"/>
  <c r="BO8" i="13"/>
  <c r="BP8" i="13" s="1"/>
  <c r="BQ8" i="13" s="1"/>
  <c r="AW8" i="13"/>
  <c r="AV8" i="13" a="1"/>
  <c r="AV8" i="13" s="1"/>
  <c r="BO7" i="13"/>
  <c r="BP7" i="13" s="1"/>
  <c r="BQ7" i="13" s="1"/>
  <c r="AW7" i="13"/>
  <c r="AV7" i="13" a="1"/>
  <c r="AV7" i="13" s="1"/>
  <c r="BO6" i="13"/>
  <c r="BP6" i="13" s="1"/>
  <c r="BQ6" i="13" s="1"/>
  <c r="AW6" i="13"/>
  <c r="AV6" i="13" a="1"/>
  <c r="AV6" i="13" s="1"/>
  <c r="BO5" i="13"/>
  <c r="BP5" i="13" s="1"/>
  <c r="BQ5" i="13" s="1"/>
  <c r="AW5" i="13"/>
  <c r="AV5" i="13" a="1"/>
  <c r="AV5" i="13" s="1"/>
  <c r="BO4" i="13"/>
  <c r="BP4" i="13" s="1"/>
  <c r="BQ4" i="13" s="1"/>
  <c r="AW4" i="13"/>
  <c r="AV4" i="13" a="1"/>
  <c r="AV4" i="13" s="1"/>
  <c r="BO3" i="13"/>
  <c r="BP3" i="13" s="1"/>
  <c r="BQ3" i="13" s="1"/>
  <c r="AW3" i="13"/>
  <c r="AV3" i="13" a="1"/>
  <c r="AV3" i="13" s="1"/>
  <c r="T10" i="6"/>
  <c r="S10" i="6"/>
  <c r="T62" i="6"/>
  <c r="M10" i="6"/>
  <c r="T27" i="6"/>
  <c r="T60" i="6"/>
  <c r="T25" i="6"/>
  <c r="T12" i="6"/>
  <c r="S60" i="6"/>
  <c r="S25" i="6"/>
  <c r="S11" i="6"/>
  <c r="S27" i="6"/>
  <c r="M27" i="6"/>
  <c r="M11" i="6"/>
  <c r="AK27" i="6" a="1"/>
  <c r="AK27" i="6"/>
  <c r="AM27" i="6" s="1"/>
  <c r="AK11" i="6" a="1"/>
  <c r="AK11" i="6"/>
  <c r="AM11" i="6" s="1"/>
  <c r="AL27" i="6"/>
  <c r="AL11" i="6"/>
  <c r="BD27" i="6"/>
  <c r="BE27" i="6" s="1"/>
  <c r="BF27" i="6" s="1"/>
  <c r="BD11" i="6"/>
  <c r="BE11" i="6" s="1"/>
  <c r="BF11" i="6" s="1"/>
  <c r="M60" i="6"/>
  <c r="AK60" i="6" a="1"/>
  <c r="AK60" i="6" s="1"/>
  <c r="AL60" i="6"/>
  <c r="BD60" i="6"/>
  <c r="BE60" i="6"/>
  <c r="BF60" i="6"/>
  <c r="M25" i="6"/>
  <c r="AK25" i="6" a="1"/>
  <c r="AK25" i="6"/>
  <c r="AL25" i="6"/>
  <c r="BD25" i="6"/>
  <c r="BE25" i="6" s="1"/>
  <c r="BF25" i="6" s="1"/>
  <c r="S22" i="6"/>
  <c r="S23" i="6"/>
  <c r="S24" i="6"/>
  <c r="S26"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1" i="6"/>
  <c r="S12" i="6"/>
  <c r="S7" i="6"/>
  <c r="S8" i="6"/>
  <c r="S9" i="6"/>
  <c r="S5" i="6"/>
  <c r="S3"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M4" i="6"/>
  <c r="S4" i="6"/>
  <c r="B29" i="10"/>
  <c r="H15" i="10"/>
  <c r="T53" i="6"/>
  <c r="T54" i="6"/>
  <c r="T56" i="6"/>
  <c r="T55" i="6"/>
  <c r="T58" i="6"/>
  <c r="T57" i="6"/>
  <c r="T59" i="6"/>
  <c r="T61" i="6"/>
  <c r="T5"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4" i="6"/>
  <c r="T122" i="6" s="1"/>
  <c r="T6" i="6"/>
  <c r="T39" i="6"/>
  <c r="T33" i="6"/>
  <c r="T13" i="6"/>
  <c r="T21" i="6"/>
  <c r="T28" i="6"/>
  <c r="T20" i="6"/>
  <c r="T23" i="6"/>
  <c r="T22" i="6"/>
  <c r="T16" i="6"/>
  <c r="T24" i="6"/>
  <c r="T26" i="6"/>
  <c r="T17" i="6"/>
  <c r="T15" i="6"/>
  <c r="T29" i="6"/>
  <c r="T18" i="6"/>
  <c r="T19" i="6"/>
  <c r="T14" i="6"/>
  <c r="T35" i="6"/>
  <c r="T32" i="6"/>
  <c r="T45" i="6"/>
  <c r="T48" i="6"/>
  <c r="T47" i="6"/>
  <c r="T51" i="6"/>
  <c r="T46" i="6"/>
  <c r="T50" i="6"/>
  <c r="T49" i="6"/>
  <c r="T44" i="6"/>
  <c r="T42" i="6"/>
  <c r="T43" i="6"/>
  <c r="T40" i="6"/>
  <c r="T38" i="6"/>
  <c r="T36" i="6"/>
  <c r="T37" i="6"/>
  <c r="T34" i="6"/>
  <c r="T31" i="6"/>
  <c r="T30" i="6"/>
  <c r="T41" i="6"/>
  <c r="S14" i="6"/>
  <c r="S19" i="6"/>
  <c r="S18" i="6"/>
  <c r="S15" i="6"/>
  <c r="S17" i="6"/>
  <c r="S16" i="6"/>
  <c r="S20" i="6"/>
  <c r="S13" i="6"/>
  <c r="S6" i="6"/>
  <c r="M102" i="6"/>
  <c r="M103" i="6"/>
  <c r="M104" i="6"/>
  <c r="M105" i="6"/>
  <c r="M106" i="6"/>
  <c r="M107" i="6"/>
  <c r="M108" i="6"/>
  <c r="M109" i="6"/>
  <c r="M110" i="6"/>
  <c r="M111" i="6"/>
  <c r="M112" i="6"/>
  <c r="M113" i="6"/>
  <c r="M114" i="6"/>
  <c r="M115" i="6"/>
  <c r="M116" i="6"/>
  <c r="M117" i="6"/>
  <c r="M118" i="6"/>
  <c r="M119" i="6"/>
  <c r="M120" i="6"/>
  <c r="M121" i="6"/>
  <c r="M122" i="6"/>
  <c r="AK102" i="6" a="1"/>
  <c r="AK102" i="6"/>
  <c r="AK103" i="6" a="1"/>
  <c r="AK103" i="6"/>
  <c r="AK104" i="6" a="1"/>
  <c r="AK104" i="6"/>
  <c r="AM104" i="6" s="1"/>
  <c r="AK105" i="6" a="1"/>
  <c r="AK105" i="6"/>
  <c r="AK106" i="6" a="1"/>
  <c r="AK106" i="6"/>
  <c r="AK107" i="6" a="1"/>
  <c r="AK107" i="6"/>
  <c r="AM107" i="6" s="1"/>
  <c r="AK108" i="6" a="1"/>
  <c r="AK108" i="6"/>
  <c r="AM108" i="6" s="1"/>
  <c r="AK109" i="6" a="1"/>
  <c r="AK109" i="6"/>
  <c r="AK110" i="6" a="1"/>
  <c r="AK110" i="6"/>
  <c r="AK111" i="6" a="1"/>
  <c r="AK111" i="6"/>
  <c r="AK112" i="6" a="1"/>
  <c r="AK112" i="6"/>
  <c r="AM112" i="6" s="1"/>
  <c r="AK113" i="6" a="1"/>
  <c r="AK113" i="6"/>
  <c r="AK114" i="6" a="1"/>
  <c r="AK114" i="6"/>
  <c r="AK115" i="6" a="1"/>
  <c r="AK115" i="6"/>
  <c r="AK116" i="6" a="1"/>
  <c r="AK116" i="6"/>
  <c r="AM116" i="6" s="1"/>
  <c r="AK117" i="6" a="1"/>
  <c r="AK117" i="6"/>
  <c r="AK118" i="6" a="1"/>
  <c r="AK118" i="6"/>
  <c r="AK119" i="6" a="1"/>
  <c r="AK119" i="6"/>
  <c r="AM119" i="6" s="1"/>
  <c r="AK120" i="6" a="1"/>
  <c r="AK120" i="6"/>
  <c r="AK121" i="6" a="1"/>
  <c r="AK121" i="6"/>
  <c r="AK122" i="6" a="1"/>
  <c r="AK122" i="6"/>
  <c r="AL102" i="6"/>
  <c r="AL103" i="6"/>
  <c r="AL104" i="6"/>
  <c r="AL105" i="6"/>
  <c r="AL106" i="6"/>
  <c r="AL107" i="6"/>
  <c r="AL108" i="6"/>
  <c r="AL109" i="6"/>
  <c r="AL110" i="6"/>
  <c r="AL111" i="6"/>
  <c r="AL112" i="6"/>
  <c r="AL113" i="6"/>
  <c r="AL114" i="6"/>
  <c r="AL115" i="6"/>
  <c r="AL116" i="6"/>
  <c r="AL117" i="6"/>
  <c r="AL118" i="6"/>
  <c r="AL119" i="6"/>
  <c r="AL120" i="6"/>
  <c r="AL121" i="6"/>
  <c r="AL122" i="6"/>
  <c r="AM103" i="6"/>
  <c r="AM110" i="6"/>
  <c r="AM115" i="6"/>
  <c r="AM120" i="6"/>
  <c r="BD102" i="6"/>
  <c r="BD103" i="6"/>
  <c r="BE103" i="6" s="1"/>
  <c r="BD104" i="6"/>
  <c r="BD105" i="6"/>
  <c r="BD106" i="6"/>
  <c r="BD107" i="6"/>
  <c r="BE107" i="6" s="1"/>
  <c r="BD108" i="6"/>
  <c r="BD109" i="6"/>
  <c r="BE109" i="6" s="1"/>
  <c r="BD110" i="6"/>
  <c r="BE110" i="6" s="1"/>
  <c r="BD111" i="6"/>
  <c r="BE111" i="6" s="1"/>
  <c r="BD112" i="6"/>
  <c r="BD113" i="6"/>
  <c r="BD114" i="6"/>
  <c r="BD115" i="6"/>
  <c r="BE115" i="6" s="1"/>
  <c r="BD116" i="6"/>
  <c r="BD117" i="6"/>
  <c r="BD118" i="6"/>
  <c r="BD119" i="6"/>
  <c r="BE119" i="6" s="1"/>
  <c r="BD120" i="6"/>
  <c r="BD121" i="6"/>
  <c r="BE121" i="6" s="1"/>
  <c r="BD122" i="6"/>
  <c r="BE122" i="6" s="1"/>
  <c r="BE102" i="6"/>
  <c r="BE104" i="6"/>
  <c r="BE105" i="6"/>
  <c r="BE106" i="6"/>
  <c r="BE108" i="6"/>
  <c r="BE112" i="6"/>
  <c r="BE113" i="6"/>
  <c r="BE114" i="6"/>
  <c r="BE116" i="6"/>
  <c r="BE117" i="6"/>
  <c r="BE118" i="6"/>
  <c r="BE120" i="6"/>
  <c r="BF102" i="6"/>
  <c r="BF103" i="6"/>
  <c r="BF104" i="6"/>
  <c r="BF105" i="6"/>
  <c r="BF106" i="6"/>
  <c r="BF107" i="6"/>
  <c r="BF108" i="6"/>
  <c r="BF109" i="6"/>
  <c r="BF110" i="6"/>
  <c r="BF111" i="6"/>
  <c r="BF112" i="6"/>
  <c r="BF113" i="6"/>
  <c r="BF114" i="6"/>
  <c r="BF115" i="6"/>
  <c r="BF116" i="6"/>
  <c r="BF117" i="6"/>
  <c r="BF118" i="6"/>
  <c r="BF119" i="6"/>
  <c r="BF120" i="6"/>
  <c r="BF121" i="6"/>
  <c r="BF122" i="6"/>
  <c r="M56" i="6"/>
  <c r="M55" i="6"/>
  <c r="M58" i="6"/>
  <c r="M57" i="6"/>
  <c r="M59" i="6"/>
  <c r="M61" i="6"/>
  <c r="M12" i="6"/>
  <c r="M7" i="6"/>
  <c r="M8" i="6"/>
  <c r="M9" i="6"/>
  <c r="M5" i="6"/>
  <c r="M3"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AK56" i="6" a="1"/>
  <c r="AK56" i="6" s="1"/>
  <c r="AM56" i="6" s="1"/>
  <c r="AK55" i="6" a="1"/>
  <c r="AK55" i="6" s="1"/>
  <c r="AK58" i="6" a="1"/>
  <c r="AK58" i="6"/>
  <c r="AK57" i="6" a="1"/>
  <c r="AK57" i="6" s="1"/>
  <c r="AM57" i="6" s="1"/>
  <c r="AK59" i="6" a="1"/>
  <c r="AK59" i="6"/>
  <c r="AK61" i="6" a="1"/>
  <c r="AK61" i="6" s="1"/>
  <c r="AK12" i="6" a="1"/>
  <c r="AK12" i="6" s="1"/>
  <c r="AM12" i="6" s="1"/>
  <c r="AK7" i="6" a="1"/>
  <c r="AK7" i="6" s="1"/>
  <c r="AK8" i="6" a="1"/>
  <c r="AK8" i="6" s="1"/>
  <c r="AM8" i="6" s="1"/>
  <c r="AK9" i="6" a="1"/>
  <c r="AK9" i="6" s="1"/>
  <c r="AK5" i="6" a="1"/>
  <c r="AK5" i="6"/>
  <c r="AM5" i="6" s="1"/>
  <c r="AK3" i="6" a="1"/>
  <c r="AK3" i="6" s="1"/>
  <c r="AK10" i="6" a="1"/>
  <c r="AK10" i="6" s="1"/>
  <c r="AK62" i="6" a="1"/>
  <c r="AK62" i="6" s="1"/>
  <c r="AK63" i="6" a="1"/>
  <c r="AK63" i="6"/>
  <c r="AM63" i="6" s="1"/>
  <c r="AK64" i="6" a="1"/>
  <c r="AK64" i="6" s="1"/>
  <c r="AK65" i="6" a="1"/>
  <c r="AK65" i="6" s="1"/>
  <c r="AM65" i="6" s="1"/>
  <c r="AK66" i="6" a="1"/>
  <c r="AK66" i="6" s="1"/>
  <c r="AK67" i="6" a="1"/>
  <c r="AK67" i="6" s="1"/>
  <c r="AM67" i="6" s="1"/>
  <c r="AK68" i="6" a="1"/>
  <c r="AK68" i="6" s="1"/>
  <c r="AM68" i="6" s="1"/>
  <c r="AK69" i="6" a="1"/>
  <c r="AK69" i="6"/>
  <c r="AM69" i="6" s="1"/>
  <c r="AK70" i="6" a="1"/>
  <c r="AK70" i="6" s="1"/>
  <c r="AK71" i="6" a="1"/>
  <c r="AK71" i="6"/>
  <c r="AM71" i="6" s="1"/>
  <c r="AK72" i="6" a="1"/>
  <c r="AK72" i="6" s="1"/>
  <c r="AM72" i="6" s="1"/>
  <c r="AK73" i="6" a="1"/>
  <c r="AK73" i="6" s="1"/>
  <c r="AK74" i="6" a="1"/>
  <c r="AK74" i="6" s="1"/>
  <c r="AK75" i="6" a="1"/>
  <c r="AK75" i="6"/>
  <c r="AM75" i="6" s="1"/>
  <c r="AK76" i="6" a="1"/>
  <c r="AK76" i="6" s="1"/>
  <c r="AK77" i="6" a="1"/>
  <c r="AK77" i="6"/>
  <c r="AM77" i="6" s="1"/>
  <c r="AK78" i="6" a="1"/>
  <c r="AK78" i="6" s="1"/>
  <c r="AM78" i="6" s="1"/>
  <c r="AK79" i="6" a="1"/>
  <c r="AK79" i="6"/>
  <c r="AK80" i="6" a="1"/>
  <c r="AK80" i="6" s="1"/>
  <c r="AK81" i="6" a="1"/>
  <c r="AK81" i="6" s="1"/>
  <c r="AM81" i="6" s="1"/>
  <c r="AK82" i="6" a="1"/>
  <c r="AK82" i="6" s="1"/>
  <c r="AK83" i="6" a="1"/>
  <c r="AK83" i="6"/>
  <c r="AK84" i="6" a="1"/>
  <c r="AK84" i="6" s="1"/>
  <c r="AM84" i="6" s="1"/>
  <c r="AK85" i="6" a="1"/>
  <c r="AK85" i="6"/>
  <c r="AM85" i="6" s="1"/>
  <c r="AK86" i="6" a="1"/>
  <c r="AK86" i="6" s="1"/>
  <c r="AM86" i="6" s="1"/>
  <c r="AK87" i="6" a="1"/>
  <c r="AK87" i="6" s="1"/>
  <c r="AM87" i="6" s="1"/>
  <c r="AK88" i="6" a="1"/>
  <c r="AK88" i="6" s="1"/>
  <c r="AK89" i="6" a="1"/>
  <c r="AK89" i="6" s="1"/>
  <c r="AM89" i="6" s="1"/>
  <c r="AK90" i="6" a="1"/>
  <c r="AK90" i="6" s="1"/>
  <c r="AK91" i="6" a="1"/>
  <c r="AK91" i="6"/>
  <c r="AK92" i="6" a="1"/>
  <c r="AK92" i="6" s="1"/>
  <c r="AM92" i="6" s="1"/>
  <c r="AK93" i="6" a="1"/>
  <c r="AK93" i="6" s="1"/>
  <c r="AM93" i="6" s="1"/>
  <c r="AK94" i="6" a="1"/>
  <c r="AK94" i="6" s="1"/>
  <c r="AK95" i="6" a="1"/>
  <c r="AK95" i="6"/>
  <c r="AM95" i="6" s="1"/>
  <c r="AK96" i="6" a="1"/>
  <c r="AK96" i="6" s="1"/>
  <c r="AK97" i="6" a="1"/>
  <c r="AK97" i="6" s="1"/>
  <c r="AM97" i="6" s="1"/>
  <c r="AK98" i="6" a="1"/>
  <c r="AK98" i="6" s="1"/>
  <c r="AK99" i="6" a="1"/>
  <c r="AK99" i="6" s="1"/>
  <c r="AM99" i="6" s="1"/>
  <c r="AK100" i="6" a="1"/>
  <c r="AK100" i="6" s="1"/>
  <c r="AM100" i="6" s="1"/>
  <c r="AK101" i="6" a="1"/>
  <c r="AK101" i="6"/>
  <c r="AM101" i="6" s="1"/>
  <c r="AL56" i="6"/>
  <c r="AL55" i="6"/>
  <c r="AL58" i="6"/>
  <c r="AL57" i="6"/>
  <c r="AL59" i="6"/>
  <c r="AL61" i="6"/>
  <c r="AL12" i="6"/>
  <c r="AL7" i="6"/>
  <c r="AL8" i="6"/>
  <c r="AL9" i="6"/>
  <c r="AL5" i="6"/>
  <c r="AL3" i="6"/>
  <c r="AM3" i="6" s="1"/>
  <c r="AL10" i="6"/>
  <c r="AL62" i="6"/>
  <c r="AL63" i="6"/>
  <c r="AL64" i="6"/>
  <c r="AM64" i="6" s="1"/>
  <c r="AL65" i="6"/>
  <c r="AL66" i="6"/>
  <c r="AL67" i="6"/>
  <c r="AL68" i="6"/>
  <c r="AL69" i="6"/>
  <c r="AL70" i="6"/>
  <c r="AL71" i="6"/>
  <c r="AL72" i="6"/>
  <c r="AL73" i="6"/>
  <c r="AL74" i="6"/>
  <c r="AL75" i="6"/>
  <c r="AL76" i="6"/>
  <c r="AM76" i="6" s="1"/>
  <c r="AL77" i="6"/>
  <c r="AL78" i="6"/>
  <c r="AL79" i="6"/>
  <c r="AM79" i="6" s="1"/>
  <c r="AL80" i="6"/>
  <c r="AM80" i="6" s="1"/>
  <c r="AL81" i="6"/>
  <c r="AL82" i="6"/>
  <c r="AL83" i="6"/>
  <c r="AL84" i="6"/>
  <c r="AL85" i="6"/>
  <c r="AL86" i="6"/>
  <c r="AL87" i="6"/>
  <c r="AL88" i="6"/>
  <c r="AM88" i="6" s="1"/>
  <c r="AL89" i="6"/>
  <c r="AL90" i="6"/>
  <c r="AL91" i="6"/>
  <c r="AL92" i="6"/>
  <c r="AL93" i="6"/>
  <c r="AL94" i="6"/>
  <c r="AL95" i="6"/>
  <c r="AL96" i="6"/>
  <c r="AM96" i="6" s="1"/>
  <c r="AL97" i="6"/>
  <c r="AL98" i="6"/>
  <c r="AL99" i="6"/>
  <c r="AL100" i="6"/>
  <c r="AL101" i="6"/>
  <c r="AM61" i="6"/>
  <c r="AM9" i="6"/>
  <c r="AM66" i="6"/>
  <c r="AM74" i="6"/>
  <c r="AM82" i="6"/>
  <c r="AM90" i="6"/>
  <c r="AM98" i="6"/>
  <c r="BD56" i="6"/>
  <c r="BD55" i="6"/>
  <c r="BD58" i="6"/>
  <c r="BE58" i="6" s="1"/>
  <c r="BF58" i="6" s="1"/>
  <c r="BD57" i="6"/>
  <c r="BD59" i="6"/>
  <c r="BD61" i="6"/>
  <c r="BD12" i="6"/>
  <c r="BE12" i="6" s="1"/>
  <c r="BF12" i="6" s="1"/>
  <c r="BD7" i="6"/>
  <c r="BD8" i="6"/>
  <c r="BE8" i="6" s="1"/>
  <c r="BF8" i="6" s="1"/>
  <c r="BD9" i="6"/>
  <c r="BE9" i="6" s="1"/>
  <c r="BF9" i="6" s="1"/>
  <c r="BD5" i="6"/>
  <c r="BE5" i="6" s="1"/>
  <c r="BF5" i="6" s="1"/>
  <c r="BD3" i="6"/>
  <c r="BD10" i="6"/>
  <c r="BD62" i="6"/>
  <c r="BE62" i="6" s="1"/>
  <c r="BD63" i="6"/>
  <c r="BE63" i="6" s="1"/>
  <c r="BD64" i="6"/>
  <c r="BD65" i="6"/>
  <c r="BD66" i="6"/>
  <c r="BD67" i="6"/>
  <c r="BE67" i="6" s="1"/>
  <c r="BD68" i="6"/>
  <c r="BD69" i="6"/>
  <c r="BD70" i="6"/>
  <c r="BD71" i="6"/>
  <c r="BE71" i="6" s="1"/>
  <c r="BD72" i="6"/>
  <c r="BD73" i="6"/>
  <c r="BE73" i="6" s="1"/>
  <c r="BD74" i="6"/>
  <c r="BE74" i="6" s="1"/>
  <c r="BD75" i="6"/>
  <c r="BE75" i="6" s="1"/>
  <c r="BD76" i="6"/>
  <c r="BD77" i="6"/>
  <c r="BD78" i="6"/>
  <c r="BE78" i="6" s="1"/>
  <c r="BD79" i="6"/>
  <c r="BE79" i="6" s="1"/>
  <c r="BD80" i="6"/>
  <c r="BD81" i="6"/>
  <c r="BD82" i="6"/>
  <c r="BD83" i="6"/>
  <c r="BE83" i="6" s="1"/>
  <c r="BD84" i="6"/>
  <c r="BD85" i="6"/>
  <c r="BD86" i="6"/>
  <c r="BD87" i="6"/>
  <c r="BE87" i="6" s="1"/>
  <c r="BD88" i="6"/>
  <c r="BD89" i="6"/>
  <c r="BE89" i="6" s="1"/>
  <c r="BD90" i="6"/>
  <c r="BE90" i="6" s="1"/>
  <c r="BD91" i="6"/>
  <c r="BE91" i="6" s="1"/>
  <c r="BD92" i="6"/>
  <c r="BD93" i="6"/>
  <c r="BD94" i="6"/>
  <c r="BE94" i="6" s="1"/>
  <c r="BD95" i="6"/>
  <c r="BE95" i="6" s="1"/>
  <c r="BD96" i="6"/>
  <c r="BD97" i="6"/>
  <c r="BD98" i="6"/>
  <c r="BD99" i="6"/>
  <c r="BE99" i="6" s="1"/>
  <c r="BD100" i="6"/>
  <c r="BD101" i="6"/>
  <c r="BE56" i="6"/>
  <c r="BE55" i="6"/>
  <c r="BF55" i="6" s="1"/>
  <c r="BE57" i="6"/>
  <c r="BF57" i="6" s="1"/>
  <c r="BE59" i="6"/>
  <c r="BF59" i="6" s="1"/>
  <c r="BE61" i="6"/>
  <c r="BE7" i="6"/>
  <c r="BF7" i="6" s="1"/>
  <c r="BE3" i="6"/>
  <c r="BE10" i="6"/>
  <c r="BF10" i="6" s="1"/>
  <c r="BE64" i="6"/>
  <c r="BE65" i="6"/>
  <c r="BE66" i="6"/>
  <c r="BE68" i="6"/>
  <c r="BE69" i="6"/>
  <c r="BE70" i="6"/>
  <c r="BE72" i="6"/>
  <c r="BE76" i="6"/>
  <c r="BE77" i="6"/>
  <c r="BE80" i="6"/>
  <c r="BE81" i="6"/>
  <c r="BE82" i="6"/>
  <c r="BE84" i="6"/>
  <c r="BE85" i="6"/>
  <c r="BE86" i="6"/>
  <c r="BE88" i="6"/>
  <c r="BE92" i="6"/>
  <c r="BE93" i="6"/>
  <c r="BE96" i="6"/>
  <c r="BE97" i="6"/>
  <c r="BE98" i="6"/>
  <c r="BE100" i="6"/>
  <c r="BE101" i="6"/>
  <c r="BF56" i="6"/>
  <c r="BF61" i="6"/>
  <c r="BF3" i="6"/>
  <c r="BF62" i="6"/>
  <c r="BF63" i="6"/>
  <c r="BF64" i="6"/>
  <c r="BF65" i="6"/>
  <c r="BF66" i="6"/>
  <c r="BF67" i="6"/>
  <c r="BF68" i="6"/>
  <c r="BF69" i="6"/>
  <c r="BF70" i="6"/>
  <c r="BF71" i="6"/>
  <c r="BF72" i="6"/>
  <c r="BF73" i="6"/>
  <c r="BF74" i="6"/>
  <c r="BF75" i="6"/>
  <c r="BF76" i="6"/>
  <c r="BF77" i="6"/>
  <c r="BF78" i="6"/>
  <c r="BF79" i="6"/>
  <c r="BF80" i="6"/>
  <c r="BF81" i="6"/>
  <c r="BF82" i="6"/>
  <c r="BF83" i="6"/>
  <c r="BF84" i="6"/>
  <c r="BF85" i="6"/>
  <c r="BF86" i="6"/>
  <c r="BF87" i="6"/>
  <c r="BF88" i="6"/>
  <c r="BF89" i="6"/>
  <c r="BF90" i="6"/>
  <c r="BF91" i="6"/>
  <c r="BF92" i="6"/>
  <c r="BF93" i="6"/>
  <c r="BF94" i="6"/>
  <c r="BF95" i="6"/>
  <c r="BF96" i="6"/>
  <c r="BF97" i="6"/>
  <c r="BF98" i="6"/>
  <c r="BF99" i="6"/>
  <c r="BF100" i="6"/>
  <c r="BF101" i="6"/>
  <c r="AK6" i="6" a="1"/>
  <c r="AK6" i="6" s="1"/>
  <c r="AM111" i="6" l="1"/>
  <c r="AM83" i="6"/>
  <c r="AM58" i="6"/>
  <c r="AM94" i="6"/>
  <c r="AM91" i="6"/>
  <c r="AM62" i="6"/>
  <c r="AM7" i="6"/>
  <c r="AM122" i="6"/>
  <c r="AM118" i="6"/>
  <c r="AM114" i="6"/>
  <c r="AM106" i="6"/>
  <c r="AM102" i="6"/>
  <c r="AM25" i="6"/>
  <c r="AM60" i="6"/>
  <c r="AM73" i="6"/>
  <c r="AM70" i="6"/>
  <c r="AM55" i="6"/>
  <c r="AO3" i="14"/>
  <c r="AO7" i="14"/>
  <c r="AO11" i="14"/>
  <c r="AO54" i="14"/>
  <c r="AO56" i="14"/>
  <c r="AO58" i="14"/>
  <c r="AO63" i="14"/>
  <c r="AO66" i="14"/>
  <c r="AO70" i="14"/>
  <c r="AO74" i="14"/>
  <c r="AO78" i="14"/>
  <c r="AO82" i="14"/>
  <c r="AO86" i="14"/>
  <c r="AO90" i="14"/>
  <c r="AO94" i="14"/>
  <c r="AO98" i="14"/>
  <c r="AO102" i="14"/>
  <c r="AO106" i="14"/>
  <c r="AO110" i="14"/>
  <c r="AO114" i="14"/>
  <c r="AO118" i="14"/>
  <c r="AO122" i="14"/>
  <c r="AX69" i="13"/>
  <c r="AX59" i="13"/>
  <c r="AX40" i="13"/>
  <c r="AX39" i="13"/>
  <c r="AX32" i="13"/>
  <c r="AX28" i="13"/>
  <c r="AX24" i="13"/>
  <c r="M61" i="13"/>
  <c r="M56" i="13"/>
  <c r="M67" i="13"/>
  <c r="M33" i="13"/>
  <c r="M29" i="13"/>
  <c r="M11" i="13"/>
  <c r="M7" i="13"/>
  <c r="M84" i="13"/>
  <c r="M80" i="13"/>
  <c r="M77" i="13"/>
  <c r="M76" i="13"/>
  <c r="M69" i="13"/>
  <c r="M26" i="13"/>
  <c r="M23" i="13"/>
  <c r="M52" i="13"/>
  <c r="M17" i="13"/>
  <c r="M15" i="13"/>
  <c r="M48" i="13"/>
  <c r="M41" i="13"/>
  <c r="M37" i="13"/>
  <c r="M81" i="13"/>
  <c r="M65" i="13"/>
  <c r="M63" i="13"/>
  <c r="M73" i="13"/>
  <c r="M22" i="13"/>
  <c r="M21" i="13"/>
  <c r="M53" i="13"/>
  <c r="M18" i="13"/>
  <c r="M51" i="13"/>
  <c r="M45" i="13"/>
  <c r="M42" i="13"/>
  <c r="M38" i="13"/>
  <c r="M59" i="13"/>
  <c r="M55" i="13"/>
  <c r="M66" i="13"/>
  <c r="M32" i="13"/>
  <c r="M28" i="13"/>
  <c r="M10" i="13"/>
  <c r="M6" i="13"/>
  <c r="AM117" i="6"/>
  <c r="AM113" i="6"/>
  <c r="AM105" i="6"/>
  <c r="M64" i="13"/>
  <c r="M71" i="13"/>
  <c r="M68" i="13"/>
  <c r="M20" i="13"/>
  <c r="M16" i="13"/>
  <c r="M44" i="13"/>
  <c r="M40" i="13"/>
  <c r="M31" i="13"/>
  <c r="M9" i="13"/>
  <c r="AM10" i="6"/>
  <c r="AM59" i="6"/>
  <c r="AM121" i="6"/>
  <c r="AM109" i="6"/>
  <c r="M83" i="13"/>
  <c r="M79" i="13"/>
  <c r="M75" i="13"/>
  <c r="M60" i="13"/>
  <c r="M54" i="13"/>
  <c r="M25" i="13"/>
  <c r="M50" i="13"/>
  <c r="M46" i="13"/>
  <c r="M35" i="13"/>
  <c r="M13" i="13"/>
  <c r="M5" i="13"/>
  <c r="U123" i="14"/>
  <c r="AO9" i="14"/>
  <c r="AO12" i="14"/>
  <c r="AO55" i="14"/>
  <c r="AO57" i="14"/>
  <c r="AO64" i="14"/>
  <c r="AO68" i="14"/>
  <c r="AO72" i="14"/>
  <c r="AO76" i="14"/>
  <c r="AO80" i="14"/>
  <c r="AO84" i="14"/>
  <c r="AO88" i="14"/>
  <c r="AO92" i="14"/>
  <c r="AO96" i="14"/>
  <c r="AO100" i="14"/>
  <c r="AO104" i="14"/>
  <c r="AO108" i="14"/>
  <c r="AO112" i="14"/>
  <c r="AO116" i="14"/>
  <c r="AO120" i="14"/>
  <c r="M87" i="13"/>
  <c r="M82" i="13"/>
  <c r="M78" i="13"/>
  <c r="M74" i="13"/>
  <c r="M58" i="13"/>
  <c r="M72" i="13"/>
  <c r="M62" i="13"/>
  <c r="M70" i="13"/>
  <c r="M27" i="13"/>
  <c r="M24" i="13"/>
  <c r="M19" i="13"/>
  <c r="M47" i="13"/>
  <c r="M14" i="13"/>
  <c r="M49" i="13"/>
  <c r="M43" i="13"/>
  <c r="M39" i="13"/>
  <c r="M34" i="13"/>
  <c r="M30" i="13"/>
  <c r="M12" i="13"/>
  <c r="M8" i="13"/>
  <c r="M3" i="13"/>
  <c r="AX80" i="13"/>
  <c r="L85" i="13"/>
  <c r="M85" i="13"/>
  <c r="BQ29" i="13"/>
  <c r="L57" i="13"/>
  <c r="M57" i="13"/>
  <c r="L36" i="13"/>
  <c r="M36" i="13"/>
  <c r="AX3" i="13"/>
  <c r="AX7" i="13"/>
  <c r="AX11" i="13"/>
  <c r="AX30" i="13"/>
  <c r="AX35" i="13"/>
  <c r="AX37" i="13"/>
  <c r="AX42" i="13"/>
  <c r="AX49" i="13"/>
  <c r="AX14" i="13"/>
  <c r="AX47" i="13"/>
  <c r="AX53" i="13"/>
  <c r="AX25" i="13"/>
  <c r="AX23" i="13"/>
  <c r="AX67" i="13"/>
  <c r="AX62" i="13"/>
  <c r="AX76" i="13"/>
  <c r="AX63" i="13"/>
  <c r="AX74" i="13"/>
  <c r="AX64" i="13"/>
  <c r="AX77" i="13"/>
  <c r="AX65" i="13"/>
  <c r="AX78" i="13"/>
  <c r="AX79" i="13"/>
  <c r="AX81" i="13"/>
  <c r="AX82" i="13"/>
  <c r="AX83" i="13"/>
  <c r="AX84" i="13"/>
  <c r="AX85" i="13"/>
  <c r="AX86" i="13"/>
  <c r="AX87" i="13"/>
  <c r="AX88" i="13"/>
  <c r="AX89" i="13"/>
  <c r="AX90" i="13"/>
  <c r="AX91" i="13"/>
  <c r="AX92" i="13"/>
  <c r="AX93" i="13"/>
  <c r="AX94" i="13"/>
  <c r="AX95" i="13"/>
  <c r="AX96" i="13"/>
  <c r="AX97" i="13"/>
  <c r="AX98" i="13"/>
  <c r="AX99" i="13"/>
  <c r="AX100" i="13"/>
  <c r="AX101" i="13"/>
  <c r="AX102" i="13"/>
  <c r="AX103" i="13"/>
  <c r="AX104" i="13"/>
  <c r="AX105" i="13"/>
  <c r="AX106" i="13"/>
  <c r="AX107" i="13"/>
  <c r="AX108" i="13"/>
  <c r="AX109" i="13"/>
  <c r="AX110" i="13"/>
  <c r="AX111" i="13"/>
  <c r="AX112" i="13"/>
  <c r="AX113" i="13"/>
  <c r="AX114" i="13"/>
  <c r="AX115" i="13"/>
  <c r="AX116" i="13"/>
  <c r="AX117" i="13"/>
  <c r="AX118" i="13"/>
  <c r="AX119" i="13"/>
  <c r="AX120" i="13"/>
  <c r="AX121" i="13"/>
  <c r="AX122" i="13"/>
  <c r="AX4" i="13"/>
  <c r="AX8" i="13"/>
  <c r="AX12" i="13"/>
  <c r="AX31" i="13"/>
  <c r="AX34" i="13"/>
  <c r="AX36" i="13"/>
  <c r="AX43" i="13"/>
  <c r="AX15" i="13"/>
  <c r="AX17" i="13"/>
  <c r="AX50" i="13"/>
  <c r="AX20" i="13"/>
  <c r="AX22" i="13"/>
  <c r="AX68" i="13"/>
  <c r="AX54" i="13"/>
  <c r="AX60" i="13"/>
  <c r="AX61" i="13"/>
  <c r="AX72" i="13"/>
  <c r="AX71" i="13"/>
  <c r="AX57" i="13"/>
  <c r="AX13" i="13"/>
  <c r="AX75" i="13"/>
  <c r="AX66" i="13"/>
  <c r="AX58" i="13"/>
  <c r="AX5" i="13"/>
  <c r="AX6" i="13"/>
  <c r="AX10" i="13"/>
  <c r="AX29" i="13"/>
  <c r="AX33" i="13"/>
  <c r="AX38" i="13"/>
  <c r="AX41" i="13"/>
  <c r="AX48" i="13"/>
  <c r="AX51" i="13"/>
  <c r="AX18" i="13"/>
  <c r="AX19" i="13"/>
  <c r="AX27" i="13"/>
  <c r="AX21" i="13"/>
  <c r="AX70" i="13"/>
  <c r="AX55" i="13"/>
  <c r="AX45" i="13"/>
  <c r="AX73" i="13"/>
  <c r="Q4" i="13"/>
  <c r="K4" i="13" s="1"/>
  <c r="M4" i="13" s="1"/>
  <c r="AK14" i="6" a="1"/>
  <c r="AK14" i="6" s="1"/>
  <c r="AK54" i="6" a="1"/>
  <c r="AK54" i="6" s="1"/>
  <c r="AK52" i="6" a="1"/>
  <c r="AK52" i="6" s="1"/>
  <c r="AK53" i="6" a="1"/>
  <c r="AK53" i="6" s="1"/>
  <c r="AK35" i="6" a="1"/>
  <c r="AK35" i="6" s="1"/>
  <c r="AK32" i="6" a="1"/>
  <c r="AK32" i="6" s="1"/>
  <c r="AK45" i="6" a="1"/>
  <c r="AK45" i="6" s="1"/>
  <c r="AK48" i="6" a="1"/>
  <c r="AK48" i="6" s="1"/>
  <c r="AK47" i="6" a="1"/>
  <c r="AK47" i="6" s="1"/>
  <c r="AK51" i="6" a="1"/>
  <c r="AK51" i="6" s="1"/>
  <c r="AK46" i="6" a="1"/>
  <c r="AK46" i="6" s="1"/>
  <c r="AK50" i="6" a="1"/>
  <c r="AK50" i="6" s="1"/>
  <c r="AK49" i="6" a="1"/>
  <c r="AK49" i="6" s="1"/>
  <c r="AK44" i="6" a="1"/>
  <c r="AK44" i="6" s="1"/>
  <c r="AK41" i="6" a="1"/>
  <c r="AK41" i="6" s="1"/>
  <c r="AK42" i="6" a="1"/>
  <c r="AK42" i="6" s="1"/>
  <c r="AK43" i="6" a="1"/>
  <c r="AK43" i="6" s="1"/>
  <c r="AK40" i="6" a="1"/>
  <c r="AK40" i="6" s="1"/>
  <c r="AK38" i="6" a="1"/>
  <c r="AK38" i="6" s="1"/>
  <c r="AK36" i="6" a="1"/>
  <c r="AK36" i="6" s="1"/>
  <c r="AK37" i="6" a="1"/>
  <c r="AK37" i="6" s="1"/>
  <c r="AK34" i="6" a="1"/>
  <c r="AK34" i="6" s="1"/>
  <c r="AK31" i="6" a="1"/>
  <c r="AK31" i="6" s="1"/>
  <c r="AK30" i="6" a="1"/>
  <c r="AK30" i="6" s="1"/>
  <c r="B2"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5" i="11"/>
  <c r="BD30" i="6"/>
  <c r="BD31" i="6"/>
  <c r="BD38" i="6"/>
  <c r="BD37" i="6"/>
  <c r="M31" i="6" l="1"/>
  <c r="M34" i="6"/>
  <c r="M37" i="6"/>
  <c r="M36" i="6"/>
  <c r="M38" i="6"/>
  <c r="M40" i="6"/>
  <c r="M43" i="6"/>
  <c r="M42" i="6"/>
  <c r="M41" i="6"/>
  <c r="M44" i="6"/>
  <c r="M49" i="6"/>
  <c r="M50" i="6"/>
  <c r="M46" i="6"/>
  <c r="M51" i="6"/>
  <c r="M47" i="6"/>
  <c r="M48" i="6"/>
  <c r="M45" i="6"/>
  <c r="M32" i="6"/>
  <c r="M35" i="6"/>
  <c r="M53" i="6"/>
  <c r="M52" i="6"/>
  <c r="M54" i="6"/>
  <c r="M14" i="6"/>
  <c r="M19" i="6"/>
  <c r="M18" i="6"/>
  <c r="M29" i="6"/>
  <c r="M15" i="6"/>
  <c r="M17" i="6"/>
  <c r="M26" i="6"/>
  <c r="M24" i="6"/>
  <c r="M16" i="6"/>
  <c r="M22" i="6"/>
  <c r="M23" i="6"/>
  <c r="M20" i="6"/>
  <c r="M28" i="6"/>
  <c r="M21" i="6"/>
  <c r="M13" i="6"/>
  <c r="M33" i="6"/>
  <c r="M39" i="6"/>
  <c r="M6" i="6"/>
  <c r="B3" i="11"/>
  <c r="B4" i="11"/>
  <c r="B3" i="10"/>
  <c r="B9" i="10"/>
  <c r="B11" i="10"/>
  <c r="B12" i="10"/>
  <c r="B13" i="10"/>
  <c r="B7" i="10"/>
  <c r="B8" i="10"/>
  <c r="B10" i="10"/>
  <c r="B23" i="10"/>
  <c r="B14" i="10"/>
  <c r="B4" i="10"/>
  <c r="B5" i="10"/>
  <c r="B19" i="10"/>
  <c r="B20" i="10"/>
  <c r="B18" i="10"/>
  <c r="B17" i="10"/>
  <c r="B15" i="10"/>
  <c r="B21" i="10"/>
  <c r="B28" i="10"/>
  <c r="B22" i="10"/>
  <c r="B25" i="10"/>
  <c r="B27" i="10"/>
  <c r="B24" i="10"/>
  <c r="J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49" i="10" l="1"/>
  <c r="J148" i="10"/>
  <c r="J147" i="10"/>
  <c r="J146" i="10"/>
  <c r="J145" i="10"/>
  <c r="J144" i="10"/>
  <c r="J143" i="10"/>
  <c r="J142" i="10"/>
  <c r="J141" i="10"/>
  <c r="J140" i="10"/>
  <c r="J139" i="10"/>
  <c r="J138" i="10"/>
  <c r="J137" i="10"/>
  <c r="J136" i="10"/>
  <c r="J135" i="10"/>
  <c r="J134" i="10"/>
  <c r="J133" i="10"/>
  <c r="J132" i="10"/>
  <c r="J131" i="10"/>
  <c r="J130" i="10"/>
  <c r="J129" i="10"/>
  <c r="J128" i="10"/>
  <c r="J127" i="10"/>
  <c r="J126" i="10"/>
  <c r="J125" i="10"/>
  <c r="J124" i="10"/>
  <c r="J123" i="10"/>
  <c r="J122" i="10"/>
  <c r="J121" i="10"/>
  <c r="J120" i="10"/>
  <c r="J119" i="10"/>
  <c r="J118" i="10"/>
  <c r="J117" i="10"/>
  <c r="J116" i="10"/>
  <c r="J115" i="10"/>
  <c r="J114" i="10"/>
  <c r="J113" i="10"/>
  <c r="J112" i="10"/>
  <c r="J111" i="10"/>
  <c r="J110" i="10"/>
  <c r="J109" i="10"/>
  <c r="J108" i="10"/>
  <c r="J107" i="10"/>
  <c r="J106" i="10"/>
  <c r="J105" i="10"/>
  <c r="J104" i="10"/>
  <c r="J103" i="10"/>
  <c r="J102" i="10"/>
  <c r="J101" i="10"/>
  <c r="J100" i="10"/>
  <c r="J99" i="10"/>
  <c r="J98" i="10"/>
  <c r="J97" i="10"/>
  <c r="J96" i="10"/>
  <c r="J95" i="10"/>
  <c r="J94" i="10"/>
  <c r="J93" i="10"/>
  <c r="J92" i="10"/>
  <c r="J91" i="10"/>
  <c r="J90" i="10"/>
  <c r="J89" i="10"/>
  <c r="J88" i="10"/>
  <c r="J87" i="10"/>
  <c r="J86" i="10"/>
  <c r="J85" i="10"/>
  <c r="J84" i="10"/>
  <c r="J83" i="10"/>
  <c r="J82" i="10"/>
  <c r="J81" i="10"/>
  <c r="J77" i="10"/>
  <c r="J79" i="10"/>
  <c r="J75" i="10"/>
  <c r="J64" i="10"/>
  <c r="J63" i="10"/>
  <c r="J62" i="10"/>
  <c r="J80" i="10"/>
  <c r="J68" i="10"/>
  <c r="J71" i="10"/>
  <c r="J74" i="10"/>
  <c r="J67" i="10"/>
  <c r="J66" i="10"/>
  <c r="J76" i="10"/>
  <c r="J73" i="10"/>
  <c r="J70" i="10"/>
  <c r="J72" i="10"/>
  <c r="J65" i="10"/>
  <c r="J69" i="10"/>
  <c r="J78" i="10"/>
  <c r="J48" i="10"/>
  <c r="J47" i="10"/>
  <c r="J45" i="10"/>
  <c r="J60" i="10"/>
  <c r="J44" i="10"/>
  <c r="J46" i="10"/>
  <c r="J42" i="10"/>
  <c r="J43" i="10"/>
  <c r="J53" i="10"/>
  <c r="J52" i="10"/>
  <c r="J59" i="10"/>
  <c r="J58" i="10"/>
  <c r="J57" i="10"/>
  <c r="J54" i="10"/>
  <c r="J55" i="10"/>
  <c r="J56" i="10"/>
  <c r="J51" i="10"/>
  <c r="J49" i="10"/>
  <c r="J50" i="10"/>
  <c r="J32" i="10"/>
  <c r="J30" i="10"/>
  <c r="J38" i="10"/>
  <c r="J36" i="10"/>
  <c r="J37" i="10"/>
  <c r="J41" i="10"/>
  <c r="J33" i="10"/>
  <c r="J34" i="10"/>
  <c r="J39" i="10"/>
  <c r="J31" i="10"/>
  <c r="J35" i="10"/>
  <c r="J40" i="10"/>
  <c r="J16" i="10"/>
  <c r="J26" i="10"/>
  <c r="J24" i="10"/>
  <c r="J25" i="10"/>
  <c r="J22" i="10"/>
  <c r="J29" i="10"/>
  <c r="J28" i="10"/>
  <c r="J21" i="10"/>
  <c r="J15" i="10"/>
  <c r="J17" i="10"/>
  <c r="J18" i="10"/>
  <c r="J20" i="10"/>
  <c r="J19" i="10"/>
  <c r="J5" i="10"/>
  <c r="J4" i="10"/>
  <c r="J14" i="10"/>
  <c r="J23" i="10"/>
  <c r="J10" i="10"/>
  <c r="J8" i="10"/>
  <c r="J7" i="10"/>
  <c r="J13" i="10"/>
  <c r="J12" i="10"/>
  <c r="J11" i="10"/>
  <c r="J9" i="10"/>
  <c r="J3" i="10"/>
  <c r="J6" i="10"/>
  <c r="J2" i="10"/>
  <c r="BD34" i="6" l="1"/>
  <c r="BE34" i="6" s="1"/>
  <c r="BF34" i="6" s="1"/>
  <c r="BD36" i="6"/>
  <c r="BE36" i="6" s="1"/>
  <c r="BF36" i="6" s="1"/>
  <c r="BE38" i="6"/>
  <c r="BF38" i="6" s="1"/>
  <c r="BD40" i="6"/>
  <c r="BE40" i="6" s="1"/>
  <c r="BF40" i="6" s="1"/>
  <c r="BD43" i="6"/>
  <c r="BE43" i="6" s="1"/>
  <c r="BF43" i="6" s="1"/>
  <c r="BD42" i="6"/>
  <c r="BE42" i="6" s="1"/>
  <c r="BF42" i="6" s="1"/>
  <c r="BD41" i="6"/>
  <c r="BE41" i="6" s="1"/>
  <c r="BF41" i="6" s="1"/>
  <c r="BD44" i="6"/>
  <c r="BE44" i="6" s="1"/>
  <c r="BF44" i="6" s="1"/>
  <c r="BD49" i="6"/>
  <c r="BE49" i="6" s="1"/>
  <c r="BF49" i="6" s="1"/>
  <c r="BD50" i="6"/>
  <c r="BE50" i="6" s="1"/>
  <c r="BF50" i="6" s="1"/>
  <c r="BD46" i="6"/>
  <c r="BE46" i="6" s="1"/>
  <c r="BF46" i="6" s="1"/>
  <c r="BD51" i="6"/>
  <c r="BE51" i="6" s="1"/>
  <c r="BF51" i="6" s="1"/>
  <c r="BD47" i="6"/>
  <c r="BE47" i="6" s="1"/>
  <c r="BF47" i="6" s="1"/>
  <c r="BD48" i="6"/>
  <c r="BE48" i="6" s="1"/>
  <c r="BF48" i="6" s="1"/>
  <c r="BD45" i="6"/>
  <c r="BE45" i="6" s="1"/>
  <c r="BF45" i="6" s="1"/>
  <c r="BD32" i="6"/>
  <c r="BE32" i="6" s="1"/>
  <c r="BF32" i="6" s="1"/>
  <c r="BD35" i="6"/>
  <c r="BE35" i="6" s="1"/>
  <c r="BF35" i="6" s="1"/>
  <c r="BD53" i="6"/>
  <c r="BE53" i="6" s="1"/>
  <c r="BF53" i="6" s="1"/>
  <c r="BD52" i="6"/>
  <c r="BE52" i="6" s="1"/>
  <c r="BF52" i="6" s="1"/>
  <c r="BD54" i="6"/>
  <c r="BE54" i="6" s="1"/>
  <c r="BF54" i="6" s="1"/>
  <c r="BD14" i="6"/>
  <c r="BE14" i="6" s="1"/>
  <c r="BF14" i="6" s="1"/>
  <c r="BD19" i="6"/>
  <c r="BE19" i="6" s="1"/>
  <c r="BF19" i="6" s="1"/>
  <c r="BD18" i="6"/>
  <c r="BE18" i="6" s="1"/>
  <c r="BF18" i="6" s="1"/>
  <c r="BD29" i="6"/>
  <c r="BE29" i="6" s="1"/>
  <c r="BF29" i="6" s="1"/>
  <c r="BD15" i="6"/>
  <c r="BE15" i="6" s="1"/>
  <c r="BF15" i="6" s="1"/>
  <c r="BD17" i="6"/>
  <c r="BE17" i="6" s="1"/>
  <c r="BF17" i="6" s="1"/>
  <c r="BD26" i="6"/>
  <c r="BE26" i="6" s="1"/>
  <c r="BF26" i="6" s="1"/>
  <c r="BD24" i="6"/>
  <c r="BE24" i="6" s="1"/>
  <c r="BF24" i="6" s="1"/>
  <c r="BD16" i="6"/>
  <c r="BE16" i="6" s="1"/>
  <c r="BF16" i="6" s="1"/>
  <c r="BD22" i="6"/>
  <c r="BE22" i="6" s="1"/>
  <c r="BF22" i="6" s="1"/>
  <c r="BD23" i="6"/>
  <c r="BE23" i="6" s="1"/>
  <c r="BF23" i="6" s="1"/>
  <c r="BD20" i="6"/>
  <c r="BE20" i="6" s="1"/>
  <c r="BF20" i="6" s="1"/>
  <c r="BD28" i="6"/>
  <c r="BE28" i="6" s="1"/>
  <c r="BF28" i="6" s="1"/>
  <c r="BD21" i="6"/>
  <c r="BE21" i="6" s="1"/>
  <c r="BF21" i="6" s="1"/>
  <c r="BD13" i="6"/>
  <c r="BE13" i="6" s="1"/>
  <c r="BF13" i="6" s="1"/>
  <c r="BD33" i="6"/>
  <c r="BE33" i="6" s="1"/>
  <c r="BF33" i="6" s="1"/>
  <c r="BD39" i="6"/>
  <c r="BE39" i="6" s="1"/>
  <c r="BF39" i="6" s="1"/>
  <c r="BD6" i="6"/>
  <c r="BE6" i="6" s="1"/>
  <c r="BF6" i="6" s="1"/>
  <c r="BD4" i="6"/>
  <c r="BE4" i="6" s="1"/>
  <c r="BF4" i="6" s="1"/>
  <c r="BE30" i="6"/>
  <c r="BF30" i="6" s="1"/>
  <c r="BE31" i="6" l="1"/>
  <c r="BF31" i="6" s="1"/>
  <c r="BE37" i="6"/>
  <c r="BF37" i="6" s="1"/>
  <c r="AL30" i="6"/>
  <c r="AM30" i="6" s="1"/>
  <c r="AL43" i="6"/>
  <c r="AL42" i="6"/>
  <c r="AL41" i="6"/>
  <c r="AL44" i="6"/>
  <c r="AL49" i="6"/>
  <c r="AL50" i="6"/>
  <c r="AL46" i="6"/>
  <c r="AL51" i="6"/>
  <c r="AL47" i="6"/>
  <c r="AL48" i="6"/>
  <c r="AL45" i="6"/>
  <c r="AL32" i="6"/>
  <c r="AL35" i="6"/>
  <c r="AL53" i="6"/>
  <c r="AL52" i="6"/>
  <c r="AM52" i="6" s="1"/>
  <c r="AL54" i="6"/>
  <c r="AL14" i="6"/>
  <c r="AM14" i="6" s="1"/>
  <c r="AL19" i="6"/>
  <c r="AL18" i="6"/>
  <c r="AL29" i="6"/>
  <c r="AL15" i="6"/>
  <c r="AL17" i="6"/>
  <c r="AL26" i="6"/>
  <c r="AL24" i="6"/>
  <c r="AL16" i="6"/>
  <c r="AL22" i="6"/>
  <c r="AL23" i="6"/>
  <c r="AL20" i="6"/>
  <c r="AL28" i="6"/>
  <c r="AL21" i="6"/>
  <c r="AL13" i="6"/>
  <c r="AL33" i="6"/>
  <c r="AL39" i="6"/>
  <c r="AL6" i="6"/>
  <c r="AL4" i="6"/>
  <c r="AL31" i="6"/>
  <c r="AL34" i="6"/>
  <c r="AL37" i="6"/>
  <c r="AL36" i="6"/>
  <c r="AL38" i="6"/>
  <c r="AL40" i="6"/>
  <c r="AK19" i="6" a="1"/>
  <c r="AK19" i="6" s="1"/>
  <c r="AK18" i="6" a="1"/>
  <c r="AK18" i="6" s="1"/>
  <c r="AK29" i="6" a="1"/>
  <c r="AK29" i="6" s="1"/>
  <c r="AK15" i="6" a="1"/>
  <c r="AK15" i="6" s="1"/>
  <c r="AK17" i="6" a="1"/>
  <c r="AK17" i="6" s="1"/>
  <c r="AK26" i="6" a="1"/>
  <c r="AK26" i="6" s="1"/>
  <c r="AK24" i="6" a="1"/>
  <c r="AK24" i="6" s="1"/>
  <c r="AK16" i="6" a="1"/>
  <c r="AK16" i="6" s="1"/>
  <c r="AK22" i="6" a="1"/>
  <c r="AK22" i="6" s="1"/>
  <c r="AK23" i="6" a="1"/>
  <c r="AK23" i="6" s="1"/>
  <c r="AK20" i="6" a="1"/>
  <c r="AK20" i="6" s="1"/>
  <c r="AK28" i="6" a="1"/>
  <c r="AK28" i="6" s="1"/>
  <c r="AK21" i="6" a="1"/>
  <c r="AK21" i="6" s="1"/>
  <c r="AK13" i="6" a="1"/>
  <c r="AK13" i="6" s="1"/>
  <c r="AK33" i="6" a="1"/>
  <c r="AK33" i="6" s="1"/>
  <c r="AK39" i="6" a="1"/>
  <c r="AK39" i="6" s="1"/>
  <c r="AK4" i="6" a="1"/>
  <c r="AK4" i="6" s="1"/>
  <c r="AM20" i="6" l="1"/>
  <c r="AM24" i="6"/>
  <c r="AM17" i="6"/>
  <c r="AM29" i="6"/>
  <c r="AM53" i="6"/>
  <c r="AM48" i="6"/>
  <c r="AM42" i="6"/>
  <c r="AM36" i="6"/>
  <c r="AM33" i="6"/>
  <c r="AM50" i="6"/>
  <c r="AM37" i="6"/>
  <c r="AM4" i="6"/>
  <c r="AM13" i="6"/>
  <c r="AM23" i="6"/>
  <c r="AM19" i="6"/>
  <c r="AM35" i="6"/>
  <c r="AM47" i="6"/>
  <c r="AM49" i="6"/>
  <c r="AM43" i="6"/>
  <c r="AM40" i="6"/>
  <c r="AM34" i="6"/>
  <c r="AM6" i="6"/>
  <c r="AM21" i="6"/>
  <c r="AM22" i="6"/>
  <c r="AM26" i="6"/>
  <c r="AM15" i="6"/>
  <c r="AM18" i="6"/>
  <c r="AM54" i="6"/>
  <c r="AM32" i="6"/>
  <c r="AM51" i="6"/>
  <c r="AM44" i="6"/>
  <c r="AM38" i="6"/>
  <c r="AM31" i="6"/>
  <c r="AM39" i="6"/>
  <c r="AM28" i="6"/>
  <c r="AM16" i="6"/>
  <c r="AM45" i="6"/>
  <c r="AM46" i="6"/>
  <c r="AM41" i="6"/>
  <c r="M30" i="6"/>
  <c r="X4" i="13"/>
  <c r="X3" i="13"/>
  <c r="X6" i="13"/>
  <c r="X54" i="13"/>
  <c r="X8" i="13"/>
  <c r="X9" i="13"/>
  <c r="X71" i="13"/>
  <c r="X72" i="13"/>
  <c r="X61" i="13"/>
  <c r="X59" i="13"/>
  <c r="X60" i="13"/>
  <c r="X62" i="13"/>
  <c r="X56" i="13"/>
  <c r="X55" i="13"/>
  <c r="X70" i="13"/>
  <c r="X67" i="13"/>
  <c r="X66" i="13"/>
  <c r="X68" i="13"/>
  <c r="X27" i="13"/>
  <c r="X22" i="13"/>
  <c r="X26" i="13"/>
  <c r="X25" i="13"/>
  <c r="X24" i="13"/>
  <c r="X21" i="13"/>
  <c r="X23" i="13"/>
  <c r="X20" i="13"/>
  <c r="X19" i="13"/>
  <c r="X53" i="13"/>
  <c r="X52" i="13"/>
  <c r="X50" i="13"/>
  <c r="X47" i="13"/>
  <c r="X18" i="13"/>
  <c r="X17" i="13"/>
  <c r="X16" i="13"/>
  <c r="X14" i="13"/>
  <c r="X15" i="13"/>
  <c r="X46" i="13"/>
  <c r="X49" i="13"/>
  <c r="X45" i="13"/>
  <c r="X44" i="13"/>
  <c r="X43" i="13"/>
  <c r="X42" i="13"/>
  <c r="X41" i="13"/>
  <c r="X40" i="13"/>
  <c r="X39" i="13"/>
  <c r="X38" i="13"/>
  <c r="X37" i="13"/>
  <c r="X36" i="13"/>
  <c r="X35" i="13"/>
  <c r="X34" i="13"/>
  <c r="X33" i="13"/>
  <c r="X32" i="13"/>
  <c r="X31" i="13"/>
  <c r="X30" i="13"/>
  <c r="X29" i="13"/>
  <c r="X28" i="13"/>
  <c r="X13" i="13"/>
  <c r="X12" i="13"/>
  <c r="X11" i="13"/>
  <c r="X122" i="13"/>
  <c r="X121" i="13"/>
  <c r="X120" i="13"/>
  <c r="X119" i="13"/>
  <c r="X118" i="13"/>
  <c r="X117" i="13"/>
  <c r="X116" i="13"/>
  <c r="X115" i="13"/>
  <c r="X114" i="13"/>
  <c r="X113" i="13"/>
  <c r="X112" i="13"/>
  <c r="X111" i="13"/>
  <c r="X110" i="13"/>
  <c r="X109" i="13"/>
  <c r="X108" i="13"/>
  <c r="X107" i="13"/>
  <c r="X106" i="13"/>
  <c r="X105" i="13"/>
  <c r="X104" i="13"/>
  <c r="X103" i="13"/>
  <c r="X102" i="13"/>
  <c r="X101" i="13"/>
  <c r="X100" i="13"/>
  <c r="X99" i="13"/>
  <c r="X98" i="13"/>
  <c r="X97" i="13"/>
  <c r="X96" i="13"/>
  <c r="X95" i="13"/>
  <c r="X94" i="13"/>
  <c r="X93" i="13"/>
  <c r="X92" i="13"/>
  <c r="X91" i="13"/>
  <c r="X90" i="13"/>
  <c r="X89" i="13"/>
  <c r="X88" i="13"/>
  <c r="X87" i="13"/>
  <c r="X86" i="13"/>
  <c r="X85" i="13"/>
  <c r="X84" i="13"/>
  <c r="X83" i="13"/>
  <c r="X82" i="13"/>
  <c r="X81" i="13"/>
  <c r="X80" i="13"/>
  <c r="X79" i="13"/>
  <c r="X78" i="13"/>
  <c r="X65" i="13"/>
  <c r="X77" i="13"/>
  <c r="X64" i="13"/>
  <c r="X74" i="13"/>
  <c r="X63" i="13"/>
  <c r="X76" i="13"/>
  <c r="X75" i="13"/>
  <c r="X58" i="13"/>
  <c r="X73" i="13"/>
  <c r="X6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Ángela Pérez - Propuestas</author>
    <author>PROPUESTAS 3 OFICINA DE EXTENSION</author>
  </authors>
  <commentList>
    <comment ref="BF2" authorId="0" shapeId="0" xr:uid="{49E12293-3AD0-4D1F-9485-926E2FDF283E}">
      <text>
        <r>
          <rPr>
            <b/>
            <sz val="9"/>
            <color indexed="81"/>
            <rFont val="Tahoma"/>
            <family val="2"/>
          </rPr>
          <t>Ángela Pérez - Propuestas:</t>
        </r>
        <r>
          <rPr>
            <sz val="9"/>
            <color indexed="81"/>
            <rFont val="Tahoma"/>
            <family val="2"/>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I44" authorId="1" shapeId="0" xr:uid="{C73359DB-FB6E-44C3-821F-AB74E77002FB}">
      <text>
        <r>
          <rPr>
            <sz val="11"/>
            <color theme="1"/>
            <rFont val="Aptos Narrow"/>
            <family val="2"/>
            <scheme val="minor"/>
          </rPr>
          <t>pendiente de firma de la entidad, para subir al siexud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Ángela Pérez - Propuestas</author>
    <author>PROPUESTAS 3 OFICINA DE EXTENSION</author>
  </authors>
  <commentList>
    <comment ref="BH2" authorId="0" shapeId="0" xr:uid="{F318FF72-5486-4EBB-8D12-E01723D09359}">
      <text>
        <r>
          <rPr>
            <b/>
            <sz val="9"/>
            <color indexed="81"/>
            <rFont val="Tahoma"/>
            <family val="2"/>
          </rPr>
          <t>Ángela Pérez - Propuestas:</t>
        </r>
        <r>
          <rPr>
            <sz val="9"/>
            <color indexed="81"/>
            <rFont val="Tahoma"/>
            <family val="2"/>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K46" authorId="1" shapeId="0" xr:uid="{D30FB8AC-4557-42FD-A47E-77CD7C2D33FE}">
      <text>
        <r>
          <rPr>
            <sz val="11"/>
            <color theme="1"/>
            <rFont val="Aptos Narrow"/>
            <family val="2"/>
            <scheme val="minor"/>
          </rPr>
          <t>pendiente de firma de la entidad, para subir al siexud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PROPUESTAS 3 OFICINA DE EXTENSION</author>
    <author>Ángela Pérez - Propuestas</author>
  </authors>
  <commentList>
    <comment ref="Q2" authorId="0" shapeId="0" xr:uid="{469EEB25-A5C9-42AB-A519-85A6C2F08D2C}">
      <text>
        <r>
          <rPr>
            <sz val="11"/>
            <color theme="1"/>
            <rFont val="Aptos Narrow"/>
            <family val="2"/>
            <scheme val="minor"/>
          </rPr>
          <t xml:space="preserve">PROPUESTAS 3 OFICINA DE EXTENSION:
TOMANDO CADA MES COMO 30,4 DÍAS
</t>
        </r>
      </text>
    </comment>
    <comment ref="R2" authorId="0" shapeId="0" xr:uid="{EF432F21-F820-4BD7-AC56-196AA06E220B}">
      <text>
        <r>
          <rPr>
            <sz val="11"/>
            <color theme="1"/>
            <rFont val="Aptos Narrow"/>
            <family val="2"/>
            <scheme val="minor"/>
          </rPr>
          <t>PROPUESTAS 3 OFICINA DE EXTENSION:
TOMANDO EL AÑO COMO 365 DÍAS</t>
        </r>
      </text>
    </comment>
    <comment ref="BQ2" authorId="1" shapeId="0" xr:uid="{3CA33148-D625-49BD-917E-D471C359F6CC}">
      <text>
        <r>
          <rPr>
            <b/>
            <sz val="9"/>
            <color indexed="81"/>
            <rFont val="Tahoma"/>
            <family val="2"/>
          </rPr>
          <t>Ángela Pérez - Propuestas:</t>
        </r>
        <r>
          <rPr>
            <sz val="9"/>
            <color indexed="81"/>
            <rFont val="Tahoma"/>
            <family val="2"/>
          </rPr>
          <t xml:space="preserve">
Explicación de la fórmula
Si no hay fecha de inicio (H2 está en blanco), devuelve "N/A".
Si han pasado 15 días o menos, verifica el porcentaje de cumplimiento (BD2):
Si es 100%, está "EnTiempos".
Si es menor a 100%, está "EnProceso".
Si han pasado más de 15 días, revisa el porcentaje de cumplimiento:
Menos de 80% → "RiesgoAlto".
80% a 99% → "RiesgoMedio".
100% → "Cumplido".
</t>
        </r>
      </text>
    </comment>
    <comment ref="AT20" authorId="0" shapeId="0" xr:uid="{1AA64FE3-A4FD-4E01-8AE4-708B4EE50519}">
      <text>
        <r>
          <rPr>
            <sz val="11"/>
            <color theme="1"/>
            <rFont val="Aptos Narrow"/>
            <family val="2"/>
            <scheme val="minor"/>
          </rPr>
          <t>pendiente de firma de la entidad, para subir al siexud</t>
        </r>
      </text>
    </comment>
    <comment ref="AA34" authorId="0" shapeId="0" xr:uid="{0B8A9861-932C-4E01-B3EB-0EB382CC143D}">
      <text>
        <r>
          <rPr>
            <sz val="11"/>
            <color theme="1"/>
            <rFont val="Aptos Narrow"/>
            <family val="2"/>
            <scheme val="minor"/>
          </rPr>
          <t xml:space="preserve">+256.906.000 / 26/02/25
-600.000 / 21/05/25
</t>
        </r>
      </text>
    </comment>
    <comment ref="AA36" authorId="0" shapeId="0" xr:uid="{D50933B3-38A0-4FC8-B0B0-59510FEAEB2E}">
      <text>
        <r>
          <rPr>
            <sz val="11"/>
            <color theme="1"/>
            <rFont val="Aptos Narrow"/>
            <family val="2"/>
            <scheme val="minor"/>
          </rPr>
          <t xml:space="preserve">+45.051.478 / 09/05/25
+569.400    / 09/05/25
+238.300    / 09/05/25
197.436.603 / 28/02/25
45.859.178  / 26/05/25
</t>
        </r>
      </text>
    </comment>
    <comment ref="AA37" authorId="0" shapeId="0" xr:uid="{8E27938D-0A9E-4E69-AAE3-5B697DADBE8D}">
      <text>
        <r>
          <rPr>
            <sz val="11"/>
            <color theme="1"/>
            <rFont val="Aptos Narrow"/>
            <family val="2"/>
            <scheme val="minor"/>
          </rPr>
          <t xml:space="preserve">+82.594.350 / 26/02/25
</t>
        </r>
      </text>
    </comment>
    <comment ref="AA38" authorId="0" shapeId="0" xr:uid="{DEE15501-77B3-4119-B6E6-C8D0073E267E}">
      <text>
        <r>
          <rPr>
            <sz val="11"/>
            <color theme="1"/>
            <rFont val="Aptos Narrow"/>
            <family val="2"/>
            <scheme val="minor"/>
          </rPr>
          <t>+102.609.200 / 26/02/2025
-2.569.868,34 / 07/05/25</t>
        </r>
      </text>
    </comment>
    <comment ref="AA39" authorId="0" shapeId="0" xr:uid="{7E5686E0-34AF-4303-B17E-F0512E49402C}">
      <text>
        <r>
          <rPr>
            <sz val="11"/>
            <color theme="1"/>
            <rFont val="Aptos Narrow"/>
            <family val="2"/>
            <scheme val="minor"/>
          </rPr>
          <t>+ 14.130.000 / 26/02/25</t>
        </r>
      </text>
    </comment>
    <comment ref="AA67" authorId="0" shapeId="0" xr:uid="{F7479557-FB13-4297-8DBF-B3BADAE33FFA}">
      <text>
        <r>
          <rPr>
            <sz val="11"/>
            <color theme="1"/>
            <rFont val="Aptos Narrow"/>
            <family val="2"/>
            <scheme val="minor"/>
          </rPr>
          <t>ADICIONES:
-2.847.000 / 21/05/25</t>
        </r>
      </text>
    </comment>
    <comment ref="AA69" authorId="0" shapeId="0" xr:uid="{FA6D1579-0E04-4868-92D2-0355C21EF29D}">
      <text>
        <r>
          <rPr>
            <sz val="11"/>
            <color theme="1"/>
            <rFont val="Aptos Narrow"/>
            <family val="2"/>
            <scheme val="minor"/>
          </rPr>
          <t xml:space="preserve">ADICIÓN:
1- 89.858.226 DEL 10/04/2025
</t>
        </r>
      </text>
    </comment>
    <comment ref="V79" authorId="0" shapeId="0" xr:uid="{230BFC23-59BC-44EE-AE35-FE87264B639E}">
      <text>
        <r>
          <rPr>
            <sz val="11"/>
            <color theme="1"/>
            <rFont val="Aptos Narrow"/>
            <family val="2"/>
            <scheme val="minor"/>
          </rPr>
          <t>HASTA EL 15 DE NOVIEMBRE 2025 - DESDE EL ACTA DE INICIO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<sst xmlns="http://schemas.openxmlformats.org/spreadsheetml/2006/main" count="7277" uniqueCount="1480">
  <si>
    <t>AÑO</t>
  </si>
  <si>
    <t>PERSONA ENCARGADA</t>
  </si>
  <si>
    <t>DURACIÓN</t>
  </si>
  <si>
    <t>ESTADO</t>
  </si>
  <si>
    <t>NUMERO DE COMITE</t>
  </si>
  <si>
    <t>UNIDAD EJECUTORA</t>
  </si>
  <si>
    <t>ESTADO CONTRATO</t>
  </si>
  <si>
    <t>AÑO PROPUESTA</t>
  </si>
  <si>
    <t>ASIGNADO A</t>
  </si>
  <si>
    <t>MODALIDAD</t>
  </si>
  <si>
    <t>TIPO DE PROYECTO</t>
  </si>
  <si>
    <t>MODALIDAD DE CONTRATACIÓN</t>
  </si>
  <si>
    <t>CHECK LIST</t>
  </si>
  <si>
    <t>OBSERVACIONES POR ALERTA CONTRACTUAL</t>
  </si>
  <si>
    <t>ANGELA ALARCON</t>
  </si>
  <si>
    <t>1 MES</t>
  </si>
  <si>
    <t>EN CREACIÓN</t>
  </si>
  <si>
    <t>NO APLICA</t>
  </si>
  <si>
    <t>OFICINA DE BIENESTAR UNIVERSITARIO</t>
  </si>
  <si>
    <t>SUSCRITO</t>
  </si>
  <si>
    <t>JUAN NAVAS</t>
  </si>
  <si>
    <t>ASESORÍAS</t>
  </si>
  <si>
    <t>CONTRATO INTERADMINISTRATIVO</t>
  </si>
  <si>
    <t>CONTRATACIÓN DIRECTA</t>
  </si>
  <si>
    <t>X</t>
  </si>
  <si>
    <t>MODIFICACIÓN PRESUPUESTAL</t>
  </si>
  <si>
    <t>DAVID CRESPO</t>
  </si>
  <si>
    <t>2 MESES</t>
  </si>
  <si>
    <t>ENVIADO</t>
  </si>
  <si>
    <t>POR EVALUAR</t>
  </si>
  <si>
    <t>OFICINA DE INVESTIGACIONES - CIDC</t>
  </si>
  <si>
    <t>EN EJECUCIÓN</t>
  </si>
  <si>
    <t>SEBASTIAN URIBE</t>
  </si>
  <si>
    <t>CONSULTORÍAS</t>
  </si>
  <si>
    <t>CONVENIO INTERADMINISTRATIVO</t>
  </si>
  <si>
    <t>LICITACIÓN</t>
  </si>
  <si>
    <t>PENDIENTE</t>
  </si>
  <si>
    <t>APROBACIÓN POR COMITÉ</t>
  </si>
  <si>
    <t>JEFFERSON PARRA</t>
  </si>
  <si>
    <t>3 MESES</t>
  </si>
  <si>
    <t>EN CORRECCIONES</t>
  </si>
  <si>
    <t>ORDINARIO 001</t>
  </si>
  <si>
    <t>UNIDAD DE RELACIONES INTERNACIONALES E INTERINSTITUCIONALES</t>
  </si>
  <si>
    <t>TERMINADO</t>
  </si>
  <si>
    <t>INTERVENTORÍAS</t>
  </si>
  <si>
    <t>CONTRATO PRESTACIÓN DE SERVICIOS</t>
  </si>
  <si>
    <t>CONCURSO DE MÉRITOS</t>
  </si>
  <si>
    <t>A CAUSA DE LA ENTIDAD</t>
  </si>
  <si>
    <t>NATHALY MARÍN</t>
  </si>
  <si>
    <t>4 MESES</t>
  </si>
  <si>
    <t>APROBADO</t>
  </si>
  <si>
    <t>EXTRAORDINARIO 001</t>
  </si>
  <si>
    <t>FACULTAD DE ARTES - ASAB / UNIDAD DE EXTENSIÓN</t>
  </si>
  <si>
    <t>ADICIONADO</t>
  </si>
  <si>
    <t>ASISTENCIA TÉCNICA Y/O TECNOLÓGICA</t>
  </si>
  <si>
    <t>PROYECTOS PROPIOS</t>
  </si>
  <si>
    <t>CONVOCATORIA PÚBLICA</t>
  </si>
  <si>
    <t>5 MESES</t>
  </si>
  <si>
    <t>SIN RESPUESTA</t>
  </si>
  <si>
    <t>ORDINARIO 002</t>
  </si>
  <si>
    <t>FACULTAD DE CIENCIAS MATEMÁTICAS Y NATURALES / UNIDAD DE EXTENSIÓN</t>
  </si>
  <si>
    <t>MARCELA SAENZ</t>
  </si>
  <si>
    <t>VEEDURÍAS</t>
  </si>
  <si>
    <t>OTRAS FORMAS DE CONTRATACIÓN</t>
  </si>
  <si>
    <t>SEBASTIÁN URIBE</t>
  </si>
  <si>
    <t>6 MESES</t>
  </si>
  <si>
    <t>RECHAZADO</t>
  </si>
  <si>
    <t>EXTRAORDINARIO 002</t>
  </si>
  <si>
    <t>FACULTAD DE CIENCIAS Y EDUCACIÓN / UNIDAD DE EXTENSIÓN</t>
  </si>
  <si>
    <t>JUAN NAVAS / SEBASTIAN URIBE</t>
  </si>
  <si>
    <t>AUDITORÍAS</t>
  </si>
  <si>
    <t>TATIANA DÍAZ</t>
  </si>
  <si>
    <t>7 MESES</t>
  </si>
  <si>
    <t>ORDINARIO 003</t>
  </si>
  <si>
    <t>FACULTAD DE INGENIERÍA / UNIDAD DE EXTENSIÓN</t>
  </si>
  <si>
    <t>JUAN NAVAS  / JEFFERSON PARRA</t>
  </si>
  <si>
    <t>PERITAZGOS</t>
  </si>
  <si>
    <t>PAOLA DÍAZ</t>
  </si>
  <si>
    <t>8 MESES</t>
  </si>
  <si>
    <t>EXTRAORDINARIO 003</t>
  </si>
  <si>
    <t>FACULTAD DE CIENCIAS DE LA SALUD / UNIDAD DE EXTENSIÓN</t>
  </si>
  <si>
    <t>JUAN NAVAS  / DAVID CRESPO</t>
  </si>
  <si>
    <t>ÓRDENES JUDICIALES</t>
  </si>
  <si>
    <t>CATALINA ACERO</t>
  </si>
  <si>
    <t>9 MESES</t>
  </si>
  <si>
    <t>ORDINARIO 004</t>
  </si>
  <si>
    <t>FACULTAD DE MEDIO AMBIENTE Y RECURSOS NATURALES / UNIDAD DE EXTENSIÓN</t>
  </si>
  <si>
    <t>SEBASTIAN URIBE  /  JEFFERSON PARRA</t>
  </si>
  <si>
    <t>EDUCACIÓN PARA EL TRABAJO</t>
  </si>
  <si>
    <t>10 MESES</t>
  </si>
  <si>
    <t>EXTRAORDINARIO 004</t>
  </si>
  <si>
    <t>UNIDAD DE EXTENSIÓN FACULTAD TECNOLÓGICA</t>
  </si>
  <si>
    <t>SEBASTIAN URIBE / DAVID CRESPO</t>
  </si>
  <si>
    <t>PROYECTOS DE EDUCACIÓN CONTINUADA</t>
  </si>
  <si>
    <t>PERSONA ENCARGADA DE LA INICIACIÓN</t>
  </si>
  <si>
    <t>11 MESES</t>
  </si>
  <si>
    <t>ORDINARIO 005</t>
  </si>
  <si>
    <t>OFICINA DE EXTENSIÓN - IDEXUD</t>
  </si>
  <si>
    <t>JEFFERSON PARRA / DAVID CRESPO</t>
  </si>
  <si>
    <t>PROYECTOS ESPECIALES</t>
  </si>
  <si>
    <t>FABIAN BERNATE</t>
  </si>
  <si>
    <t>12 MESES</t>
  </si>
  <si>
    <t>EXTRAORDINARIO 005</t>
  </si>
  <si>
    <t>INSTITUTO DE ESTUDIOS E INVESTIGACIONES EDUCATIVAS - IEIE</t>
  </si>
  <si>
    <t>JUAN DAVID</t>
  </si>
  <si>
    <t>13 MESES</t>
  </si>
  <si>
    <t>ORDINARIO 006</t>
  </si>
  <si>
    <t>INSTITUTO DE INVESTIGACIÓN E INNOVACIÓN EN INGENIERÍA -I3+</t>
  </si>
  <si>
    <t xml:space="preserve">JUAN SEBASTIAN </t>
  </si>
  <si>
    <t>14 MESES</t>
  </si>
  <si>
    <t>EXTRAORDINARIO 006</t>
  </si>
  <si>
    <t>INSTITUTO DE LENGUAS - ILUD</t>
  </si>
  <si>
    <t>CELINA CARDENAS</t>
  </si>
  <si>
    <t>15 MESES</t>
  </si>
  <si>
    <t>ORDINARIO 007</t>
  </si>
  <si>
    <t>INSTITUTO PARA LA PEDAGOGÍA, LA PAZ Y EL CONFLICTO URBANO-IPAZUD</t>
  </si>
  <si>
    <t>16 MESES</t>
  </si>
  <si>
    <t>EXTRAORDINARIO 007</t>
  </si>
  <si>
    <t>RECTORÍA</t>
  </si>
  <si>
    <t>ABOGADO ENCARGADO AL SEGUIMIENTO</t>
  </si>
  <si>
    <t>17 MESES</t>
  </si>
  <si>
    <t>ORDINARIO 008</t>
  </si>
  <si>
    <t>VICERRECTORÍA ACADÉMICA</t>
  </si>
  <si>
    <t>ANA CHAVARRO</t>
  </si>
  <si>
    <t>18 MESES</t>
  </si>
  <si>
    <t>EXTRAORDINARIO 008</t>
  </si>
  <si>
    <t>VICERRECTORÍA ADMINISTRATIVA Y FINANCIERA</t>
  </si>
  <si>
    <t>KAREN GONZALEZ</t>
  </si>
  <si>
    <t>19 MESES</t>
  </si>
  <si>
    <t>ORDINARIO 009</t>
  </si>
  <si>
    <t>CENTRO DE RELACIONES INTERINSTITUCIONALES - CERI</t>
  </si>
  <si>
    <t>CAROLINA NUÑEZ</t>
  </si>
  <si>
    <t>20 MESES</t>
  </si>
  <si>
    <t>EXTRAORDINARIO 009</t>
  </si>
  <si>
    <t>DOCENTE UD</t>
  </si>
  <si>
    <t>ANGEL ROZO</t>
  </si>
  <si>
    <t>21 MESES</t>
  </si>
  <si>
    <t>ORDINARIO 010</t>
  </si>
  <si>
    <t>OTRO</t>
  </si>
  <si>
    <t>NATALY MONTENEGRO</t>
  </si>
  <si>
    <t>22 MESES</t>
  </si>
  <si>
    <t>EXTRAORDINARIO 010</t>
  </si>
  <si>
    <t>ANNA SOFÍA MARÍN</t>
  </si>
  <si>
    <t>23 MESES</t>
  </si>
  <si>
    <t>ORDINARIO 011</t>
  </si>
  <si>
    <t>ALBERTINA VIOLA VERGARA</t>
  </si>
  <si>
    <t>2 AÑOS</t>
  </si>
  <si>
    <t>EXTRAORDINARIO 011</t>
  </si>
  <si>
    <t>3 AÑOS</t>
  </si>
  <si>
    <t>ORDINARIO 012</t>
  </si>
  <si>
    <t>4 AÑOS</t>
  </si>
  <si>
    <t>EXTRAORDINARIO 012</t>
  </si>
  <si>
    <t>5 AÑOS</t>
  </si>
  <si>
    <t>ORDINARIO 013</t>
  </si>
  <si>
    <t>ESPECIFICADO EN OBSERVACIONES</t>
  </si>
  <si>
    <t>EXTRAORDINARIO 013</t>
  </si>
  <si>
    <t>NO INIDICA</t>
  </si>
  <si>
    <t>ORDINARIO 014</t>
  </si>
  <si>
    <t>EXTRAORDINARIO 014</t>
  </si>
  <si>
    <t>ORDINARIO 015</t>
  </si>
  <si>
    <t>EXTRAORDINARIO 015</t>
  </si>
  <si>
    <t>ORDINARIO 016</t>
  </si>
  <si>
    <t>EXTRAORDINARIO 016</t>
  </si>
  <si>
    <t>ORDINARIO 017</t>
  </si>
  <si>
    <t>EXTRAORDINARIO 017</t>
  </si>
  <si>
    <t>ORDINARIO 018</t>
  </si>
  <si>
    <t>EXTRAORDINARIO 018</t>
  </si>
  <si>
    <t>ORDINARIO 019</t>
  </si>
  <si>
    <t>EXTRAORDINARIO 019</t>
  </si>
  <si>
    <t>ORDINARIO 020</t>
  </si>
  <si>
    <t>EXTRAORDINARIO 020</t>
  </si>
  <si>
    <t>ORDINARIO 021</t>
  </si>
  <si>
    <t>EXTRAORDINARIO 021</t>
  </si>
  <si>
    <t>ORDINARIO 022</t>
  </si>
  <si>
    <t>EXTRAORDINARIO 022</t>
  </si>
  <si>
    <t>ORDINARIO 023</t>
  </si>
  <si>
    <t>EXTRAORDINARIO 023</t>
  </si>
  <si>
    <t>FECHA DE ENVÍO</t>
  </si>
  <si>
    <t>MES</t>
  </si>
  <si>
    <t>NÚMERO RADICADO COTIZACIÓN</t>
  </si>
  <si>
    <t>DEPENDENCIA EJECUTORA</t>
  </si>
  <si>
    <t>ENTIDAD</t>
  </si>
  <si>
    <t>OBJETO</t>
  </si>
  <si>
    <t>APORTE ENTIDAD</t>
  </si>
  <si>
    <t>COFINANCIACIÓN UD</t>
  </si>
  <si>
    <t>VALOR TOTAL</t>
  </si>
  <si>
    <t>FORMA DE PAGO</t>
  </si>
  <si>
    <t>OBSERVACIONES</t>
  </si>
  <si>
    <t>JUAN PABLO NAVAS</t>
  </si>
  <si>
    <t>EE-036-2025</t>
  </si>
  <si>
    <t>ESCUELA DE SEGURIDAD VIAL - ESVI POLICÍA NACIONAL DE COLOMBIA</t>
  </si>
  <si>
    <t>PRESTACIÓN DE SERVICIOS PROFESIONALES PARA EL DESARROLLO DEL SEMINARIO EN MANEJO DE EQUIPOS PARA LA DETECCIÓN DE ETANOL ESPIRADO PARA UNOS FUNCIONARIOS DE LA POLICÍA NACIONAL</t>
  </si>
  <si>
    <t>-</t>
  </si>
  <si>
    <t>EE-038-2025</t>
  </si>
  <si>
    <t>MIGRACIÓN COLOMBIA</t>
  </si>
  <si>
    <t>CONTRATAR LOS SERVICIOS DE LA PLATAFORMA E-LEARNING PARA LA ADMINISTRACIÓN DE LOS CONTENIDOS VIRTUALES DE MIGRACIÓN COLOMBIA.</t>
  </si>
  <si>
    <t>1- 30%
2- 40%
3- 30%</t>
  </si>
  <si>
    <t>EE-037-2025</t>
  </si>
  <si>
    <t>FIDUPREVISORA</t>
  </si>
  <si>
    <t>FIDUPREVISORA S.A.ESTÁ INTERESADA EN RECIBIR COTIZACIONES PARA EL SERVICIO DE CONSULTORIA A LA ENTIDAD, EN CUANTO A LA DEFINICIÓN Y DESARROLLO DEL REDISEÑIO ORGANIZACIONAL, RECOMENDANDO LAS ESTRATEGIAS MÁS EFICIENTES QUE PERMITAN A FIDUPREVISORA S.A.SER ALTAMENTE COMPETITIVA EN DEL MERCADO FIDUCIARIO EN ALINEACIÓN CON IA VISIÓN ESTRATÉGICA</t>
  </si>
  <si>
    <t>PAGOS MENSUALES</t>
  </si>
  <si>
    <t>EE-072-2025</t>
  </si>
  <si>
    <t>ESCUELA DE SEGURIDAD VIAL ESEVI - POLICÍA NACIONAL DE COLOMBIA</t>
  </si>
  <si>
    <t>PRESTACIÓN DE SERVICIOS PROFESIONALES DE CAPACITACIÓN PARALEL DESARROLLO DEL SEMINARIO EN MANEJO DE EQUIPOS PARA LA DETECCIÓN DE ETANOL ESPIRADO PARA UNOS FUNCIONARIOS DE LA POLICIA NACIONAL"</t>
  </si>
  <si>
    <t>2 PAGOS PARCIALES</t>
  </si>
  <si>
    <t>EE-071-2025</t>
  </si>
  <si>
    <t>DIRECCIÓN DE TALENTO HUMANO - SECRETARÍA DISTRITAL DE PLANEACIÓN - SDP</t>
  </si>
  <si>
    <t>PRESTAR LOS SERVICIOS DE CAPACITACIÓN PARA LOS SERVIDORES DE LA SDP, EN EL DESARROLLO DE UN PROGRAMA DE FORMACIÓN PARA EL CUMPLIMIENTO DEL PLAN INSTITUCIONAL DE CAPACITACIÓN Y QUE PERMITA IMPLEMENTAR EFECTIVAMENTE LA DIMENSIÓN DEL TALENTO HUMANO DEL MIPG.</t>
  </si>
  <si>
    <t>EE-128-2025</t>
  </si>
  <si>
    <t>DIRECCIÓN DE EDUCACIÓN POLICIAL - DIEPO - INSTITUCIÓN UNIVERSITARIA DE LA POLICÍA NACIONAL DE COLOMBIA</t>
  </si>
  <si>
    <t>PRESTACIÓN DE SERVICIOS PROFESIONALES DE CAPACITACIÓN PARA EL DESARROLLO DE DIPLOMADOS, CURSOS Y SEMINARIOS PARA UNOS FUNCIONARIOS DE LA DIRECCIÓN DE EDUCACIÓN POLICIAL Y ESCUELAS DE POLICÍA.</t>
  </si>
  <si>
    <t>SE REALIZÓ UN ALCANCE ANTERIOR CON EL NÚMERO DE CORDIS EE-105-2025</t>
  </si>
  <si>
    <t>EE-103-2025</t>
  </si>
  <si>
    <t>SUBDIRECCIÓN DE GESTIÓN Y EVALUACIÓN DE POLÍTICAS</t>
  </si>
  <si>
    <t>ELABORAR UN DOCUMENTO DE ANALISIS DE LAS VIOLENCIAS ÉTNICO-RACIALES Y DE GÉNERO EN LAS COMUNIDADES NEGRAS Y AFROCOLOMBIANAS RESIDENTES EN LA CIUDAD DE BOGOTÁ DISTRITO CAPITAL, CON ENFOQUE TERRITORIAL IOCAL, INTERCULTURAL Y DE DETERMINANTES SOCIALES QUE APORTE A LA GENERACION DE CONOCIMIENTO Y A LA TOMA DE DECISIONES DESDE LAS POLTICAS PÚBLICAS</t>
  </si>
  <si>
    <t>IE-105-2025</t>
  </si>
  <si>
    <t>AUTORIDAD NACIONAL DE CONSULTA PREVIA MINISTERIOR DEL INTERIOR</t>
  </si>
  <si>
    <t>CONTRATAR LA PRESTACIÓN DE SERVICIOS TÉCNICOS Y ADMINISTRATIVOS PARA EL DISEÑO, DESARROLLO, IMPLEMENTACIÓN Y SUMINISTRO DE AULAS MÓVILES (ITINERANTES) Y PLATAFORMA DE APRENDIZAJE VIRTUAL, PARA GARANTIZAR ACTIVIDADES DE CAPACITACIÓN Y FORMACIÓN EN MATERIA DE CONSULTA PREVIA, DIRIGIDOS A LOS DEPARTAMENTOS CON PRESENCIA DE GRUPOS ÉTNICOS Y PROCESOS DE CONSULTA PREVIA EN COLOMBIA</t>
  </si>
  <si>
    <t>1- 40%
2- 30%
3- 20%
4- 10%</t>
  </si>
  <si>
    <t>EE-165-2025</t>
  </si>
  <si>
    <t>FONDO EMPRENDER</t>
  </si>
  <si>
    <t>CONTRATAR LOS SERVICIOS DE INTERVENTORÍA TÉCNICA, ADMINISTRATIVA, JURÍDICA Y FINANCIERA A LA EJECUCIÓN DE LOS PLANES DE NEGOCIOS O INICIATIVAS EMPRESARIALES FINANCIADOS CON RECURSOS DEL FONDO EMPRENDER, DE ACUERDO CON LOS LINEAMIENTOS DEFINIDOS POR EL SENA FONDO EMPRENDER.</t>
  </si>
  <si>
    <t>36 MESES</t>
  </si>
  <si>
    <t>PAGOS BIMESTRALES:
1- 5%
2- VALOR PACTADO
3- VALOR PACTADO BIMESTRAL</t>
  </si>
  <si>
    <t>SE PAGA POR EL SEGUIMIENTO DE CADA PLAN EJECUTADO (SE PROYECTAN MÁS DE 1,600 PLANES)</t>
  </si>
  <si>
    <t>ANGELA MARÍA PÉREZ ALARCÓN</t>
  </si>
  <si>
    <t>EE-179-2025</t>
  </si>
  <si>
    <t>AGENCIA NACIONAL DE SEGURIDAD VIAL - ANSV</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</si>
  <si>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</si>
  <si>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1- 30%
2- 30%
3- 30%
4- 10%</t>
  </si>
  <si>
    <t>EE-180-2025</t>
  </si>
  <si>
    <t>AGENCIA NACIONAL INMOVILIARIA VIRGILIO BARCO VARGAS - ANIM</t>
  </si>
  <si>
    <t>DISEÑAR E IMPARTIR UN DIPLOMADO VIRTUAL SINCRÓNICO EN "GESTIÓN PÚBLICA: FORTALECIMIENTO DE CAPACIDADES EN ÁREAS FUNDAMENTALES", DIRIGIDO AL PERSONAL DE LA AGENCIA NACIONAL INMOBILIARIA VIRGILIO BARCO VARGAS (ANIM), CON EL FIN DE FORTALECER SUS COMPETENCIAS EN DERECHOS HUMANOS, ÉTICA PÚBLICA, ANÁLISIS Y GESTIÓN DE RIESGOS EN EL CONTEXTO PÚBLICO, GESTIÓN DE PROYECTOS PÚBLICOS, GOBERNANZA PÚBLICA Y TRANSPARENCIA, ATENCIÓN A CIUDADANO Y GESTIÓN DE PQRS.</t>
  </si>
  <si>
    <t>EE-107-2025</t>
  </si>
  <si>
    <t>SECRETARÍA DE SALUD - GOBERNACIÓN DE CUNDINAMARCA</t>
  </si>
  <si>
    <t>REALIZAR, DESARROLLAR Y EJECUTAR LA INTERVENTORÍA TÉCNICA, JURÍDICA, ADMINISTRATIVA, FINANCIERA Y CONTABLE, EN REPRESENTACIÓN DE LA SECRETARÍA DE SALUD DEL DEPARTAMENTO DE CUNDINAMARCA COMO ENTIDAD CONTRATANTE DEL "CONTRATO DE CONCESIÓN NO. 002 DE 2003" CELEBRADO ENTRE LA SECRETARÍA DE SALUD Y LA HOSPITAL CARDIOVASCULAR UNIÓN TEMPORAL DEL NIÑOS DE CUNDINAMARCA.</t>
  </si>
  <si>
    <t>EE-194-2025</t>
  </si>
  <si>
    <t>MINISTERIO DEL INTERIOR</t>
  </si>
  <si>
    <t>REALIZAR EL PLAN DE FORTALECIMIENTO DE LA CAPACIDAD DE ARTICULACIÓN TERRITORIAL PARA LA INCORPORACIÓN DE ESTRATEGIAS DE CONVIVENCIA Y SEGURIDAD CIUDADANA INTEGRAL, CORRESPONSABLE, CONTEXTUALIZADA Y PREVENTIVA A NIVEL NACIONAL.</t>
  </si>
  <si>
    <t xml:space="preserve">VALOR AGREGADO POR $47.500.000 EN DOS CURSOS ASINCRÓNICOS PARA 30 FUNCIONARIOS DE LA ENTIDAD
</t>
  </si>
  <si>
    <t>EE-220-2025</t>
  </si>
  <si>
    <t>AGENCIA NACIONAL DE CONTRATACIÓN PÚBLICA</t>
  </si>
  <si>
    <t>PRESTACIÓN DE SERVICIOS PARA EL DESARROLLO DEL PLAN INSTITUCIONAL DE CAPACITACION DE LA AGENCIA NACIONAL DE CONTRATACION PIBLICA- COLOMBIA COMPRA EFICIENTE - VIGENCIA 2025</t>
  </si>
  <si>
    <t>PAGOS MENSUALES:
1- 30%
2- 40%
3- 30%</t>
  </si>
  <si>
    <t>PABLO EMILIO GARZÓN CARREÑO</t>
  </si>
  <si>
    <t>EE-404-2025</t>
  </si>
  <si>
    <t>DOCENTE DE PLANTA</t>
  </si>
  <si>
    <t>FONDO NACIONAL DEL AHORRO</t>
  </si>
  <si>
    <t>CONSULTORÍA PARA EL DISEÑO DE LAS OBRAS DE REFORZAMIENTO ESTRUCTURAL, PLANOS, MEMORIAS DE CÁLCULO ESTRUCTURAL Y PRESUPUESTO, DE ACUERDO CON EL REGLAMENTO COLOMBIANO DE CONSTRUCCIÓN SISMO RESISTENTE (NSR-10), RESPECTO DEL EDIFICIO DENOMINADO “PRESIDENCIA”, UBICADO EN LA CARRERA 65 NO. 11 – 83 DE LA CIUDAD DE BOGOTÁ (SEDE PRINCIPAL DEL FONDO NACIONAL DEL AHORRO S.A.) Y DEL EDIFICIO DENOMINADO “CALLE 18” UBICADO EN LA CALLE 18 NO. 07-59</t>
  </si>
  <si>
    <t>POR PORCENTAJES:
1-2- 40%
3- 20%</t>
  </si>
  <si>
    <t>EE-0241-2025</t>
  </si>
  <si>
    <t>ALCALDÍA DE ZIPAQUIRÁ</t>
  </si>
  <si>
    <t>ADELANTAR EL ESTUDIO TÉCNICO DE REDISEÑO INSTITUCIONAL DE LA ALCALDÍA DE ZIPAQUIRÁ EN EL MARCO DE LAS NORMAS VIGENTES.</t>
  </si>
  <si>
    <t>AGENCIA LOGISTICA DE LAS FUERZAS MILITARES</t>
  </si>
  <si>
    <t>PRESTAR LOS SERVICIOS PROFESIONALES PARA LA EJECUCION DEL PLAN INSTITUCIONAL DE CAPACITACION PIC 2025, ADOPTADO PARA LOS FUNCIONARIOS DE PLANTA DE LA AGENCIA LOGISTICA DE LAS FUERZAS MILITARES.</t>
  </si>
  <si>
    <t>EE-0326-2025</t>
  </si>
  <si>
    <t>UNIDAD DE SERVICIOS PENITENCIARIOS Y CARCELARIOS - USPEC</t>
  </si>
  <si>
    <t>CONTRATAR LOS SERVICIOS PARA REALIZAR ACTIVIDADES DE CAPACITACIÓN Y FORMACIÓN DE ACUERDO CON EL PLAN INSTITUCIONAL DE CAPACITACIÓN PIC 2025 DIRIGIDO A LOS FUNCIONARIOS DE LA UNIDAD DE SERVICIOS PENITENCIARIOS Y CARCELARIOS (USPEC).</t>
  </si>
  <si>
    <t>EE-294-2025</t>
  </si>
  <si>
    <t>SECRETARÍA DE SALUD DISTRITAL</t>
  </si>
  <si>
    <t>CONTRATAR LA ELABORACIÓN DE UN DOCUMENTO DE ANALISIS DE LAS VIOLENCIAS ÉTNICO-RACIALES Y DE GENERO EN LAS COMUNIDADES NEGRAS Y AFROCOLOMBIANAS RESIDENTES ENLA CIUDAD DE BOGOTA DISTITO CAPITAL, CON ENFOQUE TERITORIAL LOCAL, INTERCULTURAL Y DE DETERMINANTES SOCIALES QUE APORTE A LA GENERACIÓN DE CONOCIMIENTO Y LA TOMA DE DECISIONES DESDE LAS POLITICAS PÚBLICAS.</t>
  </si>
  <si>
    <t>EE-321-2025</t>
  </si>
  <si>
    <t>PRESTACIÓN DE SERVICIOS PARA FORTALECER LA GESTION DEL CONTROL DEL TRANSITO Y TRANSPORTE, EN EL ÁREA DE ACCIÓN DE CUMPIMIENTO DE LAS NORMAS DE TRANSITO EN MATERA DE SEGUNIDAD VIAL, CON EL APOYO EN LA IMPLEMENTACION DE ESTRATEGIAS QUE CONTRIBUYAN A INCENTIVAR EL CUMPLIMIENTO DE LAS NORMAS DE TRANSITO Y TRANSPORTE, ATENDIENDO LAS PARTICULARIDADES Y DINAMICAS FUNCIONALES DE CADA UNA DE LAS OCHO REGIONES DEL PAÍS</t>
  </si>
  <si>
    <t xml:space="preserve">SE EFECTUARAN 6 PAGOS:
PRIMER PAGO: SE REALIZARÁ POR LA SUMA DE OCHOCIENTOS CINCUENTA Y SEIS MILLONES DOSCIENTOS SESENTA MIL QUINIENTOS VEINTE PESOS CON SESENTA Y TRES CENTAVOS ($856.260.520,63) MCTE, UNA VEZ SEAN ENTREGADOS Y RECIBIDOS A SATISFACCIÓN LA TOTALIDAD DE LOS PRODUCTOS DE LA FASE 1 DE EJECUCIÓN 
SEGUNDO PAGO: SE REALIZARÁ POR LA SUMA DE DOS MIL CINCUENTA Y CINCO MILLONES VEINTICINCO MIL DOSCIENTOS CUARENTA Y NUEVE PESOS CON CINCUENTA CENTAVOS ($2.055.025.249,50) MCTE, UNA VEZ SEAN ENTREGADOS Y RECIBIDOS A SATISFACCIÓN LA TOTALIDAD DE LOS PRODUCTOS DE LA FASE 2 DE EJECUCIÓN 
TERCER PAGO: SE REALIZARÁ POR LA SUMA DE MIL VEINTISIETE MILLONES QUINIENTOS DOCE MIL SEISCIENTOS VEINTICUATRO PESOS CON SETENTA Y CUATRO CENTAVOS ($1.027.512.624,74) M/CTE, UNA VEZ SEAN ENTREGADOS Y RECIBIDOS A SATISFACCIÓN LA TOTALIDAD DE LOS PRODUCTOS DE LA FASE 3 DE EJECUCIÓN. 
CUARTO PAGO: SE REALIZARÁ POR IA SUMA DE MIL SETECIENTOS DOCE MILLONES QUINIENTOS VEINTIÚN MIL CUARENTA Y UN PESOS CON VEINTICINCO CENTAVOS ($1.712.521.041,25) MCTE, UNA VEZ SEAN ENTREGADOS Y RECIBIDOS A SATISFACCIÓN LA TOTALIDAD DE LOS PRODUCTOS DE LA FASE 4 DE EJECUCIÓN. 
QUINTO PAGO: SE REALIZARÁ POR LA SUMA DE OCHOCIENTOS CINCUENTA Y SEIS MILLONES DOSCIENTOS SESENTA MIL QUINIENTOS VEINTE PESOS CON SESENTA Y TRES CENTAVOS ($856, 260. 520,63) MICTE, UNA VEZ SEAN ENTREGADOS Y RECIBIDOS A SATISFACCIÓN LA TOTALIDAD DE LOS PRODUCTOS DE LA FASE 5 DE EJECUCIÓN. 
SEXTO PAGO: SE REALIZARÁ POR LA SUMA DE TRESCIENTOS CUARENTA Y DOS MILLONES QUINIENTOS CUATRO MIL DOSCIENTOS OCHO PESOS CON VEINTICINCO CENTAVOS ($342.504.208,25) M/CTE, CONTRA LA LIQUIDACIÓN DEL CONTRATO
</t>
  </si>
  <si>
    <t>IE-342-2025</t>
  </si>
  <si>
    <t>DESARROLLO "PROGAMA DE FORMACIÓN DE MIGRACIÓN COLOMBIA PARA EL AÑO 2025"</t>
  </si>
  <si>
    <t>1- 30%
2- 70%</t>
  </si>
  <si>
    <t>EE-106-2025</t>
  </si>
  <si>
    <t>SUBDIRECCIÓN ESCUELA DE IMPUESTOS Y ADUANAS - DIRECCIÓN DE IMPUESTOS Y ADUANAS NACIONALES - DIAN</t>
  </si>
  <si>
    <t>EJECUTAR LAS ACCIONES REQUERIDAS PARA EL DESARROLLO DEL PLAN INSTITUCIONAL DE CAPACITACIÓN (PIC) E IMPLEMENTAR Y DESARROLLAR ESTRATEGIAS DE LA GESTIÓN DEL CONOCIMIENTO EN EL MARCO DE LOS LINEAMIENTOS Y METODOLOGÍAS PROPUESTOS POR LA DIAN.</t>
  </si>
  <si>
    <t>EE-359-2025</t>
  </si>
  <si>
    <t>AGENCIA NACIONAL DE TIERRAS - ANT</t>
  </si>
  <si>
    <t>REALIZAR, DESARROLLAR Y ENTREGAR LOS DIFERENTES AVALÚOS COMERCIALES Y/O LEVANTAMIENTOS TOPOGRÁFICOS NECESARIOS PARA LOS PREDIOS RURALES OBJETO DE COMPRA, CON EL FIN DE EJECUTAR Y CUMPLIR CON LA DOTACIÓN Y ADJUDICACIÓN DE TIERRAS A FAVOR DE SUJETOS DE ORDENAMIENTO SOCIAL DE LA PROPIEDAD RURAL.</t>
  </si>
  <si>
    <t>POR AVALUOS</t>
  </si>
  <si>
    <t>EE-370-2025</t>
  </si>
  <si>
    <t>SUBDIRECCIÓN ADMINISTRATIVA - CAJA DE VIVIENDA POPULAR</t>
  </si>
  <si>
    <t>EJECUTAR EL PLAN INSTITUCIONAL DE CAPACITACIÓN 2025 PARA LOS/AS SERVIDORES PÚBLICOS DE LA ENTIDAD, EN TEMAS DE EMPRENDIMIENTO, EXCEL BÁSICO Y AVANZADO, GESTIÓN Y FINANZAS PÚBLICAS, SECOP Y PRESUPUESTO PÚBLICO, MEDIANTE METODOLOGÍAS TEÓRICO-PRÁCTICAS QUE FACILITEN SU APLICACIÓN EN EL EJERCICIO INSTITUCIONAL</t>
  </si>
  <si>
    <t>CONTRATAR LOS SERVICIOS PARA REALIZAR ACTIVIDADES DE CAPACITACIÓN Y FORMACIÓN DE
ACUERDO CON EL PLAN INSTITUCIONAL DE CAPACITACIÓN PIC 2025 DIRIGIDO A LOS FUNCIONARIOS DE
LA UNIDAD DE SERVICIOS PENITENCIARIOS Y CARCELARIOS (USPEC)</t>
  </si>
  <si>
    <t>POR PORCENTAJES:
1-2-3- 30%
4- 10%</t>
  </si>
  <si>
    <t>EE-375-2025</t>
  </si>
  <si>
    <t>AGENCIA NACIONAL DE MINERÍA</t>
  </si>
  <si>
    <t>PRESTAR LOS SERVICIOS PARA LA EJECUCIÓN DEL PLAN INSTITUCIONAL DE CAPACITACIÓN DE LA ANM 2025</t>
  </si>
  <si>
    <t>1- 30%
2- 40%
3- 20%
4- 10%</t>
  </si>
  <si>
    <t>FORMA HIBRIDA: $511.656.000
FORMA VIRTUAL: $264.965.518</t>
  </si>
  <si>
    <t>INSTITUTO DE HIDROLOGÍA METEOROLÓGICA Y ESTUDIOS AMBIENTALES - IDEAM</t>
  </si>
  <si>
    <t>PRESTACIÓN DE SERVICIOS PARA EL DESARROLLO DEL PLAN INSTITUCIONAL DE CAPACITACIÓN DEL IDEAM VIGENCIA 2025</t>
  </si>
  <si>
    <t>1- 20%
2- 80% (MENSUALIDADES VENCIDAS DE ACUERDO AL NÚMERO DE CAPACITACIONES)</t>
  </si>
  <si>
    <t>EE-388-2025</t>
  </si>
  <si>
    <t>ESCUELA DE POSTGRADOS DE LA POLICÍA - POLICÍA NACIONAL DE COLOMBIA</t>
  </si>
  <si>
    <t>PRESTACION DE SENVICIOS PROFESIONALES DE CAPACITACION PARA EL DESARROLLO DE DIPLOMADOS, CURSOS Y SEMINARIOS PARA UNOS FUNCIONARIOS DE LA POLICIA NACIONAL,</t>
  </si>
  <si>
    <t>HASTA EL 30 DE NOVIEMBRE DE 2025</t>
  </si>
  <si>
    <t>PAGOS POR CADA DIPLOMADO</t>
  </si>
  <si>
    <t>EE-395-2025</t>
  </si>
  <si>
    <t>POLICÍA NACIONAL DE COLOMBIA - DILOF</t>
  </si>
  <si>
    <t>INTERVENTORÍA TÉCNICO ADMINISTRATIVA, FINANCIERA, LEGAL Y AMBIENTAL PARA LA
CONSTRUCCIÓN, RESTAURACIÓN ARQUITECTÓNICA, DEMOLICIÓN PARCIAL, REFORZAMIENTO ESTRUCTURAL, OBRA NUEVA, DOTACIÓN Y DEMÁS ACTIVIDADES PARA LA EJECUCIÓN DE LA ESTACIÓN DE POLICÍA BOAVITA EN EL DEPARTAMENTO DE BOYACÁ, A PRECIOS UNITARIOS FIJOS SIN FÓRMULA DE REAJUSTE</t>
  </si>
  <si>
    <t>A PARTIR DE LA APROBACIÓN  Y HASTA EL 31 DE DICIEMBRE DE 2025</t>
  </si>
  <si>
    <t>PAGOS DE ACUERDO AL AVANCE PORCENTUAL DEL PROYECTO</t>
  </si>
  <si>
    <t>EE-0267-2025</t>
  </si>
  <si>
    <t>CONCEJO DE BOGOTÁ</t>
  </si>
  <si>
    <t>PRESTAR SERVICIOS PARA REALIZAR LAS ACTIVIDADES DE CAPACITACIÓN PREVISTAS EN EL PLAN INSTITUCIONAL DE CAPACITACIÓN PARA LOS FUNCIONARIOS DEL CONCEJO DE BOGOTÁ.</t>
  </si>
  <si>
    <t>PAGO POR PORCENTAJES:
1-2-3- 30%
4- 10%</t>
  </si>
  <si>
    <t>EE-419-2025</t>
  </si>
  <si>
    <t>GOBERNACIÓN DE CUNDINAMARCA</t>
  </si>
  <si>
    <t>FORTALECER LAS CAPACIDADES TÉCNICAS PARA LA FORMULACIÓN E IMPLEMENTACIÓN DE INSTRUMENTOS DE PLANIFICACIÓN DEL DEPARTAMENTO</t>
  </si>
  <si>
    <t>3 PAGOS IGUALES</t>
  </si>
  <si>
    <t>EE-436-2025</t>
  </si>
  <si>
    <t>SURCOLOMBIANA - VICERRECTORÍA ACADÉMICA</t>
  </si>
  <si>
    <t>CONSULTORÍA PARA LA CONTRUCCIÓN DE DOCUMENTOS PARA LA SOLICITUD DEL REGISTRO
CALIFICADO, Y CONTRUCCIÓN DE CONTENIDOS DE AULAS VIRTUALES PARA ELPROGRAMA DE
INGENIERIA DE SOFTWARE DE LA UNIVERSIDAD SURCOLOMBIANA</t>
  </si>
  <si>
    <t>PAGO POR PORCENTAJES:
1-2-3- 30%
4- 40%</t>
  </si>
  <si>
    <t>EE-438-2025</t>
  </si>
  <si>
    <t>FONDO DE DESAROLLO LOCAL DE BOSA</t>
  </si>
  <si>
    <t>AUNAR ESFUERZOS TÉCNICOS, ADMINISTRATIVOS Y FINANCIEROS PARA REALIZAR EL CURSO DE
EDUCACIÓN NO FORMAL DENOMINADO PRE UNIVERSITARIO-PRESABER 11 QUE INCLUYE PROCESO DE ORIENTACIÓN VOCACIONAL, DIRIGIDO A POR LO MENOS 400 ESTUDIANTES DE INSTITUCIONES
PÚBLICAS DE LA LOCALIDAD DE KENNEDY EN LA VIGENCIA 2025</t>
  </si>
  <si>
    <t>A CONVENIR SEGÚN ACUERDOS CON LA ENTIDAD</t>
  </si>
  <si>
    <t>EE-447-2025</t>
  </si>
  <si>
    <t>MINISTERIO DE COMERCIO, INDUSTRIA Y TURISMO</t>
  </si>
  <si>
    <t>DESARROLLAR LA OFERTA DE FORMACIÓN Y CAPACITACIÓN CONTENIDA EN EL PLAN INSTITUCIONAL DE CAPACITACIÓN PARA LA VIGENCIA 2025 PARA LOS FUNCIONARIOS DEL MINISTERIO DE COMERCIO, INDUSTRIA Y TURISMO</t>
  </si>
  <si>
    <t>EE-449-2025</t>
  </si>
  <si>
    <t>PRESTAR SERVICIOS DE CAPACITACIÓN DIRIGIDA A LOS SERVIDORES PÚBLICOS DEL FONDO NACIONAL DEL AHORRO S.A. PARA EL DESARROLLO DE DIFERENTES TEMÁTICAS ENMARCADAS EN LAS ESCUELAS INCLUIDAS EN EL PLAN INSTITUCIONAL DE CAPACITACIÓN – PIC</t>
  </si>
  <si>
    <t>PAGO  POR PORCENTAJES:
1- 35%
2- 35%
3- 30%</t>
  </si>
  <si>
    <t>SEDE FONDO: $1.677.316.792
SEDE PROVEEDOR: $1.810.098.471</t>
  </si>
  <si>
    <t>EE-473-2025</t>
  </si>
  <si>
    <t>MINISTERIO DE TRANSPORTE</t>
  </si>
  <si>
    <t>SG-668 PRESTAR LOS SERVICIOS DE CAPACITACIÓN EN EL MARCO DEL PLAN INSTITUCIONAL DE
CAPACITACIÓN – PIC PARA LOS SERVIDORES.</t>
  </si>
  <si>
    <t>EE-478-2025</t>
  </si>
  <si>
    <t>PRESTAR SERVICIOS PARA LA REALIZACIÓN DE UN PROGRAMA DE FORTALECIMIENTO DE COMPETENCIAS DE FORMACIÓN ACADÉMICA DE LENGUA EXTRANJERA PARA LOS SERVIDORES PÚBLICOS DEL SECTOR CENTRAL DE LA GOBERNACIÓN DE CUNDINAMARCA.</t>
  </si>
  <si>
    <t>EE-479-2025</t>
  </si>
  <si>
    <t>AERONÁUTICA CIVIL - UNIDAD ADMINISTRATIVA ESPECIAL</t>
  </si>
  <si>
    <t>DESARROLLAR UN CURSO FORMATIVO DIRIGIDO A CINCUENTA (50) FUNCIONARIOS DE LA U.A.E. DE AERONÁUTICA CIVIL, CON EL OBJETIVO DE FORTALECER SUS COMPETENCIAS TEÓRICAS Y PRÁCTICAS EN NEGOCIACIÓN SINDICAL EN EL SECTOR PÚBLICO, BRINDANDO HERRAMIENTAS JURÍDICAS, ESTRATÉGICAS Y COMUNICATIVAS QUE LES PERMITAN PARTICIPAR DE MANERA EFECTIVA Y COLABORATIVA EN ESCENARIOS DE DIÁLOGO SOCIAL Y CONCERTACIÓN LABORAL CON LAS ORGANIZACIONES SINDICALES, EN CUMPLIMIENTO DE LA NORMATIVIDAD VIGENTE.</t>
  </si>
  <si>
    <t>POR PORCENTAJES:
1- 30%
2- 40%
3- 30%</t>
  </si>
  <si>
    <t>EE-488-2025</t>
  </si>
  <si>
    <t>PRESTAR SERVICIOS PROFESIONALES PARA REALIZAR LOS LEVANTAMIENTOS TOPOGRÁFICOS REQUERIDOS PARA EL SANEAMIENTO LEGAL, CATASTRAL Y SEGUIMIENTO ADMINISTRATIVO DE LOS INMUEBLES DONDE FUNCIONAN TRES ZONAS FRANCAS DE PROPIEDAD DEL MINISTERIO DE COMERCIO, INDUSTRIA Y TURISMO UBICADAS EN BARRANQUILLA, CARTAGENA Y PALMASECA</t>
  </si>
  <si>
    <t>POR LEVANTAMIENTOS TOPOGRÁFICOS</t>
  </si>
  <si>
    <t>EE-4597-2025</t>
  </si>
  <si>
    <t>GOBERNACIÓN DEL MAGDALENA</t>
  </si>
  <si>
    <t>PRESTACIÓN DEL SERVICIO DE INTERVENTORÍA TÉCNICA, ADMINISTRATIVA, FINANCIERA Y JURÍDICA AL CONTRATO QUE TIENE POR OBJETO SUMINISTRAR EL COMPLEMENTO ALIMENTARIO PARA LOS NIÑOS, NIÑAS Y ADOLESCENTES MATRICULADOS EN LAS INSTITUCIONES EDUCATIVAS OFICIALES, REGISTRADOS, PRIORIZADOS Y FOCALIZADOS EN EL SIMAT, CONFORME A LOS LINEAMIENTOS TÉCNICO ADMINISTRATIVOS DEL PAE.</t>
  </si>
  <si>
    <t>30% INICIAL, Y UN 70% EN CINCO PAGOS MENSUALES</t>
  </si>
  <si>
    <t>EE-537-2025</t>
  </si>
  <si>
    <t>POLICÍA NACIONAL DE COLOMBIA - DIBIE</t>
  </si>
  <si>
    <t>INTERVENTORÍA TÉCNICA, ADMINISTRATIVA, FINANCIERA, JURÍDICA, AMBIENTAL Y DE GESTIÓN EN LA SEGURIDAD Y SALUD EN EL TRABAJO, PARA EL MANTENIMIENTO PREVENTIVO Y CORRECTIVO Y/O MEJORAS LOCATIVAS DE ALGUNAS INSTALACIONES DE LA POLICÍA NACIONAL-DIRECCIÓN DE BIENESTAR SOCIAL Y FAMILIA A PRECIOS UNITARIOS FIJOS SIN FÓRMULA DE REAJUSTE- LOTE 1: "MANTENIMIENTO INTEGRAL PREVENTIVO Y CORRECTIVO DE OBRA, ADECUACIÓN, REMODELACIÓN Y/O MEJORAS LOCATIVAS A COLEGIOS, CENTRO RELIGIOSO, MAUSOLEOS, PANTEONES Y HOGARES MADRE MARÍA SAN LUIS" LOTE 2: "MANTENIMIENTO INTEGRAL PREVENTIVO Y CORRECTIVO DE OBRA, ADECUACIÓN, REMODELACIÓN Y/O MEJORAS LOCATIVAS A CENTROS VACACIONALES Y RECREACIONALES" LOTE 3: "MANTENIMIENTO INTEGRAL PREVENTIVO Y CORRECTIVO DE OBRA, ADECUACIÓN, REMODELACIÓN Y/O MEJORAS LOCATIVAS A VIVIENDAS FISCALES, OFICINAS NIVEL CENTRAL"</t>
  </si>
  <si>
    <t>HASTA EL 30 DE DICIEMBRE DE 2025</t>
  </si>
  <si>
    <t>PRIMER PAGO PARCIAL POR ELABORACIÓN DE DIAGNÓSTICOS, PAGOS PARCIALES POR EJECUCIÓN DE OBRA.</t>
  </si>
  <si>
    <t>EE-547-2025</t>
  </si>
  <si>
    <t>MINISTERIO DE MEDIO AMBIENTE Y DESARROLLO SOSTENIBLE</t>
  </si>
  <si>
    <t>PRESTACIÓN DE LOS SERVICIOS DE CAPACITACIÓN A 100 PERSONAS BAJO EL FORMATO
DIPLOMADO-TALLER ENFOCADO EN EL DESARROLLO DE CAPACIDADES PARA LA MADURACIÓN DE
INICIATIVAS QUE CONDUZCAN A LA FORMULACIÓN DE PROYECTOS DE GOBERNANZA AMBIENTAL EN
COMUNIDADES Y ORGANIZACIONES DE BASE ÉTNICAS, AFRODESCENDIENTES Y CAMPESINAS
EMPLEANDO TIC´S.</t>
  </si>
  <si>
    <t>HASTA EL 30 DE JUNIO DE 2025</t>
  </si>
  <si>
    <t>PAGO POR PORCENTAJES:
1- 40%
2- 40%
3- 20%</t>
  </si>
  <si>
    <t>EE-572-2025</t>
  </si>
  <si>
    <t>INSTITUTO DE DESARROLLO URBANO IDU</t>
  </si>
  <si>
    <t>DISEÑAR Y EJECUTAR LOS CURSOS DEL PLAN INSTITUCIONAL DE CAPACITACIÓN PRIORIZADOS
PARA LA VIGENCIA 2025, QUE PERMITAN FORTALECER LAS COMPETENCIAS LABORALES Y
COMPORTAMENTALES DE LOS SERVIDORES DEL INSTITUTO DE DESARROLLO URBANO.</t>
  </si>
  <si>
    <t>PAGO POR PORCENTAJES:
1- 35%
2- 35%
3- 30%</t>
  </si>
  <si>
    <t>EE-582-2025</t>
  </si>
  <si>
    <t>POLICÍA NACIONAL - ESCUELA DE POSTGRADOS DE POLICÍA</t>
  </si>
  <si>
    <t xml:space="preserve">ACTIVIDADES DE PRESTACIÓN DE SERVICIOS: DESARROLLO DEL CURSO EN GESTIÓN ESTRATÉGICA
DEL SERVICIO DE POLICÍA (GESEP 2025 -1)
</t>
  </si>
  <si>
    <t>HASTA EL 30 DE OCTUBRE DE 2025</t>
  </si>
  <si>
    <t>UN ÚNICO PAGO AL FINALIZAR LAS FUNCIONES ESTABLECIDAS</t>
  </si>
  <si>
    <t>EE-624-2025</t>
  </si>
  <si>
    <t>ALCALDÍA DE MOSQUERA</t>
  </si>
  <si>
    <t xml:space="preserve">DESCRIPCIÓN GENERAL: DIPLOMADO EN GESTIÓN CULTURAL DIRIGIDO A FORTALECER LAS CAPACIDADES DE LIDERAZGO, FORMULACIÓN DE
PROYECTOS, SOSTENIBILIDAD Y PROMOCIÓN DE PROCESOS CULTURALES LOCALES.
</t>
  </si>
  <si>
    <t>PAGO POR PORCENTAJES:
1- 40%
2- 50%
3- 10%</t>
  </si>
  <si>
    <t>EE-620-2025</t>
  </si>
  <si>
    <t>SECRETARÍA DISTRITAL DE HACIENDA</t>
  </si>
  <si>
    <t>PRESTAR LOS SERVICIOS PARA ADELANTAR LOS PROCESOS DE SELECCIÓN BASADOS EN EL MÉRITO
MEDIANTE PROCEDIMIENTOS Y MEDIOS TÉCNICOS OBJETIVOS E IMPARCIALES, QUE PERMITAN LA
PARTICIPACIÓN EN IGUALDAD DE CONDICIONES DE QUIENES SE PRESENTEN COMO ASPIRANTES PARA
PROVEER EL CARGO DE CONTRALOR DE BOGOTÁ D.C. CONFORME A LAS DISPOSICIONES
CONSTITUCIONALES, LEGALES Y REGLAMENTARIAS QUE REGULAN LA MATERIA.</t>
  </si>
  <si>
    <t>PAGO POR PORCENTAJES:
1- 30%
2- 40%
3- 30%</t>
  </si>
  <si>
    <t>EE-612-2025</t>
  </si>
  <si>
    <t>SECRETARÍA DISTRITAL DEL HÁBITAT</t>
  </si>
  <si>
    <t xml:space="preserve">DESARROLLAR UN CONJUNTO INTEGRAL DE ESTUDIOS Y SOLUCIONES ESTRUCTURALES Y AMBIENTALES PARA LA IGLESIA SANTA EDITH STEIN
Y EL PARQUE VECINAL "URBANIZACIÓN GUACAMAYAS", CON EL FIN DE MITIGAR LOS RIESGOS ASOCIADOS A LA VULNERABILIDAD
ESTRUCTURAL, MEJORAR LA ESTABILIDAD DEL TERRENO Y OPTIMIZAR LA GESTIÓN DEL AGUA.
</t>
  </si>
  <si>
    <t>5 PAGOS MENSUALES CADA UNO POR $94.000.000</t>
  </si>
  <si>
    <t>EE-646-2025</t>
  </si>
  <si>
    <t>MIGRACIÓN BOGOTÁ</t>
  </si>
  <si>
    <t>DESARROLLAR EL PROGRAMA DE FORMACIÓN DE LOS FUNCIONARIOS DE MIGRACIÓN COLOMBIA PARA EL AÑO 2025.</t>
  </si>
  <si>
    <t>PAGO POR PORCENTAJES:
1- 30%
2- 70%</t>
  </si>
  <si>
    <t>PABLO EMILIO GARZÓN</t>
  </si>
  <si>
    <t>EE-655-2025</t>
  </si>
  <si>
    <t xml:space="preserve">DISEÑAR E IMPLEMENTAR EL PLAN DE CAPACITACIÓN O FORMACIÓN EN EL DERECHO FUNDAMENTAL A LA CONSULTA PREVIA,
MEDIANTE LA CONSTRUCCIÓN DE CONOCIMIENTOS, PROMOCIÓN DE HABILIDADES Y DESTREZAS QUE LAS DOTE, ESTRUCTURE O
CONSOLIDE DE UNA ACTITUD CRÍTICA, ANALÍTICA Y GARANTE DEL BUEN VIVIR EN SU ENTORNO, TANTO A LOS GRUPOS ÉTNICOS,
COMO A LOS EJECUTORES, INSTITUCIONALIDAD INTERVINIENTE Y SERVIDORES PÚBLICOS (FUNCIONARIOS Y CONTRATISTAS).
</t>
  </si>
  <si>
    <t>PAGOS POR PORCENTAJES:
1- 35%
2- -35%
3- 30%</t>
  </si>
  <si>
    <t>EE-653-2025</t>
  </si>
  <si>
    <t>ALCALDÍA MUNICIPAL EL COLEGIO</t>
  </si>
  <si>
    <t>REALIZAR LOS ESTUDIOS Y DISEÑOS DEL COMPLEJO DEPORTIVO DEL MUNICIPIO DE EL COLEGIO, DEPARTAMENTO DE CUNDINAMARCA</t>
  </si>
  <si>
    <t>PAGOS MENSUALES CORRESPONDIENTES AL 90% Y UN ULTIMO PAGO DEL 10% CON LA PRESENTACIÓN DEL INFORME FINAL</t>
  </si>
  <si>
    <t>EE-513-2025</t>
  </si>
  <si>
    <t>SUPERINTENDENCIA NACIONAL DE SALUD</t>
  </si>
  <si>
    <t xml:space="preserve">PRESTAR LOS SERVICIOS DE FORMACIÓN Y CAPACITACIÓN A LOS FUNCIONARIOS DE LA SUPERINTENDENCIA NACIONAL DE SALUD PARA
FORTALECER SUS COMPETENCIAS, DE ACUERDO CON LO IDENTIFICADO EN EL PLAN INSTITUCIONAL DE CAPACITACIÓN DE LA VIGENCIA
2025.
</t>
  </si>
  <si>
    <t>PAGOS MENSUALES VENCIDOS SEGÚN EL VALOR DE CADA CURSO</t>
  </si>
  <si>
    <t>EE-514-2025</t>
  </si>
  <si>
    <t xml:space="preserve">CONTRATAR SERVICIOS PROFESIONALES ESPECIALIZADOS DE CONSULTORÍA PARA DISEÑAR E IMPLEMENTAR UN MODELO DE ARQUITECTURA
EMPRESARIAL (AE) Y GESTIÓN ESTRATÉGICA DE TECNOLOGÍAS DE LA INFORMACIÓN (TI) EN LA AGENCIA NACIONAL DE TIERRAS (ANT)
PARA FORTALECER LA TOTALIDAD DELAS CAPACIDADES TECNOLÓGICAS, ESTRATÉGICAS, DE GESTIÓN Y GOBIERNO, OPTIMIZANDO LOS
PROCESOS, SERVICIOS Y SOLUCIONES DE LA ANT MEDIANTE LA ALINEACIÓN ESTRATÉGICA DE TI CON LOS OBJETIVOS DE INSTITUCIONALES
Y EL USO EFICIENTE DE TI, PARA LA TRANSFORMACIÓN DIGITAL QUE PERMITA OPTIMIZAR LA EFICIENCIA OPERATIVA, LA TOMA DE DECISIONES
ESTRATÉGICAS Y LA MEJORA EN LA PRESTACIÓN DE SERVICIOS A LOS DIVERSOS GRUPOS DE VALOR DE LA ENTIDAD.
</t>
  </si>
  <si>
    <t>HASTA EL 15 DE DICIEMBRE DE 2025</t>
  </si>
  <si>
    <t>PAGO POR ENTREGABLES</t>
  </si>
  <si>
    <t>EE-678-2025</t>
  </si>
  <si>
    <t>SECRETARÍA DISTRITAL DE GOBIERNO</t>
  </si>
  <si>
    <t>PRESTAR LOS SERVICIOS PARA IMPLEMENTAR ESTRATEGIAS QUE PROMUEVAN EL FORTALECIMIENTO
EMPRESARIAL A LAS MIPYMES, EMPRENDIMIENTOS Y/O UNIDADES PRODUCTIVAS Y/O ACTORES DE LA
ECONOMÍA, EN CAPACIDADES LOCALES PARA LA GESTIÓN Y COMERCIALIZACIÓN DEL SECTOR
TURISTICO, EN EL MARCO DEL PLAN DE DESARROLLO LOCAL 2025-2028.</t>
  </si>
  <si>
    <t>PAGOS MENSUALES DEL 10% CADA UNO</t>
  </si>
  <si>
    <t>EE-682-2025</t>
  </si>
  <si>
    <t>SECRETARÍA DE SEGURIDAD, CONVIVENCIA Y JUSTICIA</t>
  </si>
  <si>
    <t>PRESTACIÓN DE LOS SERVICIOS DE CAPACITACIÓN PARA LA SECRETARÍA DISTRITAL DE SEGURIDAD,
CONVIVENCIA Y JUSTICIA, EN LOS TEMAS DETERMINADOS DENTRO DE LOS EJES TEMÁTICOS DEL PLAN
INSTITUCIONAL DE CAPACITACIÓN - PIC 2025.</t>
  </si>
  <si>
    <t>PAGO POR PORCENTAJES:
1- 20%
2- 70% (9 PAGOS MENSUALES)
3- 10%</t>
  </si>
  <si>
    <t>EE-681-2025</t>
  </si>
  <si>
    <t>CONSEJO SUPERIOR DE LA JUDICARUTRA</t>
  </si>
  <si>
    <t xml:space="preserve">IDENTIFICAR, DESCRIBIR Y EVALUAR LOS FACTORES PROCESALES Y SUSTANCIALES Y DE CONTEXTO SOCIO JURÍDICO QUE INCIDEN EN LA
ACUMULACIÓN DE INVENTARIOS EN LOS DESPACHOS JUDICIALES DE FAMILIA DE BOGOTÁ ENTRE 2022 Y 2024 A TRAVÉS DEL ESTUDIO
DE INFORMACIÓN EXTRAÍDA DEL SIERJU, LAS SENTENCIAS JUDICIALES, DEMANDAS, CONTESTACIÓN DE LAS DEMANDAS, AUTOS, OTRAS
PROVIDENCIAS Y APLICACIÓN DE TÉCNICAS CUALITATIVAS EN DONDE PARTICIPEN FUNCIONARIOS, EMPLEADOS JUDICIALES Y SERVIDORES
PÚBLICOS DE ENTIDADES EXTERNAS.
</t>
  </si>
  <si>
    <t>PAGO POR PORCENTAJES:
1- 25%
2- 25%
3- 25%
4- 25%</t>
  </si>
  <si>
    <t>EE-684-2025</t>
  </si>
  <si>
    <t>INSTITUTO NACIONAL DE VÍAS - INVIAS</t>
  </si>
  <si>
    <t>PRESTAR SERVICIOS TÉCNICOS ESPECIALIZADOS PARA LA OPERACIÓN, EXPANSIÓN, MEJORA Y
TRANSFERENCIA DEL SISTEMA DE INFORMACIÓN VIITS, INCLUYENDO TODOS SUS COMPONENTES
TECNOLÓGICOS, OPERATIVOS, DE COMUNICACIONES Y DE GESTIÓN, PARA LA SEGURIDAD VIAL Y LA
MOVILIDAD EN LA RED VIAL NACIONAL NO CONCESIONADA, MEDIANTE EL USO DE TECNOLOGÍAS DE LA
INFORMACIÓN, INTELIGENCIA ARTIFICIAL, DISPOSITIVOS IOT Y HERRAMIENTAS DE ANÁLISIS DE DATOS.</t>
  </si>
  <si>
    <t>PAGO POR PORCENTAJES DE FORMA MENSUAL:
1- 15%
2-12- 8,5%</t>
  </si>
  <si>
    <t>EE-628-2025</t>
  </si>
  <si>
    <t>ALCALDÍA DE SOACHA CUNDINAMARCA</t>
  </si>
  <si>
    <t xml:space="preserve">AUNAR ESFUERZOS PARA LA REALIZACIÓN DE CURSOS PREPARATORIOS PARA LA TRANSICIÓN DE ESTUDIANTES DE LA MEDIA A
EDUCACIÓN SUPERIOR DE LAS INSTITUCIONES EDUCATIVAS PÚBLICAS LA CIUDAD DE SOACHA
</t>
  </si>
  <si>
    <t>EE-716-2025</t>
  </si>
  <si>
    <t>INSTITUTO MUNICIPAL DE CULTURA, RECREACIÓN Y DEPORTE DE ZIPAQUIRÁ</t>
  </si>
  <si>
    <t xml:space="preserve">REALIZAR EL ESTUDIO TÉCNICO DE REDISEÑO INSTITUCIONAL DEL INSTITUTO MUNICIPAL DE CULTURA, RECREACIÓN Y DEPORTE DE
ZIPAQUIRÁ EN EL MARCO DE LAS NORMAS VIGENTES.
</t>
  </si>
  <si>
    <t>EE-565-2025</t>
  </si>
  <si>
    <t>INSTITUTO DE GESTIÓN DE RIESGOS Y CAMBIO CLIMÁTICO - IDIGER</t>
  </si>
  <si>
    <t>AJUSTAR Y COMPLEMENTAR LA EDRE ACTUAL CON BASE EN LA GUÍA NACIONAL DE LA UNGR Y LA
INFORMACIÓN SECUNDARIA DEL IDIGER, DEL DISTRITO Y DE LA NACIÓN, DISEÑAR EL MARCO DE
ACTUACIÓN ESPECÍFICO EN SISMO Y DISEÑAR LA ESTRATEGIA DE IMPLEMENTACIÓN DE LA EDRE.</t>
  </si>
  <si>
    <t>PAGO POR PORCENTAJES:
1- 30%
2- 40%
3- 20%
4- 10%</t>
  </si>
  <si>
    <t>EE-557-2025</t>
  </si>
  <si>
    <t>MINISTERIO DEL TRABAJO</t>
  </si>
  <si>
    <t xml:space="preserve">REALIZAR EL PLAN INSTITUCIONAL DE CAPACITACIÓN (PIC) 2025 CON CONTENIDOS TEMÁTICOS DEFINIDOS Y/O PRIORIZADOS PARA LOS
SERVIDORES PÚBLICOS DEL MINISTERIO DEL TRABAJO.
</t>
  </si>
  <si>
    <t>EE-730-2025</t>
  </si>
  <si>
    <t>CONCEJO MUNICIPAL DE PASTO</t>
  </si>
  <si>
    <t>OFERTA DE SERVICIOS DE CONSULTORÍA PARA ADELANTAR EL PROCESO DE CONVOCATORIA PREVIA A LA ELECCIÓN DE CONTRALORES TERRITORIALES PARA EL PERIODO 2026–2029.</t>
  </si>
  <si>
    <t>PAGO POR PORCENTAJES</t>
  </si>
  <si>
    <t>EE-737-2025</t>
  </si>
  <si>
    <t>SUBRED INTEGRADA DE SERVICIOS DE SALUD NORTE E.S.E.</t>
  </si>
  <si>
    <t>CONTRATAR LA PRESTACIÓN DE SERVICIOS PARA EJERCER LA INTERVENTORÍA TÉCNICA, JURÍDICA, ADMINISTRATIVA. FINANCIERA Y AMBIENTAL. SOBRE EL CONTRATO DE CONSULTORÍA QUE SE SUSCRIBA PARA LOS ESTUDIOS Y DISEÑOS CON EL FIN DE CONTAR CON LAS ESPECIFICACIONES DETALLADAS, PLANOS Y DETALLES ARQUITECTÓNICOS, CÁLCULO DE LAS CANTIDADES DE OBRA. ESTUDIOS, ESTIMACIÓN DE PRECIOS UNITARIOS. PRESUPUESTOS, CRONOGRAMAS, PERMISOS, TRAMITES Y EN GENERAL TODAS AQUELLAS ACTIVIDADES Y PRODUCTOS REQUERIDOS PARA LA CONSTRUCCIÓN DE LA UNIDAD DE SERVICIOS DE SALUD GAITANA.</t>
  </si>
  <si>
    <t>EE-736-2025</t>
  </si>
  <si>
    <t>SUBRED INTEGRADA  DE SERVICIOS DE SALUD NORTE E.S.E.</t>
  </si>
  <si>
    <t>CONTRATAR LOS ESTUDIOS Y DISEÑOS CON EL FIN DE CONTAR CON LAS ESPECIFICACIONES DETALLADAS Y PLANOS Y DETALLES ARQUITECTÓNICOS, CÁLCULO DE LAS CANTIDADES DE OBRA, ESTUDIOS, ESTIMACIÓN DE PRECIOS UNITARIOS, PRESUPUESTOS, CRONOGRAMAS, PERMISOS, TRAMITES Y EN GENERAL TODAS AQUELLAS ACTIVIDADES Y PRODUCTOS REQUERIDOS PARA LA CONSTRUCCIÓN DE LA UNIDAD DE SERVICIOS DE SALUD GAITANA.</t>
  </si>
  <si>
    <t>ANGELA PÉREZ</t>
  </si>
  <si>
    <t>EE-755-2025</t>
  </si>
  <si>
    <t>TATTO DC ACADEMY. SAS</t>
  </si>
  <si>
    <t>CERTIFICAR A LOS PARTICIPANTES QUE FINALICEN SATISFACTORIAMENTE EL DIPLOMADO EN TÉCNICA DE TATUAJE, MEDIANTE LA EJECUCIÓN DE UN PROGRAMA DE FORMACIÓN TEÓRICO-PRÁCTICO DESARROLLADO EN EL MARCO DE LA ALIANZA ACADÉMICA ENTRE LA UNIVERSIDAD DISTRITAL FRANCISCO JOSÉ DE CALDAS Y TATTOO DC ACADEMY SAS, CON BASE EN LOS LINEAMIENTOS CURRICULARES, METODOLÓGICOS Y DE CALIDAD DEFINIDOS POR DICHA ALIANZA</t>
  </si>
  <si>
    <t>4 PAGOS</t>
  </si>
  <si>
    <t>EE-743-2025</t>
  </si>
  <si>
    <t>MINISTERIO DE VIVIENDA, CIUDAD Y TERRITORIO</t>
  </si>
  <si>
    <t>REALIZAR LA CARACTERIZACIÓN SOCIAL DE HOGARES UBICADOS EN PREDIOS VIABILIZADOS TÉCNICAMENTE PARA EL DESARROLLO EN LOS PROCESOS DE TITULACIÓN, SANEAMIENTO Y FORMALIZACIÓN A NIVEL NACIONAL.</t>
  </si>
  <si>
    <t>EE-744-2025</t>
  </si>
  <si>
    <t>SUPERINTENDENCIA DE LA ECONOMÍA SOLIDARIA</t>
  </si>
  <si>
    <t>PRESTACIÓN DE SERVICIOS PARA EJECUTAR ACTIVIDADES DE CAPACITACIÓN Y ACTUALIZACIÓN PARA LOS SERVIDORES PÚBLICOS, ACORDE CON EL PLAN INSTITUCIONAL DE CAPACITACIÓN VIGENCIA 2025 DE LA SUPERINTENDENCIA DE LA ECONOMÍA SOLIDARIA.</t>
  </si>
  <si>
    <t>EE-773-2025</t>
  </si>
  <si>
    <t>BANCO AGRARIO DE COLOMBIA</t>
  </si>
  <si>
    <t>PRESTAR EL SERVICIO DE FORMACIÓN VIRTUAL SINCRÓNICA PARA LOS COLABORADORES DE LA VICEPRESIDENCIA DE TECNOLOGÍA E INNOVACIÓN DEL BANCO AGRARIO, CON EL FIN DE FORTALECER SUS COMPETENCIAS TÉCNICAS EN TEMAS DE ACTUALIDAD TECNOLÓGICA. ESTA FORMACIÓN CONTRIBUIRÁ A LA MEJORA DE LA PRODUCTIVIDAD, LA EFICIENCIA OPERATIVA Y LA IMPLEMENTACIÓN DE PROCESOS INNOVADORES ALINEADOS CON LAS NECESIDADES ESTRATÉGICAS DEL BANCO.</t>
  </si>
  <si>
    <t>ANDRÉS PINEDA</t>
  </si>
  <si>
    <t>EE-807-2025</t>
  </si>
  <si>
    <t>UNIDAD DE ALIMENTOS PARA APRENDER - UAPA</t>
  </si>
  <si>
    <t>CONTRATAR EL DESARROLLO E IMPLEMENTACIÓN DE LOS NUEVOS REQUERIMIENTOS CORRESPONDIENTES A LAS FASES 3 Y 4 DEL ECOSISTEMA DE INFORMACIÓN SiPAE DE LA UNIDAD ADMINISTRATIVA ESPECIAL DE ALIMENTACIÓN ESCOLAR – ALIMENTOS PARA APRENDER"</t>
  </si>
  <si>
    <t>5 PAGOS</t>
  </si>
  <si>
    <t>JUAN PLABLO NAVAS</t>
  </si>
  <si>
    <t>EE-827-2025</t>
  </si>
  <si>
    <t>GOBERNACIÓN DEL ARCHIPIÉLAGO DE SAN ANDRÉS, PROVIDENCIA Y SANTA CATALINA</t>
  </si>
  <si>
    <t>PRESTAR SERVICIOS TÉCNICOS ESPECIALIZADOS PARA LA IMPLEMENTACIÓN DE LA METODOLOGÍA BUILDING INFORMATION MODELING (BIM), ORIENTADOS A APOYAR LA MODERNIZACIÓN DE LA INFRAESTRUCTURA PÚBLICA DEL ARCHIPIÉLAGO, EN EL MARCO DE LOS PROCESOS DE TRANSFORMACIÓN DIGITAL LIDERADOS POR LA GOBERNACIÓN.</t>
  </si>
  <si>
    <t>SEBASTAN URIBE</t>
  </si>
  <si>
    <t>EE-814-2025</t>
  </si>
  <si>
    <t>SECRETARÍA DISTRITAL DE PLANEACIÓN</t>
  </si>
  <si>
    <t>AUNAR ESFUERZOS LOGÍSTICOS, TÉCNICOS, CONCEPTUALES Y METODOLÓGICOS AL CONSEJO TERRITORIAL DE PLANEACIÓN DISTRITAL – CTPD EN EL MARCO DE SU PLAN DE ACCIÓN Y EL PLAN INSTITUCIONAL DE PARTICIPACIÓN CIUDADANA.</t>
  </si>
  <si>
    <t>EE-856-2025</t>
  </si>
  <si>
    <t>INTERVENTORÍA TÉCNICA, ADMINISTRATIVA, FINANCIERA Y JURÍDICA DEL PROGRAMA DE ALIMENTACIÓN ESCOLAR DEL DEPARTAMENTO DE LA MAGDALENA 2025-2026 ZONAS 1 Y 2.</t>
  </si>
  <si>
    <t>A CONVENIR</t>
  </si>
  <si>
    <t>ÁNGELA PÉREZ</t>
  </si>
  <si>
    <t>EE-815-2025</t>
  </si>
  <si>
    <t>SECRETARÍA DISTRITAL DE SALUD</t>
  </si>
  <si>
    <t>DISEÑAR E IMPLEMENTAR UN PILOTAJE DE UNA ESTRATEGIA DE SERVICIOS DE ATENCIÓN PRIMARIA EN SALUD Y SOCIAL, QUE ABORDE FACTORES AMBIENTALES QUE INCIDAN EN LOS GRUPOS POBLACIONALES PRIORIZADOS DEL DISTRITO CAPITAL</t>
  </si>
  <si>
    <t>EE-826-2025</t>
  </si>
  <si>
    <t>SUPERINTENDECIA DEL SUBSIDIO FAMILIAR</t>
  </si>
  <si>
    <t>EE-831-2025</t>
  </si>
  <si>
    <t>FUERZA AEROESPACIAL COLOMBIANA</t>
  </si>
  <si>
    <t>PRESTAR SERVICIOS DE PERSONAL PROFESIONAL Y DE APOYO A LA GESTION PARA EL GIMFA CACOM
4 EN ÁREAS ACADÉMICAS, PSICORIENTACION E INSTRUCCIÓN MILITAR ESPECIAL, QUE FACILITEN EL
PLANEAMIENTO Y DESARROLLO DE LAS ACTIVIDADES DURANTE.</t>
  </si>
  <si>
    <t>HASTA EL 30 DE JULIO DE 2026</t>
  </si>
  <si>
    <t>EE-835-2025</t>
  </si>
  <si>
    <t>ALCALDÍA LOCAL DE KENNEDY</t>
  </si>
  <si>
    <t>DESARROLLAR EL PROYECTO DE FORTALECIMIENTO DE LA PARTICIPACIÓN EN PROCESOS EDUCATIVOS: ESCUELA DE LIDERAZGO, PARTICIPACIÓN, DEMOCRACIA Y JUVENTUD.</t>
  </si>
  <si>
    <t>PAGO POR PRODUCTOS</t>
  </si>
  <si>
    <t>EE-837-2025</t>
  </si>
  <si>
    <t>EE-846-2025</t>
  </si>
  <si>
    <t>ASAMBLEA DEPARTAMENTAL DE NARIÑO</t>
  </si>
  <si>
    <t>PRESTACIÓN DE SERVICIOS PROFESIONALES PARA REALIZAR EL DISEÑO, APLICACIÓN DE PRUEBAS, Y ENTREGA DE RESULTADOS DENTRO DE LA CONVOCATORIA PÚBLICA PARA LA ELECCIÓN DEL CONTRALOR DEPARTAMENTAL DE LA ASAMBLEA DEPARTAMENTAL DE NARIÑO PARA EL PERIODO 2026 - 2029, DE CONFORMIDAD CON LA NORMATIVIDAD VIGENTE.</t>
  </si>
  <si>
    <t>EE-857-2025</t>
  </si>
  <si>
    <t>AGENCIA PARA LA REINCORPORACIÓN Y LA NORMALIZACIÓN (ARN)</t>
  </si>
  <si>
    <t>PRESTAR SERVICIOS DE ACOMPAÑAMIENTO PARA EL BIENESTAR PSICOSOCIAL ENFOCADO EN EL FORTALECIMIENTO DE CAPACIDADES Y HABILIDADES PARA LA VIDA DE PERSONAS EN PROCESO DE REINCORPORACIÓN.</t>
  </si>
  <si>
    <t>EE-749-2025</t>
  </si>
  <si>
    <t>SECRETARÍA DISTRITAL DE INTEGRACIÓN SOCIAL</t>
  </si>
  <si>
    <t>FORMULAR Y ESTRUCTURAR EL REDISEÑO INTEGRAL DE LOS SERVICIOS DE COMEDORES COMUNITARIOS Y COMUNIDADES DE CUIDADO DE LA SECRETARÍA DISTRITAL DE INTEGRACIÓN SOCIAL – SDIS, MEDIANTE LA ELABORACIÓN DE UN DIAGNÓSTICO TÉCNICO, JURÍDICO Y OPERATIVO; EL DISEÑO DE UN NUEVO MODELO DE OPERACIÓN Y SUPERVISIÓN; Y LA FORMULACIÓN DE ESQUEMAS DE CONTRATACIÓN OPTIMIZADOS, CON ENFOQUE TERRITORIAL, POBLACIONAL Y DIFERENCIAL, QUE PROMUEVAN LA EFICIENCIA, CALIDAD Y SOSTENIBILIDAD EN LA PRESTACIÓN DE LOS SERVICIOS.</t>
  </si>
  <si>
    <t>EE-895-2025</t>
  </si>
  <si>
    <t>AGENCIA NACIONAL DE HIDROCARBUROS (ANH)</t>
  </si>
  <si>
    <t>Contratar el servicio de soporte y mantenimiento para el sitio Web de la ANH y la implementación de la Intranet de la
ANH.</t>
  </si>
  <si>
    <t>HASTA EL 31 DE DICIEMBRE DE 2025</t>
  </si>
  <si>
    <t>5 PAGOS MENSUALES</t>
  </si>
  <si>
    <t>SECRETARIA DISITRITAL DE PLANEACIÓN – SDP</t>
  </si>
  <si>
    <t>“PRESTAR LOS SERVICIOS DE CAPACITACIÓN PARA LOS SERVIDORES DE LA SDP, EN EL DESARROLLO
DE UN PROGRAMA DE FORMACIÓN PARA EL CUMPLIMIENTO DEL PLAN INSTITUCIONAL DE
CAPACITACIÓN Y QUE PERMITA IMPLEMENTAR EFECTIVAMENTE LA DIMENSIÓN DEL TALENTO HUMANO
DEL MIPG".</t>
  </si>
  <si>
    <t>2 AÑOS, 9 MESES Y 15 DÍAS</t>
  </si>
  <si>
    <t>EE-1043-2025</t>
  </si>
  <si>
    <t>UNIVERSIDAD MILITAR</t>
  </si>
  <si>
    <t>DESARROLLAR, DISEÑAR E IMPLEMENTAR PLATAFORMA WEB EDUCATIVA A LA MEDIDA.</t>
  </si>
  <si>
    <t>SANDRA PATRICIA ROJAS</t>
  </si>
  <si>
    <t>EE-994-2025</t>
  </si>
  <si>
    <t>SECRETARÍA DE CULTURA, RECREACIÓN Y DEPORTE</t>
  </si>
  <si>
    <t>AUNAR ESFUERZOS ENTRE LA SECRETARÍA DISTRITAL DE CULTURA, RECREACIÓN Y DEPORTE (SCRD)
Y LA UNIVERSIDAD DISTRITAL FRANCISCO JOSÉ DE CALDAS (UDFJC) PARA LA PROMOCIÓN Y
DIVULGACIÓN DE CONTENIDOS RELACIONADOS CON LOS PROGRAMAS Y PROYECTOS CULTURALES,
DESTACANDO LA COBERTURA DEL FESTIVAL DE POESÍA ‘REVERSO BOGOTÁ’ A TRAVÉS DE LA RADIO Y
EN LAS BIBLIOTECAS, ASÍ COMO LA DIFUSIÓN DE OTRAS ESTRATEGIAS DE COMUNICACIÓN EN MARCO
DEL PLAN DE DESARROLLO DISTRITAL 2024-2027 ‘BOGOTÁ CAMINA SEGURA</t>
  </si>
  <si>
    <t>EE-897-2025</t>
  </si>
  <si>
    <t>ASAMBLEA DEPARTAMENTAL DE AMAZONAS</t>
  </si>
  <si>
    <t>RESOLUCIÓN POR LA CUAL SE CONVOCA A INSTITUCIONES DE EDUCACIÓN SUPERIOR PÚBLICAS O
PRIVADAS CON ACREDITACIÓN DE ALTA CALIDAD A PRESENTAR PROPUESTA ECONÓMICA CON EL FIN DE
REALIZAR EL PROCESO DE CONVOCATORIA PÚBLICA PARA LA ELECCIÓN DEL CONTRALOR
DEPARTAMENTAL DE AMAZONAS PERÍODO 2026 - 2029.</t>
  </si>
  <si>
    <t>EE-952-2025</t>
  </si>
  <si>
    <t>CONCEJO MUNICIPAL DE CÚCUTA</t>
  </si>
  <si>
    <t>Propuesta Económica y Técnica de la Convocatoria Pública para la elección del Contralor (a) Departamental de Cúcuta, para el periodo Constitucional 2026 - 2029.</t>
  </si>
  <si>
    <t>EE-1018-2025</t>
  </si>
  <si>
    <t>AGENCIA NACIONAL DE SEGURIDAD VIAL</t>
  </si>
  <si>
    <t>Diseñar e implementar un diplomado técnico en seguridad vial, orientado al fortalecimiento de las capacidades
institucionales para la vigilancia y el control del cumplimiento normativo en tránsito y transporte, mediante un
componente formativo mixto (virtual y presencial) que incluya la entrega y uso de elementos básicos requeridos para
la vigilancia y control en vía.</t>
  </si>
  <si>
    <t>EE-919-2025</t>
  </si>
  <si>
    <t>ALCALDÍA MUNICIPAL DE TABIO, CUNDINAMARCA</t>
  </si>
  <si>
    <t>Realizar el diagnóstico integral del Plan de Movilidad del municipio de Tabio, Cundinamarca.</t>
  </si>
  <si>
    <t>EE-909-2025</t>
  </si>
  <si>
    <t>ASAMBLEA DEPARTAMENTAL DEL CAQUETÁ</t>
  </si>
  <si>
    <t>Prestación de servicios para la convocatoria pública del Concurso de Elección de Contralor Departamental del
Caquetá.</t>
  </si>
  <si>
    <t>ÁNGELA MARÍA PÉREZ</t>
  </si>
  <si>
    <t>EE-970-2025</t>
  </si>
  <si>
    <t>SECRETARIA DE EDUCACION DE SANTANDER</t>
  </si>
  <si>
    <t>"Apoyar la transformación de dos Escuelas Normales Superiores del departamento de Santander en
Colegios Bilingües Nacionales, mediante el ajuste del PEI, diseño curricular bilingüe, formación docente,
adecuación de ambientes, apropiación comunitaria y acompañamiento jurídico para el reconocimiento
oficial."</t>
  </si>
  <si>
    <t>EE-963-2025</t>
  </si>
  <si>
    <t>FONDO DE PRESTACIONES ECONÓMICAS CESANTÍAS Y PENSIONES - FONCEP</t>
  </si>
  <si>
    <t>Ejecutar el Plan Institucional de Capacitación – PIC 2025 dirigido a los funcionarios del Fondo de Prestaciones
Económicas Cesantías y Pensiones (FONCEP).</t>
  </si>
  <si>
    <t>EE-974-2025</t>
  </si>
  <si>
    <t>Contratar la prestación de servicios para la elaboración de los modelos de supervisión derivados del Marco Integral de
Supervisión en el cumplimiento de las funciones de la Dirección de Innovación y Desarrollo.</t>
  </si>
  <si>
    <t>12 DE DICIEMBRE DE 2025</t>
  </si>
  <si>
    <t>EE-1018-2024</t>
  </si>
  <si>
    <t>EE-978-2025</t>
  </si>
  <si>
    <t>MINISTERIO DE EDUCACIÓN NACIONAL (MEN)</t>
  </si>
  <si>
    <t>Aunar esfuerzos administrativos, financieros y técnicos para contribuir con el fortalecimiento de la calidad y pertinencia
de la educación superior y su correspondencia con las necesidades de los sectores productivos del área de
cualificación Salud y Bienestar -SABI, para la creación de la segunda fase del catálogo.</t>
  </si>
  <si>
    <t>EE-977-2025</t>
  </si>
  <si>
    <t>Contratar en el marco del proyecto de inversión No. 8030 para el cumplimiento de la meta No. 4. "Implementar el 100%
de la estrategia de la atención al pensionado del FONCEP", los servicios para la caracterización de los grupos de valor
del FONCEP.</t>
  </si>
  <si>
    <t>RODOLFO FELIZZOLA</t>
  </si>
  <si>
    <t>EE-996-2025</t>
  </si>
  <si>
    <t>DIRECCIÓN DE SANIDAD DE LA POLICÍA NACIONAL.</t>
  </si>
  <si>
    <t>"INTERVENTORÍA TÉCNICA ADMINISTRATIVA, JURÍDICA, AMBIENTAL, CONTABLE Y FINANCIERA PARA EL
MANTENIMIENTO PREVENTIVO Y CORRECTIVO, ADECUACIONES Y/O MEJORAS LOCATIVAS DE ALGUNOS
ESTABLECIMIENTOS DE SANIDAD DE LA POLICÍA NACIONAL A PRECIOS UNITARIOS FIJOS SIN FÓRMULA DE
REAJUSTE".</t>
  </si>
  <si>
    <t xml:space="preserve">ÁNGELA MARÍA PÉREZ </t>
  </si>
  <si>
    <t>EE-777-2025</t>
  </si>
  <si>
    <t>La Unidad Administrativa Especial Autoridad Nacional de Acuicultura y Pesca –AUNAP</t>
  </si>
  <si>
    <t>Prestar profesionales para el diseño, estructuración, ejecución y evaluación del Plan Institucional de Capacitación de
la Unidad Administrativa Especial Autoridad Nacional de Acuicultura y Pesca – AUNAP</t>
  </si>
  <si>
    <t>5 MESES Y 15 DIAS</t>
  </si>
  <si>
    <t>PAGOS MENSUALES POR PORCENTAJES</t>
  </si>
  <si>
    <t>EE-966-2025</t>
  </si>
  <si>
    <t>SECRETARIA DISTRITAL DE GOBIERNO</t>
  </si>
  <si>
    <t>“AUNAR ESFUERZOS ADMINISTRATIVOS, TÉCNICOS, FINANCIEROS, COMERCIALES Y LOGÍSTICOS PARA
LA CONSOLIDACIÓN Y FORTALECIMIENTO ECONÓMICO DE LOS EMPRENDIMIENTOS Y LAS
MICROEMPRESAS EN EL ÁMBITO URBANO DE LA LOCALIDAD DE USAQUÉN, A TRAVÉS DEL PROGRAMA
IMPULSO LOCAL Y MICROEMPRESA LOCAL, MEDIANTE PROCESOS DE FORMACIÓN Y CAPITALIZACIÓN
PARA EL TEJIDO EMPRESARIAL URBANO.”.</t>
  </si>
  <si>
    <t>EE-1053-2025</t>
  </si>
  <si>
    <t>DIRECCIÓN DE FORMACIÓN – ICETEX / ICBF</t>
  </si>
  <si>
    <t>FONDO PARA LA CUALIFICACIÓN, FORMACIÓN Y EL FORTALECIMIENTO DEL TALENTO HUMANO QUE
DE MANERA DIRECTA O INDIRECTA TENGA A CARGO LA PRESTACIÓN DE LOS SERVICIOS
MISIONALES DEL ICBF”, EN COHERENCIA CON LAS APUESTAS MISIONALES ORIENTADAS A
GESTIONAR ACCIONES OPORTUNAS Y PERTINENTES PARA QUE CREZCA LA GENERACIÓN PARA LA
VIDA Y LA PAZ: NIÑAS, NIÑOS Y ADOLESCENTES PROTEGIDOS, AMADOS Y CON OPORTUNIDADES,
EN EL MARCO DEL PLAN NACIONAL DE DESARROLLO 2022 – 2026.</t>
  </si>
  <si>
    <t>PABLO EMILIO CARREÑO</t>
  </si>
  <si>
    <t>EE-1094-2025</t>
  </si>
  <si>
    <t>Instituto para la Economía
Social
IPES</t>
  </si>
  <si>
    <t>AUNAR ESFUERZOS TÉCNICOS, ADMINISTRATIVOS, OPERATIVOS Y FINANCIEROS PARA
FORTALECER EL DESARROLLO DE LAS UNIDADES DE NEGOCIO DE LA ECONOMÍA INFORMAL
Y DE LAS PLAZAS DISTRITALES DE MERCADO ENFOCADO EN LOS COMPONENTES DE
INNOVACIÓN, PROMOCIÓN, COMERCIALIZACIÓN, TEJIDO SOCIAL Y ADECUACIÓN Y/O
CREACIÓN DE ESPACIOS SEGUROS, SALUDABLES, SOSTENIBLES, MODERNOS, DINÁMICOS Y
ATRACTIVOS EN EL CUMPLIMIENTO DE LA MISIONALIDAD DE LA ENTIDAD.</t>
  </si>
  <si>
    <t>POR PORCENTAJES</t>
  </si>
  <si>
    <t>EE-890-2025</t>
  </si>
  <si>
    <t>KPMG SHARED SERVICES</t>
  </si>
  <si>
    <t>Diseñar y desarrollar un curso introductorio sobre el sector petrolero, orientado a colaboradores sin formación
técnica en la materia, con el fin de brindar una comprensión general de la industria, sus procesos, su importancia
económica y sus implicaciones sociales y ambientales. El curso busca generar una visión integral que permita a
los participantes relacionar sus funciones organizacionales con el contexto energético nacional e internacional.</t>
  </si>
  <si>
    <t>EE-1048-2025</t>
  </si>
  <si>
    <t>CONCEJO DISTRITAL SANTIAGO DE CALI</t>
  </si>
  <si>
    <t>Propuesta Económica y Técnica de la Convocatoria Pública para la elección del Secretario (a) General Concejo Distrital
Santiago de Cali, para el periodo 2026.</t>
  </si>
  <si>
    <t>ALDEMAR FONSECA VELÁSQUEZ</t>
  </si>
  <si>
    <t>EE-960-2025</t>
  </si>
  <si>
    <t>Jardín Botánico de Bogotá</t>
  </si>
  <si>
    <t>“Implementación de Sensores de Humedad y Temperatura para Optimizar el Riego en Coberturas Vegetales” – Jardín
Botánico José Celestino Mutis</t>
  </si>
  <si>
    <t>4 MESES Y 15 DÍAS</t>
  </si>
  <si>
    <t>EE-969-2025</t>
  </si>
  <si>
    <t>BIENESTAR UNIVERSITARIO</t>
  </si>
  <si>
    <t>PRESTACIÓN DE SERVICIOS PARA DESARROLLAR E IMPLEMENTAR UN MICROSITIO DENTRO DE LA
PÁGINA WEB INSTITUCIONAL DEL INFOTEP, IDENTIFICADO MEDIANTE UN BOTÓN PÚRPURA, ORIENTADO
A LA PROMOCIÓN DE LA SALUD MENTAL Y LA PREVENCIÓN DE LA VIOLENCIA BASADA EN GÉNERO EN
LA COMUNIDAD EDUCATIVA.</t>
  </si>
  <si>
    <t>EE-984-2025</t>
  </si>
  <si>
    <t>Asamblea Departamental del Guaviare</t>
  </si>
  <si>
    <t>Propuesta Económica y Técnica de la Convocatorias Públicas para la elección del Contralor (a) Departamental del
Guaviare, para el periodo Constitucional 2026 – 2029 y Secretario General Asamblea Departamental, vigencia 2026.</t>
  </si>
  <si>
    <t>EE-942-2025</t>
  </si>
  <si>
    <t>TATTOO DC ACADEMY.SAS</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</si>
  <si>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orientados a fortalecer las habilidades técnicas
y normativas del sector.</t>
  </si>
  <si>
    <t>5 MESES Y 15 DÍAS</t>
  </si>
  <si>
    <t>PAGOS POR ENTREGABLES</t>
  </si>
  <si>
    <t>FECHA DE APROBACIÓN</t>
  </si>
  <si>
    <t>Mes</t>
  </si>
  <si>
    <t>APROBACIÓN CCE</t>
  </si>
  <si>
    <t>TÍTULO DE LA PROPUESTA</t>
  </si>
  <si>
    <t>ORDINARIO 01</t>
  </si>
  <si>
    <t>UNIVERSIDAD DISTRITAL FRANCISCO JOSÉ DE CALDAS</t>
  </si>
  <si>
    <t>PREUNIVERSITARIO PARA INGENIEROS 2025</t>
  </si>
  <si>
    <t>PREUNIVERSITARIO PARA INGENIEROS 2025 - OFERTAR PREUNIVERSITARIO PARA ASPIRANTES A CARRERAS DE INGENIERÍA Y OTRAS AFINES EN UNIVERSIDADES PÚBLICAS Y PRIVADAS.</t>
  </si>
  <si>
    <t>UNIVERSIDAD DISTIRTAL FRANCISCO JOSÉ DE CALDAS</t>
  </si>
  <si>
    <t>DIPLOMADO EN ESTRATEGIAS DE ANÁLISIS DE DATOS Y APRENDIZAJE AUTOMÁTICO</t>
  </si>
  <si>
    <t>DIPLOMADO EN ESTRATEGIAS DE ANÁLISIS DE DATOS Y APRENDIZAJE AUTOMÁTICO.</t>
  </si>
  <si>
    <t>EXTRAORDINARIO 01</t>
  </si>
  <si>
    <t>DIRECCIÓN DE BIENESTAR SOCIAL Y FAMILIA POLICÍA NACIONAL</t>
  </si>
  <si>
    <t>PRESTACIÓN DEL SERVICIO DE EDUCACIÓN PARA EL DESARROLLO DE ACTIVIDADES EDUCATIVAS EN LAS DIFERENTES ÁREAS BÁSICAS Y COMPETENCIAS DE LOS COLEGIOS DE LA POLICÍA NACIONAL – DIRECCIÓN DE BIENESTAR SOCIAL Y FAMILIA DE LA POLICÍA NACIONAL EN TODO EL TERRITORIO NACIONAL</t>
  </si>
  <si>
    <t>HASTA EL 5 DE DICIEMBRE DE 2025</t>
  </si>
  <si>
    <t>ASAMBLEA DEPARTAMENTAL DEL CESAR</t>
  </si>
  <si>
    <t>CONVOCATORIA PÚBLICA PARA LA ELECCIÓN DEL SECRETARIO GENERAL DE LA ASAMBLEA DEPARTAMENTAL DEL CESAR</t>
  </si>
  <si>
    <t>PRESTAR LOS SERVICIOS DE ASESORIA, ACOMPAÑAMIENTO Y APOYO TECNICO EN EL PROCESO DE CONCOVATORÍA PÚBLICA DE SELECCIÓN DEL SECRETARIO GENERAL PARA LA ASAMBLEA DEPARTAMENTAL DEL CESAR, VIGENCIA 2025.</t>
  </si>
  <si>
    <t>DIRECCIÓN DE EDUCACIÓN POLICIAL - DIEPO</t>
  </si>
  <si>
    <t>CAPACITACIÓN PARA EL DESARROLLO DE DIPLOMADOS, CURSOS Y SEMINARIOS PARA UNOS FUNCIONARIOS DE LA DIRECCIÓN DE EDUCACIÓN POLICIAL Y ESCUELAS DE POLICÍA.</t>
  </si>
  <si>
    <t>PRESTACIÓN DE SERVICIOS PROFESIONALES DE CAPACITACIÓN PARA EL DESARROLLO DE DIPLOMADOS, CURSOS Y SEMINARIOS DIRIGIDOS A FUNCIONARIOS DE LA DIRECCIÓN DE EDUCACIÓN POLICIAL Y ESCUELAS DE POLICÍA.</t>
  </si>
  <si>
    <t>SEMINARIO DE MANEJO DE EQUIPOS DE ETANOL PARA LOS FUNCIONARIOS DE LA POLICÍA NACIONAL.</t>
  </si>
  <si>
    <t>PRESTACIÓN DE SERVICIOS PROFESIONALES DE CAPACITACIÓN PARA EL DESARROLLO DEL SEMINARIO EN MANEJO DE EQUIPOS PARA LA DETECCIÓN DE ETANOL EXPIRADO PARA FUNCIONARIOS DE LA POLICÍA NACIONAL</t>
  </si>
  <si>
    <t>PRESTAR LOS SERVICIOS DE ASESORÍA, ACOMPAÑAMIENTO, APOYO TÉCNICO Y APLICACIÓN DE PRUEBAS DE CONOCIMIENTOS EN EL PROCESO DE CONVOCATORIA PÚBLICA PARA PROVEER EL CARGO DE SECRETARIO GENERAL DE LA ASAMBLEA DEPARTAMENTAL DEL CESAR, VIGENCIA 2025.</t>
  </si>
  <si>
    <t xml:space="preserve">GOBERNACIÓN DEL AMAZONAS </t>
  </si>
  <si>
    <t>INTERVENTORIA TECNICA, ADMINISTRATIVA Y FINANCIERA SOBRE EL CONTRATO DE CONSULTORIA PARA LA ELABORACIÓN DE ESTUDIOS Y DISEÑOS PARA LA CONSTRUCCIÓN DE INFRAESTRUCTURA EDUCATIVA EN EL DEPARTAMENTO DEL AMAZONAS.</t>
  </si>
  <si>
    <t>INTERVENTORÍA TÉCNICA, ADMINISTRATIVA Y FINANCIERA SOBRE EL CONTRATO DE CONSULTORÍA PARA LA ELABORACIÓN DE ESTUDIOS Y DISEÑOS PARA LA CONSTRUCCIÓN DE INFRAESTRUCTURA EDUCATIVA EN EL DEPARTAMENTO DEL AMAZONAS.</t>
  </si>
  <si>
    <t>UNIDAD ADMINISTRATIVA ESPECIAL DE SERVICIOS PÚBLICOS -UAESP</t>
  </si>
  <si>
    <t>DIPLOMADO EN SISTEMAS DE INFORMACIÓN GEOGRÁFICA Y GEORREFERENCIACIÓN CON ARCGIS - UNIDAD ADMINISTRATIVA ESPECIAL DE SERVICIOS PÚBLICOS -UAESP 2025</t>
  </si>
  <si>
    <t>DESARROLLAR UN DIPLOMADO EN SISTEMAS DE GEORREFERENCIACIÓN, DESTINADO A FUNCIONARIOS Y CONTRATISTAS DE LA UAESP, MEDIANTE LA UTILIZACIÓN DEL SOFTWARE ARCGIS.</t>
  </si>
  <si>
    <t>MINISTERIO DE EDUCACIÓN NACIONAL</t>
  </si>
  <si>
    <t>APOYO A LA SUPERVISIÓN DE LOS CONTRATOS EN EJECUCIÓN POR EL MINISTERIO DE EDUCACIÓN NACIONAL EN EL MARCO DE LA OPERACIÓN GLOBAL TIC Y LA FÁBRICA DE SOFTWARE</t>
  </si>
  <si>
    <t>PRESTACIÓN DE SERVICIOS DE APOYO PARA LA SUPERVISIÓN TÉCNICA, ADMINISTRATIVA, FINANCIERA Y JURÍDICA DE LOS CONTRATOS CELEBRADOS Y EN EJECUCIÓN POR EL MINISTERIO DE EDUCACIÓN NACIONAL, EN EL MARCO DE LA OPERACIÓN GLOBAL TIC Y LA FÁBRICA DE SOFTWARE.</t>
  </si>
  <si>
    <t>9 MESES Y 15 DÍAS</t>
  </si>
  <si>
    <t>BANCO MUNDIAL</t>
  </si>
  <si>
    <t>DIPLOMADO EN GESTION PRACTICA DEL SUELO Y REGISTRO CATASTRAL</t>
  </si>
  <si>
    <t>BRINDAR UN DIPLOMADO EN GESTIÓN PRÁCTICA DEL SUELO Y REGISTRO CATASTRAL MULTIPROPÓSITO A 40 SERVIDORES PÚBLICOS Y PERSONAL MUNICIPAL INVOLUCRADO EN EL PROGRAMA, ASÍ COMO A LAS ENTIDADES SOCIAS DE CIUDATA+, CON EL OBJETIVO DE FORTALECER LAS CAPACIDADES DE LOS ACTORES EN ESTAS ÁREAS.</t>
  </si>
  <si>
    <t>GOBERNACIÓN DEL AMAZONAS</t>
  </si>
  <si>
    <t>INTERVENTORÍA A LA CONSULTORÍA DEL FORTALECIMIENTO DE LA CAPACIDAD TÉCNICA Y FINANCIERA DE LA SECRETARÍA DE TURISMO Y CULTURA DEPARTAMENTAL DEL AMAZONAS MEDIANTE LA ELABORACIÓN DE ESTUDIOS Y DISEÑOS PARA LA CONSTRUCCIÓN DE UN CENTRO DE CONVENCIONES.</t>
  </si>
  <si>
    <t>INTERVENTORÍA TÉCNICA, ADMINISTRATIVA Y FINANCIERA SOBRE EL CONTRATO DE CONSULTORÍA PARA LA ELABORACIÓN DE ESTUDIOS Y DISEÑOS PARA LA CONSTRUCCIÓN DE UN CENTRO DE CONVENCIONES, COMO ESTRATEGIA DE GESTIÓN PARA EL DESARROLLO ECONÓMICO DEL DEPARTAMENTO DEL AMAZONAS.</t>
  </si>
  <si>
    <t>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t>
  </si>
  <si>
    <t>GOBERNACIÓN DE MAGDALENA</t>
  </si>
  <si>
    <t>INTERVENTORIA DEL PROGRAMA DE ALIMENTACIÓN ESCOLAR EN EL DEPARTAMENTO DEL MAGDALENA</t>
  </si>
  <si>
    <t>INTERVENTORÍA TÉCNICA, ADMINISTRATIVA, FINANCIERA Y JURÍDICA DEL PROGRAMA DE ALIMENTACIÓN ESCOLAR (PAE) PARA EL CAMBIO EN EL DEPARTAMENTO DEL MAGDALENA, VIGENCIA 2025.</t>
  </si>
  <si>
    <t>6 MESES Y 6 DÍAS</t>
  </si>
  <si>
    <t>SECRETARÍA DE HACIENDA</t>
  </si>
  <si>
    <t>SDH</t>
  </si>
  <si>
    <t>AUNAR ESFUERZOS PARA LA ASISTENCIA TÉCNICA Y APOYO A LA GESTIÓN DOCUMENTAL DE LA SECRETARÍA DISTRITAL DE HACIENDA.</t>
  </si>
  <si>
    <t>DIPLOMADO VIRTUAL: DRONES APLICADO A CIENCIAS DE LA TIERRA Y MANEJO DE RECURSOSNATURALES + PILOTO UAS RAC 100</t>
  </si>
  <si>
    <t>OFRECER UN AMPLIO RECORRIDO EN MATERIA AERONÁUTICA Y NORMATIVA NECESARIA EN EL USO DE LOS DIFERENTES DRONES DEL MERCADO, SUS PRINCIPALES CARACTERÍSTICAS, MANEJO, SOFTWARE Y ALGUNAS DE SUS APLICACIONES MÁS FRECUENTES, CON EL COMPONENTE PRÁCTICO SUFICIENTE PARA OPERARLOS DE MANERA SEGURA Y EFICAZ, BRINDANDO LO NECESARIO PARA HABILITARSE Y REGISTRARSE ANTE LA AERONÁUTICA CIVIL.</t>
  </si>
  <si>
    <t>INTERVENTORÍA INFRAESTRUCTURA TECNOLÓGICA DEPARTAMENTO DE CUNDINAMARCA</t>
  </si>
  <si>
    <t>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t>
  </si>
  <si>
    <t>PRESTACIÓN DE SERVICIOS DE APOYO PARA LA SUPERVISIÓN TÉCNICA, ADMINISTRATIVA, FINANCIERA Y JURÍDICA DE LOS CONTRATOS CELEBRADOS Y EN EJECUCIÓN POR EL MINISTERIO DE EDUCACIÓN NACIONAL, EN EL MARCO DE LA OPERACIÓN GLOBAL TIC Y LA FÁBRICA DE SOFTWARE</t>
  </si>
  <si>
    <t>NARRATIVAS MULTIMEDIALES 1 PARA LA CONSTRUCCIÓN DE UNA COMUNICACIÓN EFECTIVA EN LA ERA DIGITAL.</t>
  </si>
  <si>
    <t>BRINDAR FUNDAMENTOS TEÓRICOS, CONCEPTUALES Y TÉCNICOS PARA PRODUCIR CONTENIDOS QUE DESARROLLEN UNA COMUNICACIÓN EFECTIVA TENIENDO EN CUENTA LAS ACTUALES NARRATIVAS MULTIMEDIALES Y HERRAMIENTAS CREATIVAS BASADAS EN INTELIGENCIAS ARTIFICIALES (IAS).</t>
  </si>
  <si>
    <t>DIPLOMADO EN FOTOGRAFÍA ANÁLOGA</t>
  </si>
  <si>
    <t>CAPACITAR A LOS ESTUDIANTES, TANTO TEÓRICA COMO DE MANERA PRÁCTICA EN EL MUNDO DE LA FOTOGRAFÍA ANÁLOGA, REALIZANDO TOMA Y REVELADO DE PELÍCULAS BLANCO Y NEGRO, ASÍ COMO EN POSITIVADO Y AMPLIACIÓN.</t>
  </si>
  <si>
    <t xml:space="preserve">5 MESES </t>
  </si>
  <si>
    <t>MICRO CERTIFICACIÓN: HABILIDADES DIGITALES PARA EL FUTURO</t>
  </si>
  <si>
    <t>DESARROLLAR CURSOS SOBRE HERRAMIENTAS DIGITALES Y TECNOLÓGICAS PARA ESTUDIANTES DE IED EN LA CIUDAD DE BOGOTÁ, CON EL PROPÓSITO DE FORTALECER SUS HABILIDADES EN EL ÁMBITO ACADÉMICO.</t>
  </si>
  <si>
    <t>UNIVERSIDAD DEL PACIFICO</t>
  </si>
  <si>
    <t>ANALISIS DE FACTIBILIDAD DE PROGRAMAS ACADEMICOS DE PREGRADO DE LA UNIVERSIDAD DEL PACIFICO.</t>
  </si>
  <si>
    <t>CONTRATAR LA ELABORACIÓN DEL ANÁLISIS DE FACTIBILIDAD DE PROGRAMAS ACADÉMICOS DE PREGRADO EN LA UNIVERSIDAD DEL PACÍFICO, VIGENCIA 2025.</t>
  </si>
  <si>
    <t>UNIVERSIDAD TECNOLÓGICA DE PEREIRA</t>
  </si>
  <si>
    <t>ASESORÍA PARA LA DEFINICIÓN DE CARACTERÍSTICAS DEL PROGRAMA DOCTORADO EN ENSEÑANZA DE LAS CIENCIAS NATURALES Y LA TECNOLOGÍA</t>
  </si>
  <si>
    <t>BRINDAR ASESORÍA Y FORMACIÓN PARA LA CONSTRUCCIÓN DE LOS DOCUMENTOS DE SOLICITUD DE CREACIÓN DEL REGISTRO CALIFICADO Y DEL PROYECTO EDUCATIVO DEL DOCTORADO EN ENSEÑANZA DE LAS CIENCIAS, LA TECNOLOGÍA Y LA INNOVACIÓN (DECTI) DE LA UNIVERSIDAD TECNOLÓGICA DE PEREIRA.</t>
  </si>
  <si>
    <t>DIPLOMADO EN NÓMINA Y AUTOLIQUIDACIÓN DE APORTES AL SISTEMA DE PROTECCIÓN SOCIAL</t>
  </si>
  <si>
    <t>FORTALECER COMPETENCIAS ESPECÍFICAS RELACIONADAS CON LA GESTIÓN Y LIQUIDACIÓN DE NÓMINA Y LA AUTOLIQUIDACIÓN DE APORTES AL SISTEMA DE PROTECCIÓN SOCIAL EN EL SECTOR PÚBLICO Y PRIVADO BAJO EL CONTEXTO NORMATIVO COLOMBIANO, CON ÉNFASIS EN DISEÑO E IMPLEMENTACIÓN DE HERRAMIENTAS DIGITALES</t>
  </si>
  <si>
    <t>ALCALDÍA MUNICIPAL DE LA CALERA</t>
  </si>
  <si>
    <t>CURSO PREPARACIÓN PARA PRUEBA SABER 11°</t>
  </si>
  <si>
    <t>PRESTAR LOS SERVICIOS PARA REFORZAR LOS CONOCIMIENTOS A LOS ESTUDIANTES DE LOS GRADOS NOVENO (9°) Y DÉCIMO (10°), ASÍ COMO EL APOYO PEDAGÓGICO EN LA PREPARACIÓN DE LOS ESTUDIANTES DE GRADO UNDÉCIMO (11°) DE TRES (3) INSTITUCIONES EDUCATIVAS OFICIALES DEL MUNICIPIO DE LA CALERA, PARA LA PRESENTACIÓN DE LAS PRUEBAS SABER 11, VIGENCIA 2025.</t>
  </si>
  <si>
    <t>CORPORACIÓN AUTÓNOMA REGIONAL DE LOS VALLES DEL SINÚ Y DEL SAN JORGE</t>
  </si>
  <si>
    <t>EJERCICIO DE LA AUTORIDAD AMBIENTAL</t>
  </si>
  <si>
    <t>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t>
  </si>
  <si>
    <t>SECRETARIA DE DESARROLLO DEL MUNICIPIO DE GUASCA</t>
  </si>
  <si>
    <t>CURSO PRUEBA SABER 11 Y ORIENTACION VOCACIONAL A ESTUDIANTES DE GRADO 11 DE COLEGIOS PUBLICOS EN GUASCA</t>
  </si>
  <si>
    <t>PRESTACIÓN DE SERVICIOS PROFESIONALES PARA FORMACIÓN Y CAPACITACIÓN A LOS ESTUDIANTES DE LAS INSTITUCIONES EDUCATIVAS DEL MUNICIPIO PARA LA PRESENTACIÓN DE LA PRUEBA SABER 11 – 2025, EN EJECUCIÓN DEL PROYECTO DE “BENEFICIAR AL 100 % DE LOS ESTUDIANTES DE GRADO 11DE LA IED CON EL PROGRAMA DE PREICFES</t>
  </si>
  <si>
    <t>MODELO DE LINEAMIENTOS Y MECANISMOS DE FINANCIAMIENTO PARA PROYECTOS DE SEGURIDAD VIAL COMO GUIA PARA ENTIDADES TERRITORIALES DEL PAIS</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</si>
  <si>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</si>
  <si>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ALCALDÍA MUNICIPAL DE JUNÍN</t>
  </si>
  <si>
    <t>INTERVENTORÍA INTEGRAL DE LA OBRA PUBLICA PARA EJECUTAR EL PROYECTO DE REPOSICIÓN Y MEJORAMIENTO DE LAS REDES SANITARIAS, AGUA POTABLE Y MEJORAMIENTO DE VÍAS URBANAS DEL MUNICIPIO DE JUNÍN, CUNDINAMARCA.</t>
  </si>
  <si>
    <t>CONTRATO INTERADMINISTRATIVO PARA LA INTERVENTORÍA TÉCNICA, ADMINISTRATIVA, AMBIENTAL, FINANCIERA, CONTABLE, JURÍDICA, SOCIAL Y DE SEGURIDAD Y SALUD EN EL TRABAJO PARA LA OBRA CUYO OBJETO ES: REPOSICIÓN Y MEJORAMIENTO DE LAS REDES SANITARIAS, AGUA POTABLE Y MEJORAMIENTO DE VÍAS URBANAS EN EL MUNICIPIO DE JUNIN – CUNDINAMARCA</t>
  </si>
  <si>
    <t>SUPERINTENDENCIA DEL SUBSIDIO FAMILIAR - SUPERSUBSIDIO</t>
  </si>
  <si>
    <t>PRESTAR SERVICIOS EN LA EJECUCIÓN DE LOS PROGRAMAS DE FORMACIÓN Y CAPACITACIÓN INSTITUCIONAL (PIFC) Y DEL PLAN DE GESTIÓN AMBIENTAL EN EL MARCO DE MIPG, PARA LOS SERVIDORES PÚBLICOS DE LA SUPERINTENDENCIA DEL SUBSIDIO FAMILIAR.</t>
  </si>
  <si>
    <t>UNIVERSIDAD DISTRITAL FRANCISCO JOSE DE CALDAS</t>
  </si>
  <si>
    <t>PREPARATORIO ARTES PLASTICAS Y VISUALES</t>
  </si>
  <si>
    <t>OFRECER A LA CIUDAD Y AL PAÍS ESPACIOS DE FORMACIÓN ACADÉMICA EN EL ÁREA DE ARTES PLÁSTICAS Y VISUALES, CON EL FIN DE POTENCIAR LA EDUCACIÓN VISUAL Y LA COMUNICACIÓN COHERENTE ENTRE LOS INTERESES DE LOS ASPIRANTES QUE PRETENDEN POSTULARSE AL PROGRAMA OFRECIDO POR LA UNIVERSIDAD Y LA ESTRUCTURA DEL PLAN DE ESTUDIO DE LOS PROGRAMAS DE EDUCACIÓN SUPERIOR EN ARTES PLÁSTICAS Y/O VISUALES, ASIMISMO CUALIFICAR EL PERFIL DE INGRESO EN LOS PROCESOS DE SELECCIÓN Y ADMISIÓN AL PREGRADO OFRECIDO POR LA FACULTAD DE ARTES ASAB.</t>
  </si>
  <si>
    <t>PREPARATORIO ARTES ESCÉNICAS</t>
  </si>
  <si>
    <t>OFRECER Y DESARROLLAR PROGRAMAS QUE PERMITAN BRINDAR ELEMENTOS BASICOS DE FORMACION TEORICA Y PRACTICA ACERCA DE LAS ARTES ESCENICAS, QUE PERMITAN EL RECONOCIMIENTO Y POTENCIACION DE DESTREZAS PARA LA CREACION TEATRAL, A JOVENES DE LA CIUDAD DE BOGOTA Y DEL RESTO DEL PAIS.</t>
  </si>
  <si>
    <t>CURSO LIBRE PREPARATORIO ARTE DANZARIO</t>
  </si>
  <si>
    <t>OFRECER EL CURSO LIBRE PREPARATORIO DE ARTE DANZARIO, EN EL MARCO DE LA POLÍTICA “FORMACIÓN A LO LARGO DE LA VIDA” DE LA FACULTAD DE ARTES ASAB Y LA FUNCIÓN MISIONAL DE EXTENSIÓN DE LA UNIVERSIDAD DISTRITAL FRANCISCO JOSÉ DE CALDAS CON EL FIN DE SENSIBILIZAR A JÓVENES Y ADULTOS SOBRE EL ARTE DANZARIO COMO PROFESIÓN Y LAS DIVERSAS POSIBILIDADES CREATIVAS RELACIONADAS CON EL CUERPO Y EL MOVIMIENTO.</t>
  </si>
  <si>
    <t>DIPLOMADO EPÍFITOS DE ECOSISTEMAS COLOMBIANOS Y SU CONTEXTO LEGAL</t>
  </si>
  <si>
    <t>BRINDAR A LOS PARTICIPANTES INTERESADOS EN CURSAR EL DIPLOMADO, LAS HERRAMIENTAS CONCEPTUALES Y LEGALES DE EPÍFITOS PRESENTES EN ECOSISTEMAS COLOMBIANOS Y REVISAR LA NORMATIVIDAD VIGENTE CON RELACIÓN A LA VEDA DE EPIFITOS PARA EL PAÍS.</t>
  </si>
  <si>
    <t>CURSO LIBRE FORMACION CONTINUA DE ARTE DANZARIO</t>
  </si>
  <si>
    <t>DESARROLLAR CURSOS LIBRES DE ARTE DANZARIO EN EL MARCO DE LA POLÍTICA “FORMACIÓN A LO LARGO DE LA VIDA” DE LA FACULTAD DE ARTES ASAB Y LA FUNCIÓN MISIONAL DE EXTENSIÓN DE LA UNIVERSIDAD DISTRITAL FRANCISCO JOSÉ DE CALDAS; EN LOS CUALES LOS PARTICIPANTES ADQUIERAN O ACTUALICEN CONOCIMIENTOS, HERRAMIENTAS Y PRÁCTICAS DEL CUERPO Y EL MOVIMIENTO QUE INCIDAN EN EL ÁMBITO ACADÉMICO, SOCIAL, POLÍTICO Y CULTURAL DEL PAÍS.</t>
  </si>
  <si>
    <t>PROGRAMAS DE FORMACION MUSICAL ALAC</t>
  </si>
  <si>
    <t>OFRECER Y DESARROLLAR LOS PROGRAMAS DE FORMACIÓN MUSICAL ESTUDIOS EN MÚSICAS POPULARES DE COLOMBIA, RECUPERACIÓN DE COMPETENCIAS MUSICALES BÁSICAS, NIÑOS ALAC Y ADULTOS ALAC, Y REALIZAR LOS EVENTOS VIERNES DE CONCIERTO, SEMANA LUIS A. CALVO Y MUESTRAS FINALES.</t>
  </si>
  <si>
    <t>HOCHSCHULE FÜR TECHNIK STUTTGART (HFT)</t>
  </si>
  <si>
    <t>GEOINFORMÁTICA APLICADA A LA SOCIEDAD Y EL MEDIO AMBIENTE</t>
  </si>
  <si>
    <t>REALIZAR EL CONGRESO INTERNACIONAL APPLIED GEOINFORMATICS FOR SOCIETY AND ENVIRONMENT (AGSE 2025), ENFOCADO EN EL INTERCAMBIO DE CONOCIMIENTOS, DIVULGACIÓN DE INVESTIGACIONES Y FORTALECIMIENTO DE LA COLABORACIÓN ACADÉMICA INTERNACIONAL EN TORNO A LAS SOLUCIONES DE GEOINFORMACIÓN PARA EL MONITOREO Y MITIGACIÓN DEL CAMBIO CLIMÁTICO, A REALIZARSE DEL 8 AL 12 DE SEPTIEMBRE DE 2025 EN LA UNIVERSIDAD DISTRITAL FRANCISCO JOSÉ DE CALDAS, BOGOTÁ, CON PARTICIPACIÓN DE EXPERTOS, INVESTIGADORES Y PROFESIONALES DE DIFERENTES PAÍSES</t>
  </si>
  <si>
    <t>FORMACIÓN EN LENGUA EXTRANJERA INGLÉS PARA FUNCIONARIOS DE LA GOBERNACIÓN DE CUNDINAMARCA.</t>
  </si>
  <si>
    <t>PRESTACIÓN DE SERVICIOS PARA LA EJECUCIÓN DEL PROGRAMA DE FORTALECIMIENTO DE COMPETENCIAS TRANSVERSALES POR NIVEL DE CARGO, PARA LOS SERVIDORES PÚBLICOS DEL SECTOR CENTRAL DE LA GOBERNACIÓN DE CUNDINAMARCA</t>
  </si>
  <si>
    <t>ALCALDIA MUNICIPAL DE JUNÍN</t>
  </si>
  <si>
    <t>INTERVENTORÍA INTEGRAL PARA LA CONSTRUCCIÓN DE UN PUENTE VEHICULAR SOBRE LA QUEBRADA LOS MUERTOS EN EL MUNICIPIO DE JUNIN, CUNDINAMARCA.</t>
  </si>
  <si>
    <t>INTERVENTORÍA TÉCNICA, ADMINISTRATIVA, FINANCIERA, CONTABLE Y JURÍDICA A LA CONSTRUCCIÓN DEL PUENTE VEHÍCULAR LOS MUY VIVOS SOBRE LA QUEBRADA LOS MUERTOS VEREDA SAN RAFAEL, MUNICIPIO DE JUNÍN, DEPARTAMENTO DE CUNDINAMARCA EN MARCO DEL CONVENIO ICCU 658 DE 2024</t>
  </si>
  <si>
    <t>SECRETARIA DE SALUD DISTRITAL</t>
  </si>
  <si>
    <t>CONSULTORÍA PARA REALIZAR UN ESTUDIO INTEGRAL DE LAS PATOLOGÍAS ESTRUCTURALES Y DE LA VULNERABILIDAD SÍSMICA</t>
  </si>
  <si>
    <t>REALIZAR ESTUDIO DE PATOLOGÍA, VULNERABILIDAD SÍSMICA Y ANÁLISIS DE ALTERNATIVAS DE SOLUCIÓN PARA LOS EDIFICIOS QUE COMPONEN EL CENTRO DISTRITAL DE SALUD.</t>
  </si>
  <si>
    <t>SECRETARIA DISTRITAL DE SALUD</t>
  </si>
  <si>
    <t>INVESTIGACIÓN DE VIOLENCIAS ÉTNICO-RACIALES Y DE GÉNERO EN LAS COMUNIDADES NEGRAS Y AFROCOLOMBIANAS RESIDENTES EN LA CIUDAD DE BOGOTÁ</t>
  </si>
  <si>
    <t>ELABORAR UN DOCUMENTO DE ANÁLISIS DE LAS VIOLENCIAS ÉTNICORACIALES Y DE GÉNERO EN LAS COMUNIDADES NEGRAS Y AFROCOLOMBIANAS RESIDENTES EN LA CIUDAD DE BOGOTÁ, DISTRITO CAPITAL, CON ENFOQUE TERRITORIAL LOCAL, INTERCULTURAL Y DE DETERMINANTES SOCIALES QUE APORTE A LA GENERACIÓN DE CONOCIMIENTO Y A LA TOMA DE DECISIONES DESDE LAS POLÍTICAS PÚBLICAS.</t>
  </si>
  <si>
    <t>UNIVERSIDAD DEL VALLE</t>
  </si>
  <si>
    <t>REALIZAR EL DIAGNOSTICO INTEGRAL DE LA INFRAESTRUCTURA DE LA UNIVERSIDAD DEL VALLE PARA DESARROLLAR UN DISEÑO EN BIM DEL PLAN DE MANTENIMIENTO Y SOSTENIBILIDAD DE LA SEDE SUAREZ CAUCA.</t>
  </si>
  <si>
    <t>REALIZAR EL DIAGNÓSTICO INTEGRAL DE LA INFRAESTRUCTURA EXISTENTE PARA DESARROLLAR, BAJO LA METODOLOGÍA BIM, EL DISEÑO DEL PLAN DE MANTENIMIENTO Y SOSTENIBILIDAD DE LA SEDE SUÁREZ, CAUCA, DE LA UNIVERSIDAD DEL VALLE.</t>
  </si>
  <si>
    <t>ELECCIÓN DE CONTRALOR MUNICIPAL PARA EL PERIODO 2026 – 2029.</t>
  </si>
  <si>
    <t>PRESTACIÓN DE SERVICIOS DE APOYO LOGÍSTICO PARA EL DESARROLLO DEL PROCESO DE CONVOCATORIA PARA LA ELECCIÓN DE CONTRALOR MUNICIPAL DE PASTO PARA EL PERIODO 2026–2029.</t>
  </si>
  <si>
    <t>INSTITUTO DISTRITAL DE GESTIÓN DE RIESGOS Y CAMBIO CLIMÁTICO - IDIGER</t>
  </si>
  <si>
    <t>CONVENIO PARA AJUSTAR Y COMPLEMENTAR LA EDRE ACTUAL CON BASE EN LA GUÍA NACIONAL DE LA UNGRD Y LA INFORMACIÓN SECUNDARIA DEL IDIGER.</t>
  </si>
  <si>
    <t>AUNAR ESFUERZOS ADMINISTRATIVOS, TÉCNICOS, OPERATIVOS Y FINANCIEROS CON LA UNIVERSIDAD DISTRITAL PARA AJUSTAR Y COMPLEMENTAR LA EDRE ACTUAL CON BASE EN LA GUÍA NACIONAL DE LA UNGRD Y LA INFORMACIÓN SECUNDARIA DEL IDIGER, DEL DISTRITO Y DE LA NACIÓN, ELABORAR EL MARCO DE ACTUACIÓN ESPECÍFICO PARA EL ESCENARIO DE SISMO Y ELABORAR LA ESTRATEGIA DE IMPLEMENTACIÓN DE LA EDRE.</t>
  </si>
  <si>
    <t>ORGANIZACIÓN DE LAS NACIONES UNIDAS PARA LA ALIMENTACIÓN Y LA AGRICULTURA FAO</t>
  </si>
  <si>
    <t>FORTALECIMIENTO DEL SISTEMA DE ABASTECIMIENTO REGIONAL AGROALIMENTARIO (SARA)</t>
  </si>
  <si>
    <t>DISEÑAR Y ESTRUCTURAR UNA PROPUESTA DE FORTALECIMIENTO DEL SISTEMA DE ABASTECIMIENTO REGIONAL AGROALIMENTARIO (SARA) PARA BOGOTÁ Y CUNDINAMARCA, QUE CONTEMPLE CINCO CORREDORES LOGÍSTICOS PRIORIZADOS.</t>
  </si>
  <si>
    <t>REGIÓN ADMINISTRATIVA Y DE PLANEACIÓN ESPECIAL, RAP-E REGIÓN CENTRAL</t>
  </si>
  <si>
    <t>DISEÑO, CREACIÓN Y PROMOCIÓN DE CUATRO (4) CORREDORES LOGÍSTICOS REGIONALES – CLR RAP-E REGIÓN CENTRAL 2025</t>
  </si>
  <si>
    <t>AUNAR ESFUERZOS FÍSICOS, TÉCNICOS, ADMINISTRATIVOS Y FINANCIEROS PARA FORTALECER LAS CAPACIDADES LOGÍSTICAS DEL TERRITORIO Y LA PROYECCIÓN, PROMOCIÓN Y TRANSFERENCIA DE CONOCIMIENTO DE CUATRO (4) CORREDORES LOGÍSTICOS REGIONALES - CLR EN LOS DEPARTAMENTOS ASOCIADOS A LA RAP-E REGIÓN CENTRAL.</t>
  </si>
  <si>
    <t>ESCUELA SUPERIOR DE ADMINISTRACIÓN PÚBLICA - ESAP</t>
  </si>
  <si>
    <t>FORMACIÓN EN LENGUAS EXTRANJERAS (INGLÉS, FRANCÉS, PORTUGUÉS, ITALIANO, ALEMÁN Y CHINO MANDARÍN) DIRIGIDO A LA COMUNIDAD ESAPISTA</t>
  </si>
  <si>
    <t>PRESTAR SERVICIOS DE CAPACITACIÓN EN LENGUAS EXTRANJERAS DIRIGIDOS A LA COMUNIDAD ESAPISTA PARA EL FORTALECIMIENTO DE LAS COMPETENCIAS LINGÜÍSTICAS EN EL MARCO DEL PLAN DE ACCIÓN DE LA OFICINA DE INTERNACIONALIZACIÓN</t>
  </si>
  <si>
    <t>HASTA EL 19 DE  DICIEMBRE DE 2025</t>
  </si>
  <si>
    <t>MINISTERIO DE COMERCIO, INDUSTRIA Y TURISMO - MINCIT</t>
  </si>
  <si>
    <t>FORMACIÓN EN LENGUAS EXTRANJERAS: INGLÉS, FRANCÉS E ITALIANO PARA FUNCIONARIOS DEL MINISTERIO DE COMERCIO, INDUSTRIA Y TURISMO.</t>
  </si>
  <si>
    <t xml:space="preserve">EJECUTAR PROGRAMAS DE FORMACIÓN EN IDIOMAS CON EL FIN DE DESARROLLAR Y FORTALECER COMPETENCIAS EN UNA SEGUNDA LENGUA, DIRIGIDO LOS FUNCIONARIOS DEL MINISTERIO Y SU NÚCLEO FAMILIAR </t>
  </si>
  <si>
    <t>PERSONERÍA DE BOGOTÁ D.C</t>
  </si>
  <si>
    <t xml:space="preserve">FORTALECIMIENTO INSTITUCIONAL DE LA PERSONERÍA DE BOGOTÁ D.C., MEDIANTE ACCIONES DE FORMACIÓN, EVALUACIÓN, ANÁLISIS TÉCNICO Y MODERNIZACIÓN TECNOLÓGICA </t>
  </si>
  <si>
    <t>PRESTACIÓN DE SERVICIOS PARA EL DESARROLLO DE ACCIONES INTEGRALES ORIENTADAS AL FORTALECIMIENTO INSTITUCIONAL DE LA PERSONERÍA DE BOGOTÁ D.C., EN EL MARCO DE LA GESTIÓN ESTRATEGICA INSTITUCIONAL 2025.</t>
  </si>
  <si>
    <t>ALCALDIA MUNICIPAL DE JUNIN</t>
  </si>
  <si>
    <t>INTERVENTORÍA AL PROYECTO “CONSTRUCCIÓN DEL PUENTE VEHICULAR LOS MUY VIVOS SOBRE LA QUEBRADA LOS MUERTOS VEREDA SAN RAFAEL, MUNICIPIO DE JUNÍN, CUNDINAMARCA"</t>
  </si>
  <si>
    <t>CONTRATO INTERADMINISTRATIVO PARA LA INTERVENTORÍA TÉCNICA, ADMINISTRATIVA, AMBIENTAL, FINANCIERA, CONTABLE, JURÍDICA, SOCIAL Y DE SEGURIDAD Y SALUD EN EL TRABAJO PARA LA OBRA CUYO OBJETO ES: CONSTRUCCIÓN DEL PUENTE VEHÍCULAR LOS MUY VIVOS SOBRE LA QUEBRADA LOS MUERTOS VEREDA SAN RAFAEL, MUNICIPIO DE JUNÍN, DEPARTAMENTO DE CUNDINAMARCA EN MARCO DEL CONVENIO ICCU 658 DE 2024.</t>
  </si>
  <si>
    <t>FORMACIÓN Y CAPACITACIÓN FUNCIONARIOS DE LA SUPERINTENDENCIA DE SALUD EN PLAN INSTITUCIONAL DE CAPACITACIÓN</t>
  </si>
  <si>
    <t>PRESTAR LOS SERVICIOS DE FORMACIÓN Y CAPACITACIÓN A LOS FUNCIONARIOS DE LA SUPERINTENDENCIA NACIONAL DE SALUD PARA FORTALECER SUS COMPETENCIAS, DE ACUERDO CON LO IDENTIFICADO EN EL PLAN INSTITUCIONAL DE CAPACITACIÓN PARA LA VIGENCIA 2025</t>
  </si>
  <si>
    <t>HASTA EL 15 DE NOVIEMBRE DE 2025</t>
  </si>
  <si>
    <t>ALCALDIA MUNICIPAL DE SOACHA</t>
  </si>
  <si>
    <t>PRE ICFES 2025</t>
  </si>
  <si>
    <t>AUNAR ESFUERZOS PARA LA REALIZACIÓN DE CURSOS PREPARATORIOS PARA LA TRANSICIÓN DE ESTUDIANTES DE LA MEDIA A EDUCACIÓN SUPERIOR DE LAS INSTITUCIONES EDUCATIVAS PÚBLICAS EN LA CIUDAD DE SOACHA</t>
  </si>
  <si>
    <t>WORKSHOP ON ENGINEERING APPLICATIONS ARTIFICIAL INTELLIGENCE, OPTIMIZATION AND SIMULATION WEA 2025</t>
  </si>
  <si>
    <t>REALIZAR EL CONGRESO INTERNACIONAL "WORKSHOP ON ENGINEERING APPLICATIONS ARTIFICIAL INTELLIGENCE, OPTIMIZATION AND SIMULATION WEA 2025" ORGANIZADO POR LA FACULTAD DE INGENIERÍA DE LA UNIVERSIDAD DISTRITAL EN LA CIUDAD DE CALI COLOMBIA, COMO UN ESPACIO DE DIVULGACIÓN DE RESULTADOS DE INVESTIGACIÓN TANTO DE ESTUDIANTES COMO DE PROFESORES CON EL FIN DE DAR VISIBILIDAD A LAS ACTIVIDADES INVESTIGATIVAS DE LA FACULTAD Y DE GENERAR ESPACIOS COMPARTIDOS DE INVESTIGACIÓN CON INVESTIGADORES DE OTRAS UNIVERSIDADES</t>
  </si>
  <si>
    <t>ASAMBLEA DEPARTAMENTAL DEL QUINDÍO</t>
  </si>
  <si>
    <t>PROPUESTA ECONÓMICA Y TÉCNICA DE LA CONVOCATORIA PÚBLICA PARA LA ELECCIÓN DEL CONTRALOR (A) DEPARTAMENTAL DEL QUINDÍO, PARA EL PERIODO CONSTITUCIONAL 2026 - 2029.</t>
  </si>
  <si>
    <t>REALIZAR LA CONVOCATORIA PÚBLICA PARA LA ELECCIÓN DEL CONTRALOR (A) DEPARTAMENTAL DEL QUINDÍO, PARA EL PERIODO CONSTITUCIONAL 2026 - 2029.</t>
  </si>
  <si>
    <t>PROPUESTA ECONÓMICA Y TÉCNICA DE LA CONVOCATORIA PÚBLICA PARA LA ELECCIÓN DEL SECRETARIO (A) GENERAL ASAMBLEA DEPARTAMENTAL DEL QUINDÍO, PARA LA VIGENCIA 2026.</t>
  </si>
  <si>
    <t>REALIZAR LA CONVOCATORIA PÚBLICA PARA LA ELECCIÓN DEL SECRETARIO (A) GENERAL ASAMBLEA DEPARTAMENTAL DEL QUINDÍO, PARA LA VIGENCIA 2026.</t>
  </si>
  <si>
    <t>CONCEJO MUNICIPAL DE CAJICÁ</t>
  </si>
  <si>
    <t>PROPUESTA ECONÓMICA Y TÉCNICA DE LA CONVOCATORIA PÚBLICA PARA LA ELECCIÓN DEL SECRETARIO (A) GENERAL DEL CONCEJO MUNICIPAL DE CAJICÁ, PARA LA VIGENCIA 2026.</t>
  </si>
  <si>
    <t>REALIZAR LA CONVOCATORIA PÚBLICA PARA LA ELECCIÓN DEL SECRETARIO (A) GENERAL DEL CONCEJO MUNICIPAL DE CAJICÁ, PARA LA VIGENCIA 2026.</t>
  </si>
  <si>
    <t>PROPUESTA ECONÓMICA Y TÉCNICA DE LA CONVOCATORIA PÚBLICA PARA LA ELECCIÓN DEL SECRETARIO (A) GENERAL DEL CONCEJO MUNICIPAL DE CAJICÁ, PARA LA VIGENCIA 2025.</t>
  </si>
  <si>
    <t>REALIZAR LA CONVOCATORIA PÚBLICA PARA LA ELECCIÓN DEL SECRETARIO (A) GENERAL DEL CONCEJO MUNICIPAL DE CAJICÁ, PARA LA VIGENCIA 2025</t>
  </si>
  <si>
    <t>ASAMBLEA DEPARTAMENTAL DEL GUAVIARE</t>
  </si>
  <si>
    <t>PROPUESTA ECONÓMICA Y TÉCNICA DE LA CONVOCATORIA PÚBLICA PARA LA ELECCIÓN DEL CONTRALOR (A) DEPARTAMENTAL DEL GUAVIARE, PARA EL PERIODO CONSTITUCIONAL 2026 - 2029.</t>
  </si>
  <si>
    <t>REALIZAR LA CONVOCATORIA PÚBLICA PARA LA ELECCIÓN DEL CONTRALOR (A) DEPARTAMENTAL DEL GUAVIARE, PARA EL PERIODO CONSTITUCIONAL 2026 - 2029.</t>
  </si>
  <si>
    <t>ASAMBLEA DEPARTAMENTAL DEL CAUCA</t>
  </si>
  <si>
    <t>PROPUESTA ECONÓMICA Y TÉCNICA DE LA CONVOCATORIA PÚBLICA PARA LA ELECCIÓN DEL CONTRALOR (A) DEPARTAMENTAL DEL CAUCA, PARA EL PERIODO CONSTITUCIONAL 2026 - 2029.</t>
  </si>
  <si>
    <t>REALIZAR LA CONVOCATORIA PÚBLICA PARA LA ELECCIÓN DEL CONTRALOR (A) DEPARTAMENTAL DEL CAUCA, PARA EL PERIODO CONSTITUCIONAL 2026 – 2029</t>
  </si>
  <si>
    <t>CONCEJO MUNICIPAL DE YOPAL</t>
  </si>
  <si>
    <t>PROPUESTA ECONÓMICA Y TÉCNICA DE LA CONVOCATORIA PÚBLICA PARA LA ELECCIÓN DEL SECRETARIO (A) GENERAL DEL CONCEJO MUNICIPAL DE YOPAL, PARA LA VIGENCIA 2026</t>
  </si>
  <si>
    <t>REALIZAR LA CONVOCATORIA PÚBLICA PARA LA ELECCIÓN DEL SECRETARIO (A) GENERAL DEL CONCEJO MUNICIPAL DE YOPAL, PARA LA VIGENCIA 2026</t>
  </si>
  <si>
    <t>ASAMBLEA DEPARTAMENTAL DEL META</t>
  </si>
  <si>
    <t>PROPUESTA ECONÓMICA Y TÉCNICA DE LA CONVOCATORIA PÚBLICA PARA LA ELECCIÓN DEL CONTRALOR (A) DEPARTAMENTAL DEL META, PARA EL PERIODO CONSTITUCIONAL 2026 – 2029.</t>
  </si>
  <si>
    <t>REALIZAR LA CONVOCATORIA PÚBLICA PARA LA ELECCIÓN DEL CONTRALOR (A) DEPARTAMENTAL DEL META, PARA EL PERIODO CONSTITUCIONAL 2026 - 2029.</t>
  </si>
  <si>
    <t>PROPUESTA ECONÓMICA Y TÉCNICA DE LA CONVOCATORIA PÚBLICA PARA LA ELECCIÓN DEL SECRETARIO (A) GENERAL ASAMBLEA DEPARTAMENTAL DEL META, PARA LA VIGENCIA 2026.</t>
  </si>
  <si>
    <t>REALIZAR LA CONVOCATORIA PÚBLICA PARA LA ELECCIÓN DEL SECRETARIO (A) GENERAL ASAMBLEA DEPARTAMENTAL DEL META, PARA LA VIGENCIA 2026</t>
  </si>
  <si>
    <t>ASAMBLEA DEPARTAMENTAL DE CUNDINAMARCA</t>
  </si>
  <si>
    <t>PROPUESTA ECONÓMICA Y TÉCNICA DE LA CONVOCATORIA PÚBLICA PARA LA ELECCIÓN DEL CONTRALOR (A) DEPARTAMENTAL DE CUNDINAMARCA, PARA EL PERIODO CONSTITUCIONAL 2026 - 2029.</t>
  </si>
  <si>
    <t>REALIZAR LA CONVOCATORIA PÚBLICA PARA LA ELECCIÓN DEL CONTRALOR (A) DEPARTAMENTAL DE CUNDINAMARCA, PARA EL PERIODO CONSTITUCIONAL 2026 - 2029.</t>
  </si>
  <si>
    <t>ASAMBLEA DEPARTAMENTAL DEL GUAINÍA</t>
  </si>
  <si>
    <t>PROCESO DE ELECCIÓN DE CONTRALOR DEPARTAMENTAL PARA EL PERIODO 2026 - 2029 Y DEL SECRETARIO DE LA ASAMBLEA PERIODO RESTANTE AÑO 2025</t>
  </si>
  <si>
    <t>PRESTACIÓN DE SERVICIOS DE APOYO LOGÍSTICO PARA EL DESARROLLO DEL PROCESO DE CONVOCATORIA PARA LA ELECCIÓN DE CONTRALOR DEPARTAMENTAL DEL GUAINÍA PARA EL PERIODO 2026 – 2029 Y DEL SECRETARIO GENERAL DE LA CORPORACIÓN PARA EL RESTO DEL PERIODO 2025.</t>
  </si>
  <si>
    <t>ALCALDÍA MUNICIPAL DE ZIPAQUIRÁ</t>
  </si>
  <si>
    <t>ESTUDIO TÉCNICO DEL REDISEÑO INSTITUCIONAL DE LA ALCALDÍA DE ZIPAQUIRÁ</t>
  </si>
  <si>
    <t>REALIZAR EL ESTUDIO TÉCNICO DEL REDISEÑO INSTITUCIONAL DE LA ALCALDÍA DE ZIPAQUIRÁ EN EL MARCO DE LAS NORMAS VIGENTES.</t>
  </si>
  <si>
    <t>POLICÍA NACIONAL - DIRECCIÓN LOGÍSTICA Y FINANCIERA - DILOF</t>
  </si>
  <si>
    <t>INTERVENTORÍA INTEGRAL PARA LA CONSTRUCCIÓN Y DEMÁS ACTIVIDADES DE LA ESTACIÓN DE POLICÍA DE BOAVITA EN EL DEPARTAMENTO DE BOYACÁ.</t>
  </si>
  <si>
    <t>INTERVENTORÍA TÉCNICA, ADMINISTRATIVA, FINANCIERA, LEGAL Y AMBIENTAL PARA LA CONSTRUCCIÓN, RESTAURACIÓN ARQUITECTÓNICA, DEMOLICIÓN PARCIAL, REFORZAMIENTO ESTRUCTURAL, OBRA NUEVA, DOTACIÓN Y DEMÁS ACTIVIDADES PARA LA EJECUCIÓN DE LA ESTACIÓN DE POLICIA BOAVITA EN EL DEPARTAMENTO DE BOYACÁ, A PRECIOS UNITARIOS FIJOS SIN FÓRMULA DE REAJUSTE</t>
  </si>
  <si>
    <t>MINISTERIO DE TECNOLOGÍAS DE LA INFORMACIÓN Y LAS COMUNICACIONES (MINTIC)</t>
  </si>
  <si>
    <t>SOCIAL TECH</t>
  </si>
  <si>
    <t>AUNAR ESFUERZOS TÉCNICOS, ADMINISTRATIVOS Y FINANCIEROS QUE PERMITAN FORTALECER LAS COMPETENCIAS DIGITALES PARA LA CREACIÓN DE CONTENIDOS Y LA MONETIZACIÓN DE REDES SOCIALES, MEDIANTE PROCESOS DE FORMACIÓN Y EL USO DE HERRAMIENTAS PEDAGÓGICAS INNOVADORAS, CON EL FIN DE BENEFICIAR A 66.000 CIUDADANOS Y CONTRIBUIR AL FORTALECIMIENTO DE LA ECONOMÍA DIGITAL POPULAR Y A LA APROPIACIÓN TECNOLÓGICA CON ENFOQUE INCLUSIVO</t>
  </si>
  <si>
    <t>UNIDAD ADMINISTRATIVA ESPECIAL DE SERVICIOS PÚBLICOS – UAESP</t>
  </si>
  <si>
    <t>CONVENIO INTERADMINISTRATIVO UAESP-UD</t>
  </si>
  <si>
    <t>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JUANA-PIDJ ESTABLECIDA EN LA LICENCIA AMBIENTAL.</t>
  </si>
  <si>
    <t>FORMACIÓN DE TÉCNICOS LABORALES POR COMPETENCIAS EN AUXILIAR CONTABLE ALTAMENTE CAPACITADOS MODALIDAD VIRTUAL 2025-2030.</t>
  </si>
  <si>
    <t>FORMAR TÉCNICOS LABORALES EN AUXILIAR CONTABLE, ALTAMENTE CAPACITADOS Y COMPETENTES EN EL TRABAJO EN EQUIPO, LA COMUNICACIÓN EFECTIVA Y LA RESOLUCIÓN DE PROBLEMAS COMPLEJOS DENTRO DEL PROCESO CONTABLE.</t>
  </si>
  <si>
    <t>ORGANIZACIÓN DE COMUNICADORES POPULARES</t>
  </si>
  <si>
    <t>DIPLOMADO EN COMUNICACIÓN PARA LA VIDA DIGNA</t>
  </si>
  <si>
    <t xml:space="preserve">OFRECER FORMACIÓN A PERSONAS INTERESADAS EN DESARROLLAR PROCESOS DE COMUNICACIÓN POPULAR DESDE UNA PERSPECTIVA CRÍTICA, RECONOCIENDO LA COMUNICACIÓN COMO UN CAMPO DE DISPUTA IDEOLÓGICA Y POLÍTICA. SE BUSCA DOTAR A LOS PARTICIPANTES </t>
  </si>
  <si>
    <t>DIPLOMADO EN BIOSEGURIDAD Y FISIOPATOLOGÍA APLICADA AL TATUAJE Y LOS CURSOS Y DIPLOMADOS EN BODY PIERCING.</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</si>
  <si>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ORIENTADOS A FORTALECER LAS HABILIDADES TÉCNICAS Y NORMATIVAS DEL SECTOR.</t>
  </si>
  <si>
    <t>DIRECCIÓN DISTRITAL DE ARCHIVO DE BOGOTÁ</t>
  </si>
  <si>
    <t>ARCHIVO DISTRITAL</t>
  </si>
  <si>
    <t>REALIZAR EL DIAGNÓSTICO DE LOS FONDOS Y COLECCIONES DOCUMENTALES DIGITALES, Y SUS MEDIOS DE ALMACENAMIENTO EN EL ARCHIVO GENERAL DE BOGOTÁ; EL DIAGNÓSTICO DE LA PRODUCCIÓN ELECTRÓNICA DE DOCUMENTOS HISTÓRICOS EN 12 ENTIDADES DEL DISTRITO, Y LA DEFINICIÓN DE LA ARQUITECTURA TECNOLÓGICA PARA SOPORTAR EL PROYECTO DE PRESERVACIÓN DIGITAL, EN EL MARCO DEL PROYECTO DE FORTALECIMIENTO DEL ACCESO Y DIFUSIÓN DE LA MEMORIA HISTÓRICA Y DEL PATRIMONIO DOCUMENTAL DE BOGOTÁ, D.C</t>
  </si>
  <si>
    <t xml:space="preserve"> UNIVERSIDAD DISTRITAL FRANCISCO JOSE DE CALDAS</t>
  </si>
  <si>
    <t>CONGRESO INTERNACIONAL DE COMPUTACIÓN CICOM 2025</t>
  </si>
  <si>
    <t>REALIZAR EL DÉCIMO QUINTO CONGRESO INTERNACIONAL DE COMPUTACIÓN CICOM 2025.</t>
  </si>
  <si>
    <t>INFORMACIÓN PRECONTRACTUAL</t>
  </si>
  <si>
    <t>CHECK LIST CARGUE SIEXUD</t>
  </si>
  <si>
    <t>EQUIPO INICIADOR</t>
  </si>
  <si>
    <t>SEGUIMIENTO PROYECTOS/</t>
  </si>
  <si>
    <t>CONSECUTIVO SIEXUD</t>
  </si>
  <si>
    <t>COMITÉ DE APROBACIÓN</t>
  </si>
  <si>
    <t>AB0GADO ASIGNADO AL PROYECTO</t>
  </si>
  <si>
    <t>PERSONA ENCARGADA DE LA INICIACION</t>
  </si>
  <si>
    <t>PERSONA ENCARGADA DEL SEGUIMIENTO</t>
  </si>
  <si>
    <t>FECHA ULTIMO SEGUIMIENTO PMO</t>
  </si>
  <si>
    <t>FECHA DE SUSCRIPCIÓN</t>
  </si>
  <si>
    <t>FECHA DE INICIO</t>
  </si>
  <si>
    <t>FECHA DE FINALIZACIÓN</t>
  </si>
  <si>
    <t># CONTRATO2</t>
  </si>
  <si>
    <t>CONTRAPARTIDA</t>
  </si>
  <si>
    <t>BENEFICIO INSTITUCIONAL</t>
  </si>
  <si>
    <t>INVITACIÓN</t>
  </si>
  <si>
    <t>ESTUDIOS PREVIOS</t>
  </si>
  <si>
    <t>ANEXO TÉCNICO</t>
  </si>
  <si>
    <t>OTROS ANEXOS</t>
  </si>
  <si>
    <t>AVAL DE FACULTAD</t>
  </si>
  <si>
    <t>PROPUESTA</t>
  </si>
  <si>
    <t xml:space="preserve">CONTRATO </t>
  </si>
  <si>
    <t>CONTRATO ELECTRONICO SECOP II</t>
  </si>
  <si>
    <t>CREACIÓN FINANCIERA</t>
  </si>
  <si>
    <t>PRESUPUESTO</t>
  </si>
  <si>
    <t>ACTA DE INICIO</t>
  </si>
  <si>
    <t>Ok check</t>
  </si>
  <si>
    <t>cantidad requerida</t>
  </si>
  <si>
    <t>porcentaje check</t>
  </si>
  <si>
    <t xml:space="preserve">(1)SOLICITUD DE  APERTURA FIRNANCIERA Y PRESUPUESTO 1 (FECHA) </t>
  </si>
  <si>
    <t>(2) SOLICITUD CORREO INSTITUCIONAL(FECHA) Y CORREO INSTITUCIONAL</t>
  </si>
  <si>
    <t>(3) SOLICITUD DE CDPS (FECHA)</t>
  </si>
  <si>
    <t>(4) DEFINICIÓN DE EQUIPO (FECHA)</t>
  </si>
  <si>
    <t>(5) COORDINADOR / DIRECTOR (NOMBRE)</t>
  </si>
  <si>
    <t>(6) SUPERVISOR (NOMBRE)</t>
  </si>
  <si>
    <t>(7) ADMINISTRATIVO NOMBRE</t>
  </si>
  <si>
    <t>(8)FECHA CURSO DE SUPERVISIÓN</t>
  </si>
  <si>
    <t>(9) SOLICITUD DE SUPERVISIÓN (FECHA)</t>
  </si>
  <si>
    <t>(10) RESOLUCIÓN DE SUPERVISIÓN ( FECHA Y NÚMERO DE SUPERVISIÓN)</t>
  </si>
  <si>
    <t>(11) CONTRUCCIÓN ESTUDIOS PREVIOS</t>
  </si>
  <si>
    <t>(12) SOLICITUD DE DOCUMENTOS COORDINADOR Y/O DIRECTOR</t>
  </si>
  <si>
    <t>(13) SOLICITUD DE DOCUMENTOS ADMINISTRATIVO</t>
  </si>
  <si>
    <t>(14) FECHA DE CONTRATACIÓN DIRECTOR Y/O COORDINADOR</t>
  </si>
  <si>
    <t>(15) FECHA DE CONTRATACIÓN ADMINISTRATIVO</t>
  </si>
  <si>
    <t>(16) FECHA REUNIÓN DE EMPALME (DIRECTOR Y/O COORDINADOR, SUPERVISOR, ADMINISTRATIVO Y MIEMBRO DE LA PMO DE SEGUIMIENTO)</t>
  </si>
  <si>
    <t>NUMERO OK</t>
  </si>
  <si>
    <t>porcentaje cumplmiento</t>
  </si>
  <si>
    <t>alerta contractualL</t>
  </si>
  <si>
    <t>REQUERIMIENTOS PROYECTOS</t>
  </si>
  <si>
    <t>(17) SOLICITUD PLAN INTEGRAL PROYECTO2</t>
  </si>
  <si>
    <t>(18) SOLICITUD DE INFORME MENSUAL</t>
  </si>
  <si>
    <t>(19) FECHA DEL NUEVO SEGUIMIENTO</t>
  </si>
  <si>
    <t>Columna1</t>
  </si>
  <si>
    <t>Columna2</t>
  </si>
  <si>
    <t>% estructura del proyecto disponible</t>
  </si>
  <si>
    <t xml:space="preserve">Observaciones </t>
  </si>
  <si>
    <t>14/12/020</t>
  </si>
  <si>
    <t>TransMigrARTS ID 101</t>
  </si>
  <si>
    <t>UNIÓN EUROPEA</t>
  </si>
  <si>
    <t>TRANSFORMAR LA MIGRACIï¿½N MEDIANTE LAS ARTES CON EL OBJETIVO DE OBSERVAR, EVALUAR, MODELAR Y REALIZAR TALLERES ARTï¿½STICOS (TEATRO, DANZA, PAYASADAS, Mï¿½SICA Y PERFORMANCE) A MIGRANTES EN SITUACIONES DE VULNERABILIDAD.</t>
  </si>
  <si>
    <t>60 MESES Y 18 DÍAS</t>
  </si>
  <si>
    <t>N/A</t>
  </si>
  <si>
    <t>CO1.PCCNTR.2564825</t>
  </si>
  <si>
    <t>SERVICIO NACIONAL DE APRENDIZAJE - SENA</t>
  </si>
  <si>
    <t>CONTRATAR LOS SERVICIOS DE GESTIï¿½N, OPERACIï¿½N, ADMINISTRACIï¿½N DE LOS RECURSOS E IMPLEMENTACIï¿½N DE LA RUTA COMPLETA DE CREACIï¿½N, PUESTA EN MARCHA Y SOSTENIBILIDAD DE LOS PROYECTOS DEL FONDO EMPRENDER, CONFORME AL MODELO 4K DEL EMPRENDIMIENTO SENA, LOS LINEAMIENTOS DEL FONDO EMPRENDER Y DEL SENA, BRINDANDO SOPORTE Tï¿½CNICO, ADMINISTRATIVO, JURï¿½DICO, FINANCIERO Y RECUPERACIï¿½N DE CARTERA.</t>
  </si>
  <si>
    <t xml:space="preserve">Un primer pago por valor
del 30%. Segundo pago 30% en el mes catorce (14)
de ejecución del contrato. Tercer pago 20% del valor del contrato a los veinticinco (25) meses de
ejecución del contrato. Un cuarto pago 10% del valor del
contrato al mes
veintinueve (29) meses
de ejecución del contrato. pago 5 10% del valor del contrato, </t>
  </si>
  <si>
    <t>4 años y 6 meses</t>
  </si>
  <si>
    <t>010-2021</t>
  </si>
  <si>
    <t>GOBERNACIÓN DE LA GUAJIRA</t>
  </si>
  <si>
    <t>INTERVENTORIA AL PROYECTO ï¿½TRANSFERENCIA DE  TECNOLOGIA Y CONOCIMIENTO PARA LA PRODUCCIï¿½N DE CARNE DE PESCADO Y ESPECIES VEGETALES QUE MITIGUEN LA INSEGURIDAD ALIMENTARIA DE PEQUEï¿½OS PRODUCTORES AGROPECUARIOS EN LAS TRES SUBREGIONES DEL  DEPARTAMENTO DE LA GUAJIRAï¿½.</t>
  </si>
  <si>
    <t>44 MESES Y 9 DÍAS</t>
  </si>
  <si>
    <t>CO1.PCCNTR.3451677</t>
  </si>
  <si>
    <t>CONTRATAR LOS SERVICIOS DE GESTIÃ“N Y, ADMINISTRACIÃ“N DE LOS RECURSOS PARA LA OPERACIÃ“N DE LA RUTA DE CREACIÃ“N Y PUESTA EN MARCHA DE LOS PROYECTOS DEL FONDO EMPRENDER, CONFORME AL MODELO 4K DEL EMPRENDIMIENTO, LOS LINEAMIENTOS DEL FONDO EMPRENDER Y DEL SENA, BRINDANDO SOPORTE TÃ‰CNICO, ADMINISTRATIVO, JURÃDICO, FINANCIERO Y RECUPERACIÃ“N DE CARTERA.</t>
  </si>
  <si>
    <t xml:space="preserve">primer pago 30% del valor total de contrato. Segundo pago 30% del valor total del contrato. Tercer pago 35% del valor total del 5% del valor total del contrato.
contrato. Cuarto pago </t>
  </si>
  <si>
    <t>4 años</t>
  </si>
  <si>
    <t>0475-2022</t>
  </si>
  <si>
    <t>INSTITUTO COLOMBIANO DE CRÉDITO EDUCATIVO Y ESTUDIOS TÈNICOS EN EL EXTERIOR - ICETEX</t>
  </si>
  <si>
    <t>OTORGAR APOYO ECONOMICO A AL ENTIDAD EJECUTORA, UNIVERSIDAD DISTRITAL FRANCISCO JOSÉ DE CALDAS, EN LA MODALIDAD DE RECUPERACIÓN CONTINGENTE PARA PROYECTOS SELECCIONADOS DE LA CONVOCATORIA 890 DE 2020,PARA " INCLUSIÓN Y RECONOCIMIENTO DE LA DIVERSIDAD  Y DIFERENCIA CULTURAL EN LA EDUCACIÓN CIENTIFICA, MEDIANTE INNOVACIONESEDUCATIVAS QUE PROPICIEN EL DIÁLOGO ENTRE CONOCIMIENTOS CIENTIFICOS ACADÉMICOS (CCA) Y RADICIONALES-LOCALES (CTE) EN Y PARA COMUNIDADES RURALES, ESTUDIOS DE CASO FOSCA Y FOMEQUE.</t>
  </si>
  <si>
    <t>SEGUIMIENTO DE PROYECTO DESDE LA OFICINA DE INVESTIGACIONES
(CENTRO DE INVESTIGACIONES Y DESARROLLO CIENTÍFICO)
ACTA DE INICIO 27/01/2023 REVISAR</t>
  </si>
  <si>
    <t>0668-2022</t>
  </si>
  <si>
    <t>OTORGAR APOYO ECONÓMICO EN LA ENTIDAD EJECUTORA, UNIVERSIDAD DISTRITAL FRANCISCO JOSÉ DE CALDAS, EN LA MODALIDAD DE RECUPERACIÓN CONTINGENTE PARA PROYECTOS SELECCIONADOS DE LA CONVOCATORIA 890 DE 2020, PARA EVALUAR EL APROVECHAMIENTO DE LOS RESIDUOS SÓLIDOS ORGÁNICOS GENERADOS EN LA CIUDAD DE BOGOTÁ MEDIANTE EXPERIMENTACIÓN DE TECNOLOGÍA DE BIOCONVERSIÓN AEROBIA.</t>
  </si>
  <si>
    <t>30 MESES</t>
  </si>
  <si>
    <t>914-2022</t>
  </si>
  <si>
    <t xml:space="preserve">SECRETARÍA DISTRITAL DE DESARROLLO ECONÓMICO </t>
  </si>
  <si>
    <t>AUNAR ESFUERZOS TÉCNICOS, ADMINISTRATIVOS Y FINANCIEROS PARA LA EJECUCIÓN DEL PROYECTO FINANCIADO CON RECURSOS DEL SISTEMA GENERALES DE REGALÍAS, BPIN 2021000100397 “FORTALECIMIENTO DE CAPACIDADES PARA LA GESTIÓN, ADOPCIÓN E IMPLEMENTACIÓN DE PROCESOS DE INNOVACIÓN ABIERTA Y TECNOLÓGICA EN MIPYMES DE BOGOTÁ</t>
  </si>
  <si>
    <t>SUSPENDIDO</t>
  </si>
  <si>
    <t>FDLM-177-2022(85246)</t>
  </si>
  <si>
    <t>FONDO DE DESARROLLO LOCAL DE LOS MARTIRES</t>
  </si>
  <si>
    <t>REALIZAR LOS ESTUDIOS Y DISEÑOS PARA EL EDIFICIO DE LA CASA DE LA CULTURA DE LA LOCALIDAD DE LOS MÁRTIRES.</t>
  </si>
  <si>
    <t>20 MESES Y 25 DÍAS</t>
  </si>
  <si>
    <t>SUSPENDIDO
FECHA INICIAL DE FINALIZACIÓN:
10/01/2025</t>
  </si>
  <si>
    <t xml:space="preserve">CONV ESPECIAL COOPER
</t>
  </si>
  <si>
    <t>UNIVERSIDAD NACIONAL DE COLOMBIA</t>
  </si>
  <si>
    <t>AUNAR ESFUERZOS TÃ‰CNICOS, ADMINISTRATIVOS Y FINANCIEROS PARA EL DESARROLLO DEL PROYECTO DENOMINADO "DESAROLLO DE UN PROCESO PARA LA PRODUCCIÃ“N DE POLIHIDROXIALCANOATOS A TRAVÃ‰S DE CULTIVOS MIXTOS Y LODOS PROVENIENTES DE PLANTAS DE TRATAMIENTO DE AGUAS RESIDUALES".</t>
  </si>
  <si>
    <t>2 AÑOS 2 MESES Y 16 DIAS</t>
  </si>
  <si>
    <t>FDLM-169-2023(92100)</t>
  </si>
  <si>
    <t>FONDO DE DESARROLLO LOCAL DE MARTIRES</t>
  </si>
  <si>
    <t>AUNAR ESFUERZOS TECNICOS, ADMINISTRATIVOS Y FINANCIEROS PARA EL FORTALECIMIENTO DE LAS CAPACIDADES LOCALES EN MECANISMOS DESEGURIDAD, JUSTICIA COMUNITARIA, Y PARTICIPACIÃ“N CIUDADANA EN LA LOCALIDAD DE LOS MARTIRES</t>
  </si>
  <si>
    <t>FAC-MED-8204</t>
  </si>
  <si>
    <t>UNIVERSIDAD DISTRITAL FRANCISCO JOSÉ DE CALDAS - UD</t>
  </si>
  <si>
    <t>OFRECER UN AMPLIO RECORRIDO EN MATERIA AERONÃUTICA Y NORMATIVA NECESARIA EN EL USO DE LOS DIFERENTES DRONES DEL MERCADO, SUS PRINCIPALES CARACTERÃSTICAS, MANEJO, SOFTWARE Y ALGUNAS DE SUS APLICACIONES MÃS FRECUENTES, CON EL COMPONENTE PRÃCTICO SUFICIENTE PARA OPERARLOS DE MANERA SEGURA Y EFICAZ, BRINDANDO LO NECESARIO PARA HABILITARSE Y REGISTRARSE ANTE LA AERONÃUTICA CIVIL.</t>
  </si>
  <si>
    <t>MENSUAL</t>
  </si>
  <si>
    <t>002 DE 2024</t>
  </si>
  <si>
    <t>ASESORÍA</t>
  </si>
  <si>
    <t>CORPORACIÓN AUTÓNOMA REGIONAL DE LOS VALLES DEL SINÚ Y DEL SAN JORGE - CVS</t>
  </si>
  <si>
    <t>FORTALECER E IMPLEMENTAR ACCIONES PARA EL EJERCICIO DE LA AUTORIDAD AMBIENTAL DE LA CVS, PARA APOYAR LOS PROCESOS DE EVALUACIÃ“N Y SEGUIMIENTO A LICENCIAS, PERMISOS, CONCESIONES Y AUTORIZACIONES AMBIENTALES, RELACIONADAS CON EL USO, APROVECHAMIENTO Y/O MOVILIZACIÃ“N DE LOS RECURSOS NATURALES RENOVABLES, ASÃ COMO EL SEGUIMIENTO Y CONTROL DE ACTIVIDADES ILEGALES QUE CAUSAN DEGRADACIÃ“N, AFECTACIÃ“N Y/O PÃ‰RDIDA DE ECOSISTEMAS Y SU BIODIVERSIDAD ASOCIADA.</t>
  </si>
  <si>
    <t>3 PAGOS</t>
  </si>
  <si>
    <t>2024-0523</t>
  </si>
  <si>
    <t>PERSONERIA DE BOGOTA D.C.</t>
  </si>
  <si>
    <t>PRESTACIÃ“N DE SERVICIOS EN TEMAS MISIONALES ORIENTADOS AL CUMPLIMIENTO DE CAPACITACIÃ“N Y FORMACIÃ“N EN DESARROLLO DE LOS PROYECTOS DE INVERSIÃ“N 7732 Y 7751; EJECUCIÃ“N DEL PLAN INSTITUCIONAL DE CAPACITACIÃ“N - PIC 2024; ADEMÃS DEL DISEÃ‘O, DESARROLLO Y ADMINISTRACIÃ“N DE LOS SERVICIOS TICS CONFORME A LAS NECESIDADES DE TRANSFORMACIÃ“N DIGITAL EN EL MARCO DEL PROYECTO DE INVERSIÃ“N 7719.</t>
  </si>
  <si>
    <t>5 PAGOS SEGÚN LOS SERVICIOS EFECTIVAMENTE PRESTADOS, SOPORTADOS Y FACTURADOS</t>
  </si>
  <si>
    <t>9 MESES Y 20 DIAS</t>
  </si>
  <si>
    <t>MATRIZ DE RIESGOS</t>
  </si>
  <si>
    <t>FAC-ASAB-8211</t>
  </si>
  <si>
    <t>OFRECER A LA CIUDAD Y AL PAÃS UN ESPACIO DE PROFUNDIZACIÃ“N Y DESARROLLO DEL CONOCIMIENTO Y PRÃCTICA DE LAS ARTES DANZARÃAS, CON EL FIN DE SENSIBILIZAR A JÃ“VENES Y ADULTOS SOBRE DIVERSAS POSIBILIDADES CREATIVAS RELACIONADAS CON EL CUERPO Y EL MOVIMIENTO</t>
  </si>
  <si>
    <t>307-2024</t>
  </si>
  <si>
    <t>MINISTERIO DE RELACIONES EXTERIORES</t>
  </si>
  <si>
    <t>CARACTERIZAR INTEGRALMENTE A LOS FUNCIONARIOS DE LA CARRERA DIPLOMÃTICA Y CONSULTAR Y AUXILIARES DE MISIÃ“N DIPLOMÃTICA DE COLOMBIA, COMO PARTE DEL PROCESO DE MODERNIZACIÃ“N Y OPTIMIZACIÃ“N DEL SISTEMA DE GESTIÃ“N DEL TALENTO HUYMANO EN EL MINISTERIO DE RELACIONES EXTERIORES</t>
  </si>
  <si>
    <t>8 MESES Y 11 DÍAS</t>
  </si>
  <si>
    <t>07-5-20164-24</t>
  </si>
  <si>
    <t>POLICIA NACIONAL</t>
  </si>
  <si>
    <t>ELABORACIÃ“N DE LOS ESTUDIOS Y DISEÃ‘OS TÃ‰CNICOS PARA LA ADECUACIÃ“N DE LAS ÃREAS DESTINADAS A SALAS DE CIRUGÃA Y ESPACIOS CONEXOS DE LAS UNIDADES DE SANIDAD DE LA POLICÃA NACIONAL - ESPCO CLÃNICA DEANT Y ESPCO CLÃNICA DEATA</t>
  </si>
  <si>
    <t>4 MESES Y 20 DÍAS</t>
  </si>
  <si>
    <t>06-5-10230-24</t>
  </si>
  <si>
    <t>CONSULTORÃA PARA LA RESTAURACIÃ“N ARQUITECTÃ“NICA, DEMOLICIÃ“N PARCIAL, REFORZAMIENTO ESTRUCTURAL Y OBRA NUEVA DE ACUERDO CON LA NORMATIVIDAD VIGENTE PARA LA ESTACIÃ“N DE POLICÃA BOAVITA, INCLUYE ESTUDIOS Y DISEÃ‘OS DE INTERVENCIÃ“N DE LA EDIFICACIÃ“N, ACABADOS, TRÃMITE DE LICENCIAS, PERMISOS A QUE HAYA LUGAR Y DEMÃS ACTIVIDADES PARA SU FUNCIONAMIENTO.</t>
  </si>
  <si>
    <t>7 MESES Y 18 DÍAS</t>
  </si>
  <si>
    <t>FAC-ASAB-8214</t>
  </si>
  <si>
    <t>OFRECER Y DESARROLLAR UN PROGRAMA DE ESTUDIOS DE NIVEL MEDIO QUE RESPONDA A LOS INTERESES DE QUIENES DESEAN CUALIFICAR SU NIVEL DE DESEMPEÃ‘O MUSICAL Y SUS CONDICIONES PARA PRESENTAR LAS PRUEBAS DE INGRESO A LOS PREGRADOS DE MÃšSICA DE LAS UNIVERSIDADES DEL PAÃS</t>
  </si>
  <si>
    <t>FAC-ING-8203</t>
  </si>
  <si>
    <t>REALIZAR EL CONGRESO INTERNACIONAL "WORKSHOP ON ENGINEERING APPLICATIONS (WEA 2024) ARTIFICIL INTELLIGENCE, OPTIMIZATION AND SIMULATION" ORGANIZADO POR LA FACULTAD DE INGENIERIA DE LA UNIVERSIDAD DISTRITAL EN LA CIUDAD DE BARRANQUILLA COLOMBIA, COMO UN ESPACIO DE DIVULGACIÃ“N DE RESULTADOS DE INVESTIGACIÃ“N TANTO DE ESTUDIANTES COMO DE PROFESORES CON EL FIN DE DAR VISIBILIDAD A LAS ACTIVIDADES INVESTIGATIVAS DE LA FACULTAD Y DE GENERAR ESPACIOS COMPARTIDOS DE INVESTIGACIÃ“N CON INVESTIGADORES DE OTRAS UNIVERSIDADES.</t>
  </si>
  <si>
    <t>$ 64.880.000,00</t>
  </si>
  <si>
    <t>FAC-ASAB-8212</t>
  </si>
  <si>
    <t>OFRECER Y DESARROLLAR PROGRAMAS QUE PERMITAN BRINDAR ELEMENTOS BÃSICOS DE FORMACIÃ“N TEÃ“RICA Y PRÃCTICA ACERCA DE LAS ARTES ESCÃ‰NICAS, QUE PERMITAN EL RECONOCIMIENTO Y POTENCIACIÃ“N DE DESTREZAS PARA LA CRACIÃ“N TEATRAL, A JÃ“VENES DE LA CIUDAD DE BOGOTÃ Y DEL RESTO DEL PAÃS.</t>
  </si>
  <si>
    <t>FAC-ASAB-8213</t>
  </si>
  <si>
    <t>OFRECER A LA CIUDAD Y AL PAÃS ESPACIOS PARA LA FORMACIÃ“N EN EL ÃREA DE ARTES PLÃSTICAS Y VISUALES, CON EL FIN DE POTENCIAR LA EDUCACIÃ“N VISUAL DE LOS ASPIRANTES QUE PRETENDEN POSTULARSE AL PREGRADO DE ARTES PLÃSTICAS Y VISUALES, CON EL FIN DE ESTABLECER COHERENCIA ENTRE SUS INTERESES Y LA ESTRUCTURA DEL PLAN DE ESTUDIO DE LOS PROGRAMAS DE EDUCACIÃ“N SUPERIOR EN ARTES PLÃSTICAS Y/O VISUALES, Y ASÃ CUALIFICAR EL PERFIL DE INGRESO EN LOS PROCESOS DE SELECCIÃ“N Y ADMISIÃ“N A LA CARRERA</t>
  </si>
  <si>
    <t>FAC-ASAB-8210</t>
  </si>
  <si>
    <t>OFRECER Y DESARROLLAR LOS PROGRAMAS DE FORMACIÃ³N MUSICAL ESTUDIOS EN MÃºSICAS POPULARES DE COLOMBIA, RECUPERACIÃ³N DE COMPETENCIASMUSICALES BÃ¡SICAS, NIÃ±OS ALAC Y ADULTOS ALAC, Y REALIZAR LOS EVENTOS VIERNES DE CONCIERTO, SEMANA LUIS A. CALVO, MUESTRAS Y EL LANZAMIENTODE LA PUBLICACIÃ³N DISCO ALAC</t>
  </si>
  <si>
    <t>200-30.4-562-2024</t>
  </si>
  <si>
    <t>CORPORACIÓN AUTÓNOMA REGIONAL DEL GUAVIO - CORPOGUAVIO</t>
  </si>
  <si>
    <t>PRESTACIÓN DE SERVICIOS PARA EL DESARROLLO DEL DIPLOMADO PARA EL FORTALECIMIENTO E IMPLEMENTACIÃ“N DE LA POLÃTICA NACIONAL DE EDUCACIÃ“N AMBIENTAL - PNEA Y LA PROMOCIÃ“N DE PROYECTOS PROCEDA Y PRAE EN EL MARCO DE LA IMPLEMENTACIÃ“N DEL PROYECTO DEL FCA CUMPLIMIENTO DE LAS METAS DE EDUCACIÃ“N AMBIENTAL Y PARTICIPACIÃ“N CIUDADANA DEL PLAN DE ACCIÃ“N DE CORPOGUAVIO 2024-2027.</t>
  </si>
  <si>
    <t>PAGOS POR PORCENTAJES:
 1- 45%
2-  45% 
3 - 10%</t>
  </si>
  <si>
    <t>506 de 2024</t>
  </si>
  <si>
    <t>AGENCIA NACIONAL DE HIDROCARBUROS</t>
  </si>
  <si>
    <t>PRESTAR SERVICIOS PARA EL DESARROLLO DE ACTIVIDADES DEL PLAN DE FORMACIÃ“N Y CAPACITACIÃ“N, CON EL PROPÃ“SITO FAVORECER EL DESARROLLO Y FORTALECIMIENTO DE COMPETENCIAS Y HABILIDADES DEL SABER, SER Y HACER DE LOS SERVIDORES DE LA ANH.</t>
  </si>
  <si>
    <t>6 MESES Y 28 DÍAS</t>
  </si>
  <si>
    <t xml:space="preserve">CINT-448-2024
</t>
  </si>
  <si>
    <t>MUNICIPIO DE LA CALERA CUNDINAMARCA</t>
  </si>
  <si>
    <t>PRESTAR LOS SERVICIOS PARA LA EVALUACIÃ“N DE CONOCIMIENTOS A LOS ESTUDIANTES DE GRADOS OCTAVO 8Â°, NOVENO 9Â° Y DÃ‰CIMO 10Â° DE LAS CUATRO (4) INSTITUCIONES EDUCATIVAS OFICIALES DEL MUNICIPIO DE LA CALERA Y EMITIR DIAGNÃ“STICO PARA LA PREPARACIÃ“N DE LA PRESENTACIÃ“N DE LAS PRUEBAS SABER 11</t>
  </si>
  <si>
    <t>. Primer Pago: 50% Una vez se FIRME Y SE DE EJECUCIÓN AL
CONTRATO, por un valor de TREINTA Y DOS MILLONES QUINIENTOS MIL PESOS MCTE
($32.500.000.oo). Segundo Pago: 50% una vez se culmine el proceso de diagnóstico de los
beneficiarios del contrato y la conferencia a los docentes frente al tema, equivalente a un valor de
TREINTA Y DOS MILLONES QUINIENTOS MIL PESOS MCTE ($32.500.0000.oo)</t>
  </si>
  <si>
    <t>2 MESES Y 17 DIAS</t>
  </si>
  <si>
    <t>FAC-CIE-8217</t>
  </si>
  <si>
    <t>FORTALECER LA CUALIFICACIÃ“N Y ACTUALIZACIÃ“N PEDAGÃ“GICA, DIDÃCTICA, CREATIVA Y ARTÃSTICA DE AGENTES, DOCENTES, ARTISTAS, GESTORES, LÃDERES SOCIALES, COMUNITARIOS, PROFESIONALES O ESTUDIANTES QUE LES GUSTE EL ARTE, ESTÃ‰N RELACIONADOS CON EL DESARROLLO DE PRÃCTICAS ARTÃSTICAS O EL TRABAJO ARTÃSTICO DESDE SUS LES ENFOQUES EN EL CONTEXTO SOCIAL, ESCOLAR O COMUNITARIO A NIVEL DISTRITAL Y/O NACIONAL, PARA AMPLIAR SU FORMACIÃ“N EN DIDÃCTICA Y PEDAGOGÃA COMUNITARIA DESDE LAS ARTES PARA APLICACIÃ“N EN EL AULA, TRABAJO EN EL TERRITORIO Y CONTEXTOS AFINES, A TRAVÃ‰S DEL DIPLOMADO SEMIPRESENCIAL ARTE EN COMUNIDAD TERRITORIO Y ESCUELA CON UNA INTENSIDAD DE 120 HORAS, DURANTE 2 MESES, FINALIZANDO CON ENTREGA DE CERTIFICADOS A LOS PARTICIPANTES.</t>
  </si>
  <si>
    <t>POR MATRICULAS</t>
  </si>
  <si>
    <t>4 MESES Y 17 DÍAS</t>
  </si>
  <si>
    <t>137-2024</t>
  </si>
  <si>
    <t>ADMINISTRADORA COLOMBIANA DE PENSIONES - COLPENSIONES</t>
  </si>
  <si>
    <t>PRESTACIÃ“N DEL SERVICIO DE CONSULTORÃA ESPECIALIZADA QUE PERMITA FORTALECER LA GESTIÃ“N DEL CONOCIMIENTO MEDIANTE LA VERIFICACIÃ“N DE LOS PROCESOS Y LOS SERVICIOS TECNOLÃ“GICOS EXISTENTES AL TÃ‰RMINO DEL PLAN ESTRATÃ‰GICO DE TECNOLOGÃAS DE LA INFORMACIÃ“N 2019-2022 EN COLPENSIONES.</t>
  </si>
  <si>
    <t>PAGOS POR FASES:
5, 35, 35 y 25 %</t>
  </si>
  <si>
    <t>FECHA INICIAL DE FINALIZACIÓN: 
21/03/2025
OTRO SÍ N. 1:
21/05/2025</t>
  </si>
  <si>
    <t>CI-1313-2024</t>
  </si>
  <si>
    <t>GOBERNACION DEL MAGDALENA</t>
  </si>
  <si>
    <t>"CONTRATO INTERADMINSITRATIVO PARA LA EJECUCION DE 
SERVICIOS TÉCNICOS, ADMINISTRATIVOS Y FINANCIEROS EN LA PUESTA EN MARCHA DE LAS 
ESCUELAS DE FORMACIÓN EN LIDERAZGO POLÍTICO Y SOCIAL DEL DEPARTAMENTO DEL 
MAGDALENA"</t>
  </si>
  <si>
    <t>6 MESES Y 9 DÍAS</t>
  </si>
  <si>
    <t>x</t>
  </si>
  <si>
    <t>SUSPENSIÓN TEMPORAL DEL CONTRATO POR 45 DÍAS CALENDARIO A PARTIR DEL 26 DE DICIEMBRE 2024
- ACTA DE REINICIO:
24/03/2025
FECHA INICIAL DE FINALIZACIÓN:
31/12/2024
MODIFICATORIO N. 1:
28/05/2025</t>
  </si>
  <si>
    <t>PROCESO ESTRUCTURADO Y CONTRATADO</t>
  </si>
  <si>
    <t>30 DE 2024</t>
  </si>
  <si>
    <t>EMPRESA DE RENOVACIÓN Y DESARROLLO URBANO DE BOGOTÁ - RENOBO</t>
  </si>
  <si>
    <t>REALIZAR LA EJECUCIÓN DE LAS OBRAS MEDIANTE EL SISTEMA DE ADMINISTRACIÓN DELEGADA DEL PROYECTO BRONX DISTRITO CREATIVO, UBICADO EN EL ÁREA DE MANEJO DIFERENCIADO UNO (AMD 1) DEL PLAN PARCIAL DE RENOVACIÓN URBANA VOTO NACIONAL - LA ESTANZUELA EN LA LOCALIDAD DE LOS MÁRTIRES, BARRIO VOTO NACIONAL, EN LA CIUDAD DE BOGOTA D.C., DE ACUERDO CON LOS ESTUDIOS Y DISEÑOS ELABORADOS PARA TAL FIN.</t>
  </si>
  <si>
    <t>ACTAS DE COBRO MENSUAL PARA EL 90% DEL PAGO</t>
  </si>
  <si>
    <t>CONTRATO DE INTERVENTORÍA</t>
  </si>
  <si>
    <t>ALFONSO SÁNCHEZ RAMÍREZ</t>
  </si>
  <si>
    <t>ROBERTO FERRO ESCOBAR</t>
  </si>
  <si>
    <t>SUNG IL SEBASTIAN URIBE PINZÓN</t>
  </si>
  <si>
    <t>N/A PARA PILOTO</t>
  </si>
  <si>
    <t>CM-361-2024</t>
  </si>
  <si>
    <t>CLUB MILITAR</t>
  </si>
  <si>
    <t>INTERVENTORÍA TÉCNICA ADMINISTRATIVA, FINANCIERA Y JURÍDICA PARA LA REMODELACIÓN ADECUACIÓN Y DOTACIÓN
PISCINA ADULTOS SEDE LAS MERCEDES Y NIÑOS SEDE PRINCIPAL, ADEMÁS RESTAURACIÓN ESCENARIOS DEPORTIVOS SEDE SOCHAGOTA Y LAS MERCEDES.</t>
  </si>
  <si>
    <t>DOS PAGOS UNO POR EL 40% Y OTRO POR EL 60%</t>
  </si>
  <si>
    <t>3 MESES Y 29 DÍAS</t>
  </si>
  <si>
    <t>LA ENTIDAD CAMBIA EL NOMBRE DEL CONTRATO EN SECOP II DE CM-261-2024 A CM-361-2024
FECHA INICIAL DE FINALIZACIÓN:
04/01/2025
PRÓRROGA N. 1:
28/02/2025
PRÓRROGA N. 2:
15/03/2025
PRÓRROGA N. 3:
30/03/2025
PRÓRROGA 4:
07/04/205</t>
  </si>
  <si>
    <t>ALFONSO SANCHEZ RAMIREZ</t>
  </si>
  <si>
    <t xml:space="preserve">GINA ALEJANDRA SANTANA MEDINA </t>
  </si>
  <si>
    <t>089-00-G-CACOM4-DEDHU-
2024</t>
  </si>
  <si>
    <t>PRESTAR SERVICIOS DE PERSONAL PROFESIONAL Y DE APOYO A LA GESTION PARA EL GIMFA CACOM 4 EN ÃREAS ACADÃ‰MICAS, PSICORIENTACION E INSTRUCCIÃ“N MILITAR ESPECIAL, QUE FACILITEN EL PLANEAMIENTO Y DESARROLLO DE LAS ACTIVIDADES DURANTE EL PROCESO DE FORMACIÃ“N ESCOLAR</t>
  </si>
  <si>
    <t>12 PAGOS REALIZADOS DE FORMA MENSUAL</t>
  </si>
  <si>
    <t>SUSPENSIÓN N. 1:
21/12/2024 - 15/01/2025</t>
  </si>
  <si>
    <t>CELINA CÁRDENAS</t>
  </si>
  <si>
    <t>CI-1704-2024</t>
  </si>
  <si>
    <t>CONTRATO INTERADMINSITRATIVO PARA LA ELABORACIÓN DE ESTUDIOS DE REFORMULACIÓN, FACTIBILIDAD Y DISEÑOS DEL TREN DE PASAJEROS Y CARGA EN EL DEPARTAMENTO DEL MAGDALENA.</t>
  </si>
  <si>
    <t>UN PAGO ANTICIPADO DEL 50% Y UN PAGO FINAL POR EL 50% RESTANTE</t>
  </si>
  <si>
    <t>FECHA INICIAL DE FINALIZACIÓN:
10/04/2025
MODIFICATORIO N. 1:
10/05/2025</t>
  </si>
  <si>
    <t>CARLOS ENRIQUE AMU QUIÑONES</t>
  </si>
  <si>
    <t>ANDRÉS LEONARDO JUTINICO ALARCÓN</t>
  </si>
  <si>
    <t>JUIAN PABLO NAVAS SOLANO</t>
  </si>
  <si>
    <t>RESOLUCIÓN No. 089-2025 DEL 2 DE ABRIL DE 2025</t>
  </si>
  <si>
    <t>06-5-10317-24</t>
  </si>
  <si>
    <t>POLICÍA NACIONAL - DIRECCIÓN LOGÍSTICA Y FINANCIERA DILOF</t>
  </si>
  <si>
    <t>REALIZAR LA CONSULTORÍA PARA EL ESTUDIO DETALLADO DE RIESGOS DE AMENAZAS, INUNDACIÓN, SOCAVACIÓN, INCENDIO FORESTAL Y VULNERABILIDAD, ACTUALIZACIÓN DE CONSULTA DE NORMA URBANA Y REALIZACIÓN DE ESTUDIO PARA EL ACOTAMIENTO DE LA ZONA DE RONDA HÍDRICA DEL RÍO BOGOTÁ, EN LOS PREDIOS ALTERÓN 1 Y ALTERÓN 2 DE PROPIEDAD DE LA POLICÍA NACIONAL, UBICADOS EN EL MUNICIPIO DE CHÍA, CUNDINAMARCA. INCLUYE PROPUESTAS DE SOLUCIÓN, ELABORACIÓN DE PRESUPUESTO, ESPECIFICACIONES TÉCNICAS, ANÁLISIS DE PRECIOS UNITARIOS, TRÁMITE DE LICENCIAS AMBIENTALES, PERMISOS Y DEMÁS ACTIVIDADES PARA LA EJECUCIÓN DE LAS PROPUESTAS</t>
  </si>
  <si>
    <t>PAGOS PARCIAL DE ACUERDO A LAS ENTREGAS REALIZADAS POR EL CONTRATISTA, DENTRO DE LOS SESENTA (60) DÍAS CALENDARIO SIGUIENTES A LA RADICACIÓN DE LA FACTURA JUNTO CON EL RECIBO A SATISFACCIÓN DEL INTERVENTOR DEL CONTRATO. 25%, 35% Y 40%</t>
  </si>
  <si>
    <t>5 MESES Y 6 DÍAS</t>
  </si>
  <si>
    <t>FECHA INICIAL DE FINALIZACIÓN:
08/01/2025
PRÓRROGA N. 1:
25/05/2025</t>
  </si>
  <si>
    <t>HIPOLITO ACOSTA FORERO</t>
  </si>
  <si>
    <t>RODOLFO FELIZZOLA CONTRERAS</t>
  </si>
  <si>
    <t>RESOLUCIÓN No. 021-2025 DEL 18 DE FEBRERO DE 2025</t>
  </si>
  <si>
    <t xml:space="preserve">NO APLICA PARA PILOTO </t>
  </si>
  <si>
    <t>CI-593-2024</t>
  </si>
  <si>
    <t>INSTITUTO DISTRITAL DE PATRIMONIO CULTURAL - IDPC</t>
  </si>
  <si>
    <t>AUNAR ESFUERZOS CIENTÍFICOS, INVESTIGATIVOS, TÉCNICOS, FINANCIEROS Y ADMINISTRATIVOS PARA LA IMPLEMENTACIÓN DE LAS ACCIONES PRIORIZADAS PARA EL CORTO PLAZO EN LA IMPLEMENTACIÓN DEL PLAN ESPECIAL DE SALVAGUARDIA (PES) DE LA MANIFESTACIÓN USOS, PROYECCIÓN ARTÍSTICA Y SOCIAL DEL TEATRO DE CREACIÓN COLECTIVA EN BOGOTÁ.</t>
  </si>
  <si>
    <t>PAGOS PARCIALES CORRESPONDIENTES AL 30%, 30% Y 40%</t>
  </si>
  <si>
    <t>pendiente realizar acta de seguimiento 15 enero</t>
  </si>
  <si>
    <t>SANTIAGO NIÑO MORALES</t>
  </si>
  <si>
    <t>RESOLUCIÓN No. 082 - 2025 DEL 26 DE MARZO DE 2025</t>
  </si>
  <si>
    <t>06-5-10329-2024</t>
  </si>
  <si>
    <t>POLICIA NACIONAL- DIRECCIÓN LOGÍSTICA Y FINANCIERA</t>
  </si>
  <si>
    <t>"“INTERVENTORÍA DEL ANÁLISIS DE VULNERABILIDAD SÍSMICA Y ESTRUCTURAL DEL COMPLEJO DE LA DIRECCIÓN GENERAL DE LA POLICÍA NACIONAL, INCLUYE ESTUDIOS Y DISEÑOS DE REFORZAMIENTO Y DEMÁS
ACTIVIDADES REQUERIDAS DENTRO DEL ALCANCE, LAS ESPECIFICACIONES TÉCNICAS Y DEMÁS DOCUMENTOS
QUE INTEGRAN EL PROCESO”."</t>
  </si>
  <si>
    <t>PAGOS PARCIALES DE 25% CADA UNO</t>
  </si>
  <si>
    <t>10 MESES Y 5 DÍAS</t>
  </si>
  <si>
    <t xml:space="preserve">FECHA INICIAL DE FINALIZACIÓN: 
05/01/2025
PRÓRROGA N. 1: 
</t>
  </si>
  <si>
    <t>RUBEN DARIO BONILLA ISAZA</t>
  </si>
  <si>
    <t xml:space="preserve">RESOLUCIÓN  No. 019 - 2025 DEL 13 DE FEBRERO DE 2025
</t>
  </si>
  <si>
    <t>JUAN SEBASTIAN</t>
  </si>
  <si>
    <t>IDIGER-393-2024</t>
  </si>
  <si>
    <t>CONTRATAR LOS SERVICIOS DE CAPACITACIÓN PARA EL FORTALECIMIENTO DE LAS COMPETENCIAS LABORALES DE LOS SERVIDORES PÚBLICOS DEL IDIGER.</t>
  </si>
  <si>
    <t>UN PRIMER PAGO DEL 40%, UN SEGUNDO DEL 30% Y UN TERCER PAGO DEL 30%</t>
  </si>
  <si>
    <t>ANGELA MARIA BARRAGAN MEDINA</t>
  </si>
  <si>
    <t>MARTHA JANET VELASCO FORERO</t>
  </si>
  <si>
    <t>MARIA FERNANDA BAUTISTA PLAZAS</t>
  </si>
  <si>
    <t>RESOLUCIÓN No. 005-2025 DEL 20 DE ENERO DE 2025</t>
  </si>
  <si>
    <t>UAESP-560-2024</t>
  </si>
  <si>
    <t>UNIDAD ADMINISTRATIVA ESPECIAL DE SERVICIOS PÚBLICOS - UAESP</t>
  </si>
  <si>
    <t>AUNAR RECURSOS HUMANOS, TÃ‰CNICOS, ADMINISTRATIVOS Y FINANCIEROS, ENTRE LA UNIDAD ADMINISTRATIVA DE SERVICIOS PÃšBLICOS -UAESP Y LA UNIVERSIDAD DISTRITAL FRANCISCO JOSÃ‰ DE CALDAS, PARA APOYAR LA CONTINUIDAD EN LOS PROGRAMAS DE EDUCACIÃ“N SUPERIOR, TECNOLÃ“GICA Y PROFESIONAL, A LOS HABITANTES DE LA ZONA DE INFLUENCIA DEL PARQUE DE INNOVACIÃ“N DOÃ‘A JUANA-PIDJ ESTABLECIDA EN LA LICENCIA AMBIENTAL.</t>
  </si>
  <si>
    <t>UN PRIMER DESEMBOLSO DURANTE EL PERIODO ACADÉMICO 2024-III, CORRESPONDIENTE AL BENEFICIO DE HASTA 89 ESTUDIANTES Y  ADICIONALMENTE EL 12% DE BENEFICIO INSTITUCIONAL, POR VALOR DE HASTA DOSCIENTOS CINCUENTA Y NUEVE  MILLONES CIENTO SESENTA Y OCHO MIL PESOS M/CTE ($259.168.000)</t>
  </si>
  <si>
    <t>FABIAN</t>
  </si>
  <si>
    <t>CIA-1694-2024</t>
  </si>
  <si>
    <t>FONDO DE DESARROLLO LOCAL DE CIUDAD BOLÍVAR</t>
  </si>
  <si>
    <t>PRESTAR LOS SERVICIOS PARA PROMOVER LA CONSTRUCCIÓN DE CIUDADANÍA, EL DESARROLLO DE CAPACIDADES DE LAS MUJERES Y EL RECONOCIMIENTO DE LAS LABORES DE CUIDADO, MEDIANTE ACCIONES QUE CONTRIBUYAN AL BIENESTAR FÍSICO, MENTAL Y EMOCIONAL DE LAS BENEFICIARIAS, EN EL MARCO DE UN NUEVO CONTRATO SOCIAL Y AMBIENTAL POR LAS MUJERES DE LA LOCALIDAD DE CIUDAD BOLÍVAR Y EL PLAN DE DESARROLLO LOCAL 2021-2024</t>
  </si>
  <si>
    <t>PRIMER PAGO  DEL 30% SEGUNDO AL NOVENO PAGO DEL 7.5% CADA UNO Y UN ULTIMO PAGO DEL 10%</t>
  </si>
  <si>
    <t xml:space="preserve">APROBACION POR DE LAS HOJAS DE VIDA POR PARTE DEL COMITE TÉCNICO </t>
  </si>
  <si>
    <t xml:space="preserve">JOHN FREDY GARCIA MARTINEZ
</t>
  </si>
  <si>
    <t xml:space="preserve">JOHN ALEJANDRO FORERO CASALLAS
</t>
  </si>
  <si>
    <t xml:space="preserve">LUCÍA ROJAS GORDILLO
</t>
  </si>
  <si>
    <r>
      <rPr>
        <sz val="11"/>
        <color rgb="FFFF0000"/>
        <rFont val="Aptos Narrow"/>
        <scheme val="minor"/>
      </rPr>
      <t xml:space="preserve">RECTORIA </t>
    </r>
    <r>
      <rPr>
        <sz val="11"/>
        <color rgb="FF000000"/>
        <rFont val="Aptos Narrow"/>
        <scheme val="minor"/>
      </rPr>
      <t>RESOLUCIÓN No. 097 DE 2025  DEL 12 DE FEBRERO DE 2025</t>
    </r>
  </si>
  <si>
    <t>CIA-1703-2024</t>
  </si>
  <si>
    <t>"PRESTAR LOS SERVICIOS PARA REALIZAR
FORMACIÓN A LA COMUNIDAD Y FORTALECIMIENTO A LAS ORGANIZACIONES SOCIALES,
COMUNITARIAS E INSTANCIAS DE PARTICIPACIÓN CIUDADANA Y PARA LA PROMOCIÓN,
FORTALECIMIENTO Y GENERACIÓN DE OPORTUNIDADES DE ACCESO DE JUSTICIA, LA PROMOCIÓN DE LA CONVIVENCIA CIUDADANA Y LA RESOLUCIÓN DE CONFLICTOS, EN EL
MARCO DEL PLAN DE DESARROLLO LOCAL 2021-2024 DE LA LOCALIDAD DE CIUDAD BOLÍVAR"</t>
  </si>
  <si>
    <t xml:space="preserve">PRIMER PAGO DE $731455799 CORRESPONDE 30%  DEL VALOR DEL APORTE POR LA PREVIA ENTREGA DE PLAN DE TRABAJO, CRONOGRAMA, EQUIPO HUMANO A CONTRATAR, FORMATOS DE SEGUIMIENTO, METODOLOGIA. EL SEGUNDO PAGO POR LA SUMA DE $1462911599 EQUIVALE AL 60% POR PAGOS MENSUALES DEL $243818600. UN ULTIMO PAGO DE 243818600 CORRESPONDIENTE AL 10%  POR ENTREGA DE INFORME FINAL </t>
  </si>
  <si>
    <t xml:space="preserve">YESID HERRERA
</t>
  </si>
  <si>
    <t>OSCAR HURTADO VERGEL</t>
  </si>
  <si>
    <t xml:space="preserve">CARLOS FERNANDO WILCHES CAÑON </t>
  </si>
  <si>
    <t>RESOLUCIÓN No. 014-2025 DEL 07 DE FEBRERO DE 2025</t>
  </si>
  <si>
    <t xml:space="preserve">POR DEFINIR </t>
  </si>
  <si>
    <t>CIA-1135-2024</t>
  </si>
  <si>
    <t>FONDO DE DESARROLLO LOCAL DE KENNEDY</t>
  </si>
  <si>
    <t>CONTRATAR LOS SERVICIOS TÉCNICOS, OPERATIVOS Y LOGÍSTICOS PARA LA REALIZACIÓN DE LAS ACTIVIDADES EN EL MARCO DE LA CONSTRUCCIÓN DE LOS ACUERDOS CIUDADANOS PARA EL USO DEL ESPACIO PÚBLICO, LA FORMALIDAD DE VENDEDORES INFORMALES Y VINCULACIÓN DE CIUDADANÍA CON VENDEDORES ESTACIONARIOS DE LA LOCALIDAD DE KENNEDY</t>
  </si>
  <si>
    <t>30% UNA PRIMERA TRANSFERENCIA SUJETO A LA ENTREGA DE PRODUCTOS DE LA FASE INICIAL DEL SE DÉ CUENTA DEL AVANCE FÍSICO Y FINANCIERO. UNA SEGUNDA TRANSFERENCIA DEL 10% CUMPLIMIENTO DEL 40%. UNA TERCERA TRANSFERENCIA DEL 10% CON UN CUMPLIMIENTO DEL 50%. UNA CUARTA TRANSFERENCIA POR EL CUMPLIMIENTO DE UN  60%. UNA QUINTA TRANSFERENCIA POR EL CUMPLIMIENTO DEL 70% Y UNA SEXTA TRANSFERENCIA POR EL CUMPLIMIENTO DEL 80% Y UNA SEPTIEMA TRANSFERENCIA POR EL CUMPLIMIENTO DEL 90%. UNA OCTAVA TRANSFERENCIA, SE DÉ CUENTA DEL AVANCE FÍSICO Y FINANCIERO 100% DEL CONTRATO.  UNA OCTAVA Y ÚLTIMA TRANSFERENCIA CORRESPONDIENTE AL 5% DE LA TOTALIDAD DE LOS APORTES DEL FDLK, A LA FIRMA DEL ACTA DE LIQUIDACIÓN DEL CONTRATO INTERADMINISTRATIVO.</t>
  </si>
  <si>
    <t>CARLOS EDUARDO CASTRO ORTIZ</t>
  </si>
  <si>
    <t>ASTRID XIMENA PARSONS DELGADO</t>
  </si>
  <si>
    <t>LAURA TATIANA BUSTOS ÁVILA</t>
  </si>
  <si>
    <t>RESOLUCIÓN No. 012- 2025 DEL 5 DE FEBRERO DE 2025</t>
  </si>
  <si>
    <t>CIA-1134-2024</t>
  </si>
  <si>
    <t>PRESTAR LOS SERVICIOS PROFESIONALES, TÉCNICOS, ADMINISTRATIVOS, FINANCIEROS Y LOGÍSTICOS PARA LA EJECUCIÓN DE ACCIONES QUE VINCULEN A LA COMUNIDAD EN PROCESOS DE CAPACITACIÓN Y FORTALECIMIENTO DE LA PARTICIPACIÓN CIUDADANA EN LA LOCALIDAD DE KENNEDY</t>
  </si>
  <si>
    <t>REALIZARÁ LOS PAGOS SEGÚN EL AVANCE FINANCIERO, EL CRONOGRAMA Y EL PLAN DE TRABAJO, PREVIA PRESENTACIÓN DE INFORMES TÉCNICOS, FINANCIEROS Y DE ACTIVIDADES CON SOPORTES, FACTURA LEGAL, CERTIFICACIÓN DE CUMPLIMIENTO, ACREDITACIÓN DE PAGOS AL SISTEMA DE SEGURIDAD SOCIAL, Y ACTA DE LIQUIDACIÓN (PARA EL ÚLTIMO PAGO), SUJETOS A LA PROGRAMACIÓN DEL PAC.</t>
  </si>
  <si>
    <t>JEISSON ANDRÉS PEREA GARCÍA</t>
  </si>
  <si>
    <t>JOHN ALEJANDRO FORERO CASALLAS</t>
  </si>
  <si>
    <t>MARÍA ALEJANDRA ABRIL MOLINA</t>
  </si>
  <si>
    <t xml:space="preserve">RESOLUCIÓN  No. 007- 2025 DEL 4 DE FEBRERO DE 2025
</t>
  </si>
  <si>
    <t>FDLF-CI-721-2024</t>
  </si>
  <si>
    <t>FONDO DE DESARROLLO LOCAL DE FONTIBON</t>
  </si>
  <si>
    <t>"CONTRATO INTERADMINISTRATIVO PARA DESARROLLAR EL FORTALECIMIENTO DE ORGANIZACIONES E INSTANCIAS DE
PARTICIPACIÓN A TRAVÉS DE ESPACIOS DE FORMACIÓN Y ACOMPAÑAMIENTO A LAS INICIATIVAS PRIORIZADAS EN LOS PRESUPUESTOS PARTICIPATIVOS, LOS LABORATORIOS NARP,
ESTRATÉGICAS DE CUIDADO PARA CUIDADORAS Y  EL DESARROLLO DE CAPACIDADES PARA EL EJERCICIO DE DERECHOS DE LAS MUJERES"</t>
  </si>
  <si>
    <t>PRIMER PAGO DEL 30% SUJETA A LA FASE INICIAL CONSISTE EN ENTREGA DE LA  PLANEACION Y ALISTAMIENTO, SELECCION EQUIPO DE TRABAJO, CONVOCATORIA. SEGUNDO PAGO DEL 20%  POR ENTREGA PARCIAL DE ACTIVIDADES REALIZADAS. TERCERA TRANSFERENCIA POR ENTREGA SEGUNDO INFORME PARCIAL DE ACTIVIDADES  QUE CUENTE CON AVANCE DEL 70% DEL CONTRATO.  EL CUARTO PAGO SUJETO A ENTREGA DEL TERCER INFORME QUE DE CUENTA DEL AVANCE FISICO Y FINANCIERO DEL 100%  UN QUINTO PAGO DEL 10% SUJETO  A LA FIRMA DEL ACTA DE LIQUIDACION DEL CONTRATO</t>
  </si>
  <si>
    <t>LISDANIA GORDILLO CASTILLO</t>
  </si>
  <si>
    <t>LUIS FERNANDO QUIJANO WILCHES</t>
  </si>
  <si>
    <t>PAOLA DAVILA MARTINEZ</t>
  </si>
  <si>
    <t xml:space="preserve">RESOLUCIÓN  No. 080- 2025 DEL 26 DE MARZO DE 2025
</t>
  </si>
  <si>
    <t>707-2024 CTO-INT</t>
  </si>
  <si>
    <t>FONDO DE DESARROLLO LOCAL DE BOSA</t>
  </si>
  <si>
    <t>PRESTAR LOS SERVICIOS DE FORMACIÓN PARA EL TRABAJO Y DESARROLLO HUMANO EN EL MARCO DE LOS PROYECTOS DE INVERSIÓN 1749 Y 1750, QUE BRINDEN CAPACIDADES Y COMPETENCIAS CON UN ENFOQUE DE PREVENCIÓN DE VIOLENCIAS PARA LA INCLUSIÓN PARTICIPATIVA DE LAS MUJERES DENTRO DE LOS DIVERSOS ESPACIOS CONSULTIVOS Y DECISORIOS DE LA LOCALIDAD DE BOSA”.</t>
  </si>
  <si>
    <t>CUATRO PAGOS: 
1,2 Y 3 - 30%
4 - 10%</t>
  </si>
  <si>
    <t>LUIS GABRIEL BARRIOS JIMENEZ</t>
  </si>
  <si>
    <t>WILSON GORDILLO THIRIAT</t>
  </si>
  <si>
    <t>CLAUDIA LILIANA CARO WILCHEZ</t>
  </si>
  <si>
    <t>RESOLUCIÓN  No. 071-2025 DEL 12 DE MARZO DE 2025</t>
  </si>
  <si>
    <t>414 DE 2024</t>
  </si>
  <si>
    <t>FONDO DE DESARROLLO LOCAL DE LA CANDELARIA</t>
  </si>
  <si>
    <t>AUNAR ESFUERZOS TECNICOS, ADMNISTRATIVOS, LOGÍSTICOS Y FINANCIEROS PARA REALIZAR EL DISEÑO E IMPLEMENTACIÓN DE ESTRATEGIAS QUE CONTRIBUYAN A LA GARANTÍA DE LOS DERECHOS DE LAS MUJERES, A PARTIR DE ACCIONES DE DESARROLLO DE CAPACIDADES Y, LA PREVENCION DE VIOLENCIA INTRAFAMILIAR Y/O SEXUAL EN LA LOCALIDAD DE LA CANDELARIA</t>
  </si>
  <si>
    <t>CUATRO PAGOS:
1- 20%
2- 30%
3- 30%
4- 20%</t>
  </si>
  <si>
    <t>APROBACION POR DE LAS HOJAS DE VIDA POR PARTE DEL COMITE TÉCNICO (YA APROBADO)</t>
  </si>
  <si>
    <t xml:space="preserve">DAVID ANDRES JIMINEZ </t>
  </si>
  <si>
    <t>SOL MERCEDES CASTRI BARBOSA</t>
  </si>
  <si>
    <t xml:space="preserve">ANDRES FELIPE SCHAFER CORREA </t>
  </si>
  <si>
    <t>RESOLUCIÓN No. 002-2025 DEL 17 DE ENERO DE 2025</t>
  </si>
  <si>
    <t>FDLSC-CVNI-1161-2024</t>
  </si>
  <si>
    <t>FONDO DE DESARROLLO LOCAL DE SAN CRISTOBAL</t>
  </si>
  <si>
    <t>AUNAR ESFUERZOS TECNICOS, ADMNISTRATIVOS, LOGÍSTICOS Y FINANCIEROS PARA PARA EJECUTAR ACCIONES DE ACOMPAÑAMIENTO TÉCNICO EN AGRICULTURA URBANA, PROCESOS CIUDADANOS DE EDUCACIÓN AMBIENTAL – PROCEDAS, PLANTACIÓN Y MANTENIMIENTO DE ARBOLADO Y JARDINERÍA, ASÍ COMO ACCIONES DE PROTECCIÓN Y BIENESTAR ANIMAL EN LA LOCALIDAD DE SAN CRISTÓBAL</t>
  </si>
  <si>
    <t>LOS DOS PRIMEROS PAGOS DEL 30% Y DOS PAGOS MÁS POR EL 20% CADA UNO</t>
  </si>
  <si>
    <t>SONIA NATHALIE CASTAÑO MORALES</t>
  </si>
  <si>
    <t xml:space="preserve">MAURICIO BUENO PINZÓN </t>
  </si>
  <si>
    <t xml:space="preserve">MARIA FERNANDO CASTRO                 VALENTINA MEJIA                                                    CARLOS MORENO </t>
  </si>
  <si>
    <t>RESOLUCIÓN No. 001-2025 DEL 17 DE ENERO DE 2025</t>
  </si>
  <si>
    <t>FDLBU-CI-515-2024</t>
  </si>
  <si>
    <t>FONDO DE DESARROLLO LOCAL DE BARRIOS UNIDOS - FDLBU</t>
  </si>
  <si>
    <t>AUNAR ESFUERZOS TÉCNICOS, ADMINISTRATIVOS Y FINANCIEROS ENTRE EL FONDO DE DESARROLLO LOCAL DE BARRIOS UNIDOS Y LA UNIVERSIDAD DISTRITAL FRANCISCO JOSÉ DE CALDAS PARA LLEVAR A CABO PROCESOS DE FORMACIÓN Y FORTALECIMIENTO INTEGRAL EN CULTURA CIUDADANA DIRIGIDOS A LA CIUDADANÍA EN GENERAL, ASÍ COMO A ORGANIZACIONES COMUNITARIAS, ORGANIZACIONES DE MUJERES Y AUTORIDADES LOCALES, CON EL PROPÓSITO DE FORTALECER LA CONVIVENCIA, LA AUTORREGULACIÓN, LA CORRESPONSABILIDAD, LA PARTICIPACIÓN CIUDADANA, LA GESTIÓN DE RIESGOS, LA SOSTENIBILIDAD Y EL EJERCICIO DE LOS DERECHOS DE LAS MUJERES, ENTRE OTROS ASPECTOS</t>
  </si>
  <si>
    <t>Se realizarán 5 (cinco) desembolsos del recurso aportado por el FDLBU a través de la Tesorería Distrital de Bogotá previa programación en el PAC</t>
  </si>
  <si>
    <t>NA</t>
  </si>
  <si>
    <t>JOHN ERVIN MORENO SEGURA</t>
  </si>
  <si>
    <t>ORLANDO GARCIA HURTADO</t>
  </si>
  <si>
    <t>ELIANA ISABETH CASTAÑEDA MONROY</t>
  </si>
  <si>
    <t>RESOLUCIÓN  No. 004-2025 DEL  20 DE ENERO DE 2025</t>
  </si>
  <si>
    <t>CIA-1160-2024</t>
  </si>
  <si>
    <t>"CONTRATAR LOS SERVICIOS TÉCNICOS, ADMINISTRATIVOS, FINANCIEROS Y LOGÍSTICOS, PARA LA EJECUCIÓN DE PROCESOS DE FORMACIÓN EN CONVIVENCIA, SEGURIDAD
CIUDADANA, RESILIENCIA, JUSTICIA COMUNITARIA, JUSTICIA INTEGRAL Y DESARROLLAR UNA ESTRATEGIA DE ACCIONES PEDAGÓGICAS DE SOCIALIZACIÓN DEL CÓDIGO NACIONAL DE
SEGURIDAD Y CONVIVENCIA CIUDADANA EN LA LOCALIDAD DE KENNEDY, DE ACUERDO CON LAS ESPECIFICACIONES DEL ANEXO TÉCNICO"</t>
  </si>
  <si>
    <t>CINCO PAGOS DE LA SIGUIENTE FORMA:
1 - 30%
2 - 20%
3 - 20%
4 - 20%
5 - 10%</t>
  </si>
  <si>
    <t>JHONN JORGE LASSO</t>
  </si>
  <si>
    <t>ROBINSON PACHECO GARCÍA</t>
  </si>
  <si>
    <t>KEVIN DAVID BENAVIDES ARIZA</t>
  </si>
  <si>
    <t>RESOLUCIÓN No. 034 DEL 25 DE FEBRERO DE 2025</t>
  </si>
  <si>
    <t>CIA-1156-2024</t>
  </si>
  <si>
    <t>"CONTRATAR SERVICIOS PARA LA PROMOCIÓN EN SALUD MENTAL, GOBERNANZA Y SALUD COLECTIVA ENFOCADOS EN PROCESOS DE ABORDAJE DE LA DISCAPACIDAD Y/O LA PREVENCIÓN, REDUCCIÓN DE RIESGOS Y DAÑOS ASOCIADOS AL CONSUMO DE SUSTANCIAS PSICOACTIVAS; MEDIANTE ESTRATEGIAS DE ACOMPAÑAMIENTO TÉCNICO, PEDAGÓGICO E INVESTIGATIVO GENERADAS POR LOS DISPOSITIVOS DE BASE COMUNITARIA (DBC)"</t>
  </si>
  <si>
    <t xml:space="preserve">PRIMERA PAGO DEL 30% POR ENTREGA FASE INCIIAL DEL PROYECTO COMO PLANEACION Y ALISTAMIENTO,  SELECCION EQUIPO BASE DE TRABAJO, CONVOCATORIA. SEGUNDO PAGO DEL 10% POR EL PRIMER INFORME DE ACTIVIDADES REALIZADAS DEL AVANCE DEL 40%. TERCER PAGO DEL 50% SUJETO A ENTREGA DE AVANCES DEL 50%. CUARTO PAGO DEL 10% POR ENTREGA DE AVANCES DEL 60%. QUINTO PAGO DEL 10% PRO ENTREGA DE AVANCE DEL 70%. SEXTO PAGO DEL 10% SUJETO ENTREGA DEL 80% DE AVANCES.  UN SEPTIMO PAGO DEL 10% SUJETO AL 90%. UN OCTAVO OAGO DEL 5% SUJETO A ENTREGA DEL AVANCE DEL 100% Y UNA NOVENA TRANSFERENCIA AL 5%  QUE CORRESPONDEN AL 5% DE LA TOTALIDAD DE LOS APORTES DEL FDLK, A LA FIRMA DDEL ACTA DE LIQUIDACION </t>
  </si>
  <si>
    <t xml:space="preserve">pendiente realizar acta de seguimiento 15 enero. cambiar fecha de minuta </t>
  </si>
  <si>
    <t>JHON FREDY GARCÍA MARTÍNEZ</t>
  </si>
  <si>
    <t>CARLOS ARTURO REINA RODRÍGUEZ</t>
  </si>
  <si>
    <t>ANGIE PILAR OLARTE</t>
  </si>
  <si>
    <t>RESOLUCIÓN No. 115 DEL 20 DE FEBRERO DE 2025</t>
  </si>
  <si>
    <t>583 DE 2024</t>
  </si>
  <si>
    <t>649. AUNAR ESFUERZOS CON EL FIN DE ADELANTAR EL DISEÑO, DESARROLLO E IMPLEMENTACIÓN DE LA ESTRATEGIA DE AMPLIACIÓN DE DIGITALIZACIÓN Y AUTOMATIZACIÓN DE PROCESOS MISIONALES EN EL MARCO DE LA TRANSFORMACIÓN DIGITAL PARA SOPORTAR LA TRANSICIÓN ENERGÉTICA DE LOS RECURSOS HIDROCARBURÍFEROS</t>
  </si>
  <si>
    <t>La ANH hará el pago de los recursos del convenio
de la siguiente manera:
La ANH pagará al contratista a través de las autorizaciones necesarias a la entidad
administradora del Patrimonio Autónomo, el valor del contrato $7.314.957.291 incluido IVA (SI
APLICA), previa presentación de las facturas y recibo a satisfacción de parte del Supervisor del
contrato por parte de la ANH. De acuerdo con la siguiente descripción:
1. Para el desarrollo del componente No. 1 por un valor de MIL CIENTO NOVENTA Y DOS
MILLONES OCHOCIENTOS DIECISEIS MIL NOVECIENTOS NOVENTA Y TRES PESOS
($1.192.816.993), se realizará en tres (3) desembolsos, así:
a. Cuando se acredite un avance técnico del 30% en la elaboración del producto del
componente No. 1, debidamente aprobado por el supervisor del Convenio, un desembolso
equivalente al 30% del valor del componente por valor de: TRESCIENTOS CINCUENTA Y
SIETE MILLONES OCHOCIENTOS CUARENTA Y CINCO MIL NOVENTA Y OCHO PESOS
($357.845.098) MONEDA LEGAL COLOMBIANA.
b. Cuando se acredite un avance técnico del 60% en la elaboración del producto del
componente No. 1, debidamente aprobado por el supervisor del Convenio, un desembolso
equivalente al 30% del valor del componente por valor de: TRESCIENTOS CINCUENTA Y
SIETE MILLONES OCHOCIENTOS CUARENTA Y CINCO MIL NOVENTA Y OCHO PESOS
($357.845.098) MONEDA LEGAL COLOMBIANA.
c. Cuando se acredite un avance técnico del 100% en la elaboración del producto del
componente No. 1, debidamente entregado y aprobado por el supervisor del Convenio, un
desembolso equivalente al 40% del valor del componente por valor de: CUATROCIENTOS
SETENTA Y SIETE MILLONES CIENTO VEINTISÉIS MIL SETECIENTOS NOVENTA Y
SIETE PESOS ($477.126.797) MONEDA LEGAL COLOMBIANA.</t>
  </si>
  <si>
    <t xml:space="preserve"> RAFAEL BALLESTEROS PINZÓN</t>
  </si>
  <si>
    <t>ANDRES ESCOBAR DIAZ</t>
  </si>
  <si>
    <t>JENNY PAOLA RODRIGUEZ RODRIGUEZ</t>
  </si>
  <si>
    <t>RESOLUCIÓN No. 089-2025 DEL 4 DE FEBRERO DE 2025</t>
  </si>
  <si>
    <t>ILUD25</t>
  </si>
  <si>
    <t>FOMENTAR EL DESARROLLO DE LAS HABILIDADES LINGÜÍSTICAS (ESCUCHA, HABLA, LECTURA Y ESCRITURA), ASÍ COMO LA COMPETENCIA GRAMATICAL EN EL MARCO DEL PROGRAMA PARA EL APRENDIZAJE DE LA LENGUA EXTRANJERA INGLÉS DIRIGIDO A DOCENTES DE LAS INSTITUCIONES EDUCATIVAS DISTRITALES DE LA CIUDAD DE BOGOTÁ D.C., CON MIRAS A CERTIFICARSE EN A2 O B1 DEL IDIOMA INGLÉS</t>
  </si>
  <si>
    <t>08-5-16001-25</t>
  </si>
  <si>
    <t>POLICÍA NACIONAL - DIRECCIÓN DE BIENESTAR SOCIAL Y FAMILIAR - DIBIE</t>
  </si>
  <si>
    <t>PRESTACIÓN DEL SERVICIO DE EDUCACIÓN PARA EL DESARROLLO DE ACTIVIDADES EDUCATIVAS EN LAS DIFERENTES ÁREAS BÁSICAS Y COMPETENCIAS DE LOS COLEGIOS DE LA POLICÍA NACIONAL - DIRECCIÓN DE BIENESTAR SOCIAL Y FAMILIA EN TODO EL TERRITORIO NACIONAL.</t>
  </si>
  <si>
    <t>PAGOS PARCIALES CONTRAPRESTACIÓN DEL SERVICIO DEL OBJETO CONTRACTUAL, REALIZANDO CORTE AL DÍA 15 DE CADA MES</t>
  </si>
  <si>
    <t>HENRY MAURICIO ORTIZ SALAMANCA</t>
  </si>
  <si>
    <t>RESOLUCIÓN No.054-2025 DEL 30 DE ENERO DE 2025</t>
  </si>
  <si>
    <t>FAC-ING- 8205</t>
  </si>
  <si>
    <t>PREUNIVERSITARIO PARA INGENIEROS 2025- OFERTAR PREUNIVERSITARIO PARA ASPIRANTES A CARRERAS DE INGENIERÍA Y OTRAS AFINES EN UNIVERSIDADES PÚBLICAS Y PRIVADAS</t>
  </si>
  <si>
    <t>POR MATRÍCULAS</t>
  </si>
  <si>
    <t>NAYIBE NIEVES PIMIENTO</t>
  </si>
  <si>
    <t>MYRIAM MORENO AMADO</t>
  </si>
  <si>
    <t>RESOLUCIÓN No. 017 DEL 13 DE FEBRERO DE 2025</t>
  </si>
  <si>
    <t>EXTRAORDINARIO 016 - 2024</t>
  </si>
  <si>
    <t>FAC-ASAB-8224-2025</t>
  </si>
  <si>
    <t>OFRECER A LA CIUDAD Y AL PAÍS UN ESPACIO PARA EL ACERCAMIENTO AL ARTE DANZARIO COMO PROFESIÓN, CON EL FIN DE SENSIBILIZAR A JÓVENES Y ADULTOS SOBRE DIVERSAS POSIBILIDADES CREATIVAS RELACIONADAS CON EL CUERPO Y EL MOVIMIENTO </t>
  </si>
  <si>
    <t>ANA CECILIA VARGAS</t>
  </si>
  <si>
    <t>RESOLUCIÓN No. 039 DEL 3 DE MARZO DE 2025</t>
  </si>
  <si>
    <t>C-056-2025</t>
  </si>
  <si>
    <t>PRESTAR LOS SERVICIOS DE ASESORIA, ACOMPAÑAMIENTO, APOYO TECNICO Y APLICACIÓN DE PRUEBAS DE CONOCIMIENTOS EN EL PROCESO DE CONCOVATORÍA PÚBLICA PARA PROVEER EL CARGO DE SECRETARIO GENERAL PARA LA ASAMBLEA DEPARTAMENTAL DEL CESAR, VIGENCIA 2025</t>
  </si>
  <si>
    <t>UN PRIMER PAGO EQUIVALENTE AL 50% DEL VALOR DEL CONTRATO, UNA VEZ PUBLICADO EL LISTADO PARCIAL DE ADMINITIDOS Y NO ADMITIDOS</t>
  </si>
  <si>
    <t>ACTA PENDIENTE</t>
  </si>
  <si>
    <t>ANDREA DEL PILAR BORJA CHAPARRO</t>
  </si>
  <si>
    <t>OMAR FRANCISCO PATIÑO SILVA</t>
  </si>
  <si>
    <t>80-7-10024-25</t>
  </si>
  <si>
    <t>POLICÍA NACIONAL - DIRECCIÓN DE EDUCACIÓN POLICIAL - DIEPO</t>
  </si>
  <si>
    <t>PRESTACIÓN DE SERVICIOS PROFESIONALES DE CAPACITACIÓN PARA EL DESARROLLO DE DIPLOMADOS, CURSOS Y SEMINARIOS PARA UNOS FUNCIONARIOS DE LA DIRECCIÓN DE EDUCACIÓN POLICIAL Y ESCUELAS DE POLICÍA</t>
  </si>
  <si>
    <t>PAGOS PARCIALES CONTRA PRESTACIÓN A CADA DIPLOMADO</t>
  </si>
  <si>
    <t>DIANA PATRICIA CARO WILCHES</t>
  </si>
  <si>
    <t xml:space="preserve">
CARLOS JAVIER MOSQUERA SUAREZ
</t>
  </si>
  <si>
    <t>RESOLUCIÓN No. 078 DEL 21 DE MARZO DE 2025</t>
  </si>
  <si>
    <t>CO1.PCCNTR.7685385-2025</t>
  </si>
  <si>
    <t>MINISTERIO DE EDUCACIÓN NACIONAL - MEN</t>
  </si>
  <si>
    <t>PRESTACIÓN DE SERVICIOS PARA APOYAR LA SUPERVISIÓN TÉCNICA, ADMINISTRATIVA, FINANCIERA Y JURÍDICA DE LOS CONTRATOS QUE SE EJECUTEN PARA LA OPERACIÓN GLOBAL DE LOS SERVICIOS TIC DEL MINISTERIO DE EDUCACIÓN NACIONAL Y FÁBRICA DE SOFTWARE</t>
  </si>
  <si>
    <t>10 PAGOS POR ENTREGABLES</t>
  </si>
  <si>
    <t>9 MESES Y 1 DÍA</t>
  </si>
  <si>
    <t>APROBACION POR DE LAS HOJAS DE VIDA POR PARTE DEL COMITE TÉCNICO (YA APROBADO)
ACTA DE INICIO PENDIENTE DE FIRMA DE LA ENTIDAD</t>
  </si>
  <si>
    <t xml:space="preserve">YA FUERON ENVIADOS A REVISIÓN POR LA ENTIEDAD </t>
  </si>
  <si>
    <t xml:space="preserve">LEONARDO EMIRO CONTRERAS BRAVO </t>
  </si>
  <si>
    <t>STD-CD-CI-087-2025</t>
  </si>
  <si>
    <t>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t>
  </si>
  <si>
    <t>PAGOS MENSUALES DE:
1- 21,8%
2- 21,8%
3-4-5-6-7- 10%</t>
  </si>
  <si>
    <t>CI-0720-2025</t>
  </si>
  <si>
    <t>INTERVENTORIA TÉCNICA, ADMINISTRATIVA, FINANCIERA Y JURÍDICA DEL PROGRAMA DE ALIMENTACION ESCOLAR, PAE PARA EL CAMBIO DE LOS 28 MUNICIPIOS NO CERTIFICADOS DE LA SUBREGIÓN SUR Y CENTRO, SUBREGIÓN NORTE Y RIO DEL DEPARTAMENTO DEL MAGDALENA VIGENCIA 2025</t>
  </si>
  <si>
    <t>1- 30%
DEMÁS PAGOS POR ACTAS SEGÚN ENTREGABLES</t>
  </si>
  <si>
    <t>6 MESE Y 6 DÍAS</t>
  </si>
  <si>
    <t>PENDIENTE DE CORRECCIÓN AL PLAZO DE EJECUCIÓN PARA SUBIR DOCUMENTACIÓN AL SIEXUD</t>
  </si>
  <si>
    <t>PAGOS POR PORCENTAJES:
1- 21%
2- 20%
3- 20%
4- 20%
5- 19%</t>
  </si>
  <si>
    <t>NÚMERO INTERNO SIEXUD</t>
  </si>
  <si>
    <t># CONTRATO</t>
  </si>
  <si>
    <t>ADICIÓN APORTE ENTIDAD</t>
  </si>
  <si>
    <t>ADICIÓN CONTRAPARTIDA</t>
  </si>
  <si>
    <t>OBJETO2</t>
  </si>
  <si>
    <t>PRESUPUESTO V 2 MODIFICACIÓN PRESUPUESTO V 2 (Aprobado el día 18/10/2023 por el Comité Central de Extensión) (OTRO PORCENTAJE DE BENEFICIO)</t>
  </si>
  <si>
    <t>BENEFICIO INSTITUCICONAL 12,43% APROBADO PRESUPUESTO V1</t>
  </si>
  <si>
    <t>80740-021-2023</t>
  </si>
  <si>
    <t>MINISTERIO DE CIENCIA, TECNOLOGÍA E INNOVACIÓN</t>
  </si>
  <si>
    <t>OTORGAR APOYO ECONÃ“MICO A LA ENTIDAD EJECUTORA EN LA MODALIDAD DE FINANCIAMIENTO DE RECUPERACIÃ“N CONTINGENTE PARA LA FINANCIACIÃ“N DEL PROYECTO " FORTALECIMIENTO DE LA GESTIÃ“N E IMPACTO EDITORIAL DE LAS REVISTAS CIENTÃFICAS EDITADAS POR LA UNIVERSIDAD DISTRITAL FRANCISCO JOSÃ‰ DE CALDAS INDEXADAS EN CATEGORÃA B, PERIODO 2022-2023. CÃ“DIGO 92195</t>
  </si>
  <si>
    <t>IMC-005 DE 2024</t>
  </si>
  <si>
    <t>CONCEJO DE GONZÁLEZ CONCEJO MUNICIPAL</t>
  </si>
  <si>
    <t>UN UNICO PAGO DEL 100%</t>
  </si>
  <si>
    <t>FECHA INICIAL DE FINALIZACIÓN:
27/12/2024
PRÓRROGA N. 1:
28/02/2025</t>
  </si>
  <si>
    <t>ANSV-036-2025</t>
  </si>
  <si>
    <t>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t>
  </si>
  <si>
    <t>PAGOS POR ENTREGABLES:
6 PAGOS</t>
  </si>
  <si>
    <t>CONVENIO DE COOPERACION No. 004 DE 2025</t>
  </si>
  <si>
    <t>CORPORACIÓN AUTÓNOMA REGIONAL DE LOS VALLES DEL SINÚ Y DEL SAN
JORGE – CVS</t>
  </si>
  <si>
    <t>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t>
  </si>
  <si>
    <t>PAGOS POR PORCENTAJES:
1- 40%
2- 30%
3- 20%
4- 10%</t>
  </si>
  <si>
    <t>ANSV-035-2025</t>
  </si>
  <si>
    <t>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t>
  </si>
  <si>
    <t>PAGO POR PORCENTAJES:
1- 5%
2- 25%
3- 10%
4- 30%
5- 15%
6- 10%
7- 5%</t>
  </si>
  <si>
    <t>CORREO PRINCIPAL DEL PROYECTO</t>
  </si>
  <si>
    <t>RELEVANCIA TIEMPO</t>
  </si>
  <si>
    <t>RELEVANCIA MONTO</t>
  </si>
  <si>
    <t>PRIORIZACIÓN POR RELEVANCIA</t>
  </si>
  <si>
    <t>TIEMPO TOTAL 
(MESES)</t>
  </si>
  <si>
    <t>TIEMPO INICIAL
(DÍAS)</t>
  </si>
  <si>
    <t>SUSPENSIÓN
(DÍAS)</t>
  </si>
  <si>
    <t>PRÓRROGA
(DÍAS)</t>
  </si>
  <si>
    <t>DÍAS EJECUTADOS</t>
  </si>
  <si>
    <t>ADICIÓN APORTE ENTIDAD 2025</t>
  </si>
  <si>
    <t>ADICIÓN CONTRAPARTIDA 2025</t>
  </si>
  <si>
    <t>MATRÍZ DE RIESGO</t>
  </si>
  <si>
    <t>SIN BENEFICIO INSTITUCIONAL</t>
  </si>
  <si>
    <t>PRESUPUESTO V 2 MODIFICACIÓN PRESUPUESTO V 2 (Aprobado el día 18/10/2023 por el Comité Central de Extensión) (OTRO PORCENTAJE DE BENEFICIO) 1%
MODIFICATORIO N. 2
4 MESES ADICIONALES
FECHA DE TERMINACIÓN ANTERIOR: 27/01/2023</t>
  </si>
  <si>
    <t>NELSON EDUARDO RODRÍGUEZ MONTAÑA</t>
  </si>
  <si>
    <t>RESOLUCIÓN No. 80-2022 DEL 25 DE FEBRERO DE 2022</t>
  </si>
  <si>
    <t>SEGUIMIENTO DE PROYECTO DESDE LA OFICINA DE INVESTIGACIONES
(CENTRO DE INVESTIGACIONES Y DESARROLLO CIENTÍFICO)
ACTA DE INICIO 27/01/2023 REVISAR
- SIN BENEFICIO INSITITUCIONAL</t>
  </si>
  <si>
    <t>NELSON ENRIQUE VERA PARRA</t>
  </si>
  <si>
    <t>RESOLUCIÓN No. 608-2022 DEL 03 DE NOVIEMBRE DE 2022</t>
  </si>
  <si>
    <t>SECRETARÍA DISTRITAL DE DESARROLLO ECONÓMICO</t>
  </si>
  <si>
    <t>SIN BENEFICIO DE COOPERACIÓN (CONVENIO DE COOPERACIÓN)</t>
  </si>
  <si>
    <t>HENRY MONTAÑA QUINTERO</t>
  </si>
  <si>
    <t>DANIELA ZULUAGA ANGULO</t>
  </si>
  <si>
    <t>RESOLUCIÓN No. 08-2022 DEL 5 DE ENERO DE 2022</t>
  </si>
  <si>
    <t>SIN BENEFICIO INSTITUCIONAL (CONVENIO DE COOPERACIÓN)</t>
  </si>
  <si>
    <t>ANGELA PARRADO ROSSELLI</t>
  </si>
  <si>
    <t>RESOLUCIÓN No. 108-2023 DEL 18 DE ABRIL DE 2023</t>
  </si>
  <si>
    <t xml:space="preserve">N/A </t>
  </si>
  <si>
    <t>LORENA CAMACHO SOLANO</t>
  </si>
  <si>
    <t>HAROLD VACA GONZALEZ</t>
  </si>
  <si>
    <t>JUDDY YINET MORALES PEÑA</t>
  </si>
  <si>
    <t>RESOLUCIÓN No. 407-2023 DEL 01 DE NOVIEMBRE DE 2023</t>
  </si>
  <si>
    <t>SIN IDENFICACIÓN EN SECOP II</t>
  </si>
  <si>
    <t>DANIEL FERNANDO PIRAQUIVE PIRAQUIVE</t>
  </si>
  <si>
    <t>RESOLUCIÓN No. 661-2023 DEL 07 DE DICIEMBRE DE 2023</t>
  </si>
  <si>
    <t>Dilof225ofex@udistrital.edu.co</t>
  </si>
  <si>
    <t>ANGELICA PAOLA BARBOSA CUERVO</t>
  </si>
  <si>
    <t>NO APLICA PARA 2024</t>
  </si>
  <si>
    <t>Dilof125ofex@udistrital.edu.co</t>
  </si>
  <si>
    <t>N/A
(Director de interventorìa es por SAR)</t>
  </si>
  <si>
    <t>ci593idpc25ofex@udistrital.edu.co</t>
  </si>
  <si>
    <t>FECHA INICIAL DE FINALIZACIÓN:
08/06/2025
PRÓRROGA N. 1:
23/08/2025</t>
  </si>
  <si>
    <t>CAROL JANNETH AZA ENCISO</t>
  </si>
  <si>
    <t>FECHA INICIAL DE TERMINACIÓN:
26/06/2025
PRÓRROGA N. 1:
26/09/2025</t>
  </si>
  <si>
    <t>ci1135kennedy25ofex@udistrital.edu.co</t>
  </si>
  <si>
    <t>ci721fontibon25ofex@udistrital.edu.co</t>
  </si>
  <si>
    <t>ANGIE PILAR OLARTE ORTEGA</t>
  </si>
  <si>
    <t xml:space="preserve">NO APLICA PARA 2024 </t>
  </si>
  <si>
    <t>i515fdlbu24ofex@udistrital.edu.co</t>
  </si>
  <si>
    <t>gerenteanh58325ofex@udistrital.edu.co</t>
  </si>
  <si>
    <t>localidadbosa25ofex@udistrital.edu.co</t>
  </si>
  <si>
    <t>FECHA INICIAL DE FINALIZACIÓN:
22/07/2025
PRÓRROGA N. 1:
30/09/2025</t>
  </si>
  <si>
    <t>sancristobal1161.cge@udistrital.edu.co</t>
  </si>
  <si>
    <t>ci1160kennedy25ofex@udistrital.edu.co</t>
  </si>
  <si>
    <t>candelaria414.cge@udistrital.edu.co</t>
  </si>
  <si>
    <t>DANIEL FRANCISCO PATIÑO SANCHEZ</t>
  </si>
  <si>
    <t>ZAMIR MATURANA CORDOBA</t>
  </si>
  <si>
    <t>MONICA MONROY CONTRERAS</t>
  </si>
  <si>
    <t>RESOLUCIÓN No. 085-2024 DEL 26 DE MARZO DE 2024</t>
  </si>
  <si>
    <t xml:space="preserve">ALEJANDRO MURAD PEDRAZA </t>
  </si>
  <si>
    <t>JASBLEIDY PALACIOS RINCÓN</t>
  </si>
  <si>
    <t>30/04/2024</t>
  </si>
  <si>
    <t>15/05/2024</t>
  </si>
  <si>
    <t>20/05/2024</t>
  </si>
  <si>
    <t>PERSONERÍA DE BOGOTÁ D.C.</t>
  </si>
  <si>
    <t>ADICIÓN Y PRÓRROGA</t>
  </si>
  <si>
    <t>HERNÁN JAVIER RIVEROS SOLORZANO</t>
  </si>
  <si>
    <t>DARÍO BONILLA ISAZA</t>
  </si>
  <si>
    <t>ANGGIE STHEFANIA GOMEZ ALBARADO</t>
  </si>
  <si>
    <t>RESOLUCIÓN No. 190-2024 DEL 02 DE JULIO DE 2024</t>
  </si>
  <si>
    <t>RESOLUCIÓN No. 251-2024 DEL 20 DE AGOSTO DE 2024</t>
  </si>
  <si>
    <t>FECHA INICIAL DE FINALIZACIÓN:
31/12/2024
PRÓRROGA N. 1:
02/03/2025
PRÓRROGA N. 2:
15/04/2025</t>
  </si>
  <si>
    <t>ALEXANDRA MENDOZA UJUETA</t>
  </si>
  <si>
    <t>ANSELMO VEGA VEGA</t>
  </si>
  <si>
    <t>CARLOS ANDRES CAICEDO GONZALEZ</t>
  </si>
  <si>
    <t>RESOLUCIÓN No. 293-2024 DEL 13 DE SEPTIEMBRE DE 2024</t>
  </si>
  <si>
    <t>GLORIA MATILDE CARRANZA INFANTE</t>
  </si>
  <si>
    <t>RESOLUCIÓN No. 342-2024 DEL 22 DE OCTUBRE DE 2024</t>
  </si>
  <si>
    <t>MANUEL BERNAL MARTINEZ</t>
  </si>
  <si>
    <t>RESOLUCIÓN No. 260-2024 DEL 21 DE AGOSTO DE 2024</t>
  </si>
  <si>
    <t>JANYS MARIET PALADINES CABRERA</t>
  </si>
  <si>
    <t>RESOLUCIÓN No. 261-2024 DEL 21 DE AGOSTO DE 2024</t>
  </si>
  <si>
    <t>CAMILO ANDRÉS ORDOÑEZ ROBAYO</t>
  </si>
  <si>
    <t>RESOLUCIÓN No. 1763-2024 DEL 6 DE JUNIO DE 2024</t>
  </si>
  <si>
    <t>DUBIAN DARIO GALLEGO HERNANDEZ</t>
  </si>
  <si>
    <t>RESOLUCIÓN No. 177-2024 DEL 6 DE JUNIO DE 2024</t>
  </si>
  <si>
    <t>JUAN CARLOS FIGUEROA GARCÍA</t>
  </si>
  <si>
    <t>OSCAR LEONARDO CELY GRANADOS</t>
  </si>
  <si>
    <t>RESOLUCIÓN No. 254-2024 DEL 20 DE AGOSTO DE 2024</t>
  </si>
  <si>
    <t>N/A POR SAR</t>
  </si>
  <si>
    <t>YENY ANDREA MELO SALAZAR</t>
  </si>
  <si>
    <t>AURA YOLANDA DIAZ LOZANO</t>
  </si>
  <si>
    <t>YENNY ARDILA SOLER</t>
  </si>
  <si>
    <t>RESOLUCIÓN No. 301-2024 DEL 20 DE SEPTIEMBRE DE 2024</t>
  </si>
  <si>
    <t>FECHA INICIAL DE FINALIZACIÓN: 
31/12/2024
OTRO SÍ N. 1:
30/04/2025</t>
  </si>
  <si>
    <t>CLAUDIA MABEL MORENO PENAGOS</t>
  </si>
  <si>
    <t>YEIMMY JENIFFER KATERINE SANCHEZ OSPINA</t>
  </si>
  <si>
    <t>RESOLUCIÓN No. 304-2024 DEL 26 DE SEPTIEMBRE DE 2024</t>
  </si>
  <si>
    <t>CINT-448-2024</t>
  </si>
  <si>
    <t>PAOLA ANDREA PALACIOS SABOGAL</t>
  </si>
  <si>
    <t>JAVIER ALONSO PEREZ CUBIDEZ</t>
  </si>
  <si>
    <t>GABRIELA TORRES GÓMEZ</t>
  </si>
  <si>
    <t>RESOLUCIÓN No. 365-2024 DEL 30 DE OCTUBRE DE 2024</t>
  </si>
  <si>
    <t>JOHANNA LIZETH SILVA ABRIL</t>
  </si>
  <si>
    <t>HANZ PLATA MARTINEZ</t>
  </si>
  <si>
    <t>SERGIO ANDRES SILVA ABRIL</t>
  </si>
  <si>
    <t>RESOLUCIÓN No. 371-2024 DEL 14 DE NOVIEMBRE DE 2024</t>
  </si>
  <si>
    <t>NELSON JOSE OROZCO SALGADO</t>
  </si>
  <si>
    <t>PABLO EMILIO GERZON CARREÑO</t>
  </si>
  <si>
    <t>YEIMMY JENIFFER SANCHEZ OSPINA</t>
  </si>
  <si>
    <t>PRESTACIÓN DE SERVICIOS DE ASESORÍA TÉCNICA, JURÍDICA Y APOYO LOGISTO PARA EL DESARROLLO DEL PROCESO DE CONCURSO DE MÉRITOS PARA LA ELECCIÓN DEL PERSONERO MUNICIPAL DE GONZÁLEZ - CESAR, PARA EL PERIODO INSTITUCIONAL 2024 - 2028.</t>
  </si>
  <si>
    <t>MILENA  CUCUNUBA CORREA</t>
  </si>
  <si>
    <t>JUAN GABRIEL LOMBANA URZOLA</t>
  </si>
  <si>
    <t>JOSE IGNACIO PALACIOS OSMA</t>
  </si>
  <si>
    <t>RESOLUCIÓN No. 006-2025 DEL 27 DE ENERO DE 2025</t>
  </si>
  <si>
    <t>ADICIÓN Y PRÓRROGA PENDIENTE DE APROBACIÓN DE PARTE DE LA ENTIDAD</t>
  </si>
  <si>
    <t>ci1694cbolivar25ofex@udistrital.edu.co</t>
  </si>
  <si>
    <t>JOHN FREDY GARCIA MARTINEZ</t>
  </si>
  <si>
    <t>YISEL ESPEJO GELACIO</t>
  </si>
  <si>
    <t>REVISAR NEXTCLOUD</t>
  </si>
  <si>
    <t>ci1704magdalena24ofex@udistrital.edu.co</t>
  </si>
  <si>
    <t>LIQUIDADO</t>
  </si>
  <si>
    <t>FECHA INICIAL DE FINALIZACIÓN:
10/04/2025
MODIFICATORIO N. 1:
10/05/2025
SUSPENSIÓN N. 1:
2 MESES HASTA 22/06/2025
PROYECTO LIQUIDADO BILATERALMENTE EN $0 EJECUTADO, PORQUE DEPENDÍA DE UN TERCERO</t>
  </si>
  <si>
    <t>ci1703cbolivar25ofex@udistrital.edu.co</t>
  </si>
  <si>
    <t>ALEXANDRA MONTOYA GONZALEZ (NUEVA)</t>
  </si>
  <si>
    <t>ci1134kennedy25ofex@udistrital.edu.co</t>
  </si>
  <si>
    <t>secretariocesar25ofex@udistrital.edu.co</t>
  </si>
  <si>
    <t>RESOLUCIÓN No. 103 DEL 8 DE ABRIL DE 2025</t>
  </si>
  <si>
    <t>ci5385mineducacion25ofex@udistrital.edu.co</t>
  </si>
  <si>
    <t>JAVIER ALEJANDRO PEREIRA VARGAS</t>
  </si>
  <si>
    <t>LUIS CARLOS BALLESTEROS ROSERO</t>
  </si>
  <si>
    <t>RESOLUCIÓN No. 083-2025 DEL 28 DE MARZO DE 2025</t>
  </si>
  <si>
    <t>ci0024diplomados25ofex@udistrital.edu.co</t>
  </si>
  <si>
    <t xml:space="preserve">
CARLOS JAVIER MOSQUERA SUAREZ</t>
  </si>
  <si>
    <t>RESOLUCIÓN No. 078-2025 DEL 21 DE MARZO DE 2025</t>
  </si>
  <si>
    <t>ci296bancomundial25ofex@udistrital.edu.co</t>
  </si>
  <si>
    <t>BRINDAR UN DIPLOMADO EN GESTION PRACTICA DEL SUELO Y REGISTRO CATASTRAL MULTIPROPOSITO A 40 SERVIDORES PUBLICOS Y PERSONAL MUNICIPAL INVOLUCRADO EN EL PROGRAMA, ASI COMO A LAS ENTIDADES SOCIAS DE CIUDATA, CON EL OBJETIVO DE FORTALECER LAS CAPACIDADES DE LOS ACTORES EN ESTAS AREAS</t>
  </si>
  <si>
    <t>PAGO POR PORCENTAJES:
1- 20%
2- 30%
3- 30%
4- 20%</t>
  </si>
  <si>
    <t>NELSON FABIÁN FUENTES LÓPEZ</t>
  </si>
  <si>
    <t>KAREN PATRICIA RIBÓN RODRÍGUEZ</t>
  </si>
  <si>
    <t>RESOLUCIÓN No. 123-2025 DEL 30 DE ABRIL DE 2025</t>
  </si>
  <si>
    <t>80-7-10035-25</t>
  </si>
  <si>
    <t>DOS PAGOS EN CONTRAPRESTACIÓN, CADA UNO POR VALOR DEL 50% DEL VALOR DEL CONTRATO</t>
  </si>
  <si>
    <t>ALEXANDER BENAVIDES GUEVARA</t>
  </si>
  <si>
    <t>JOHAN SEBASTIAN VELA SALAZAR</t>
  </si>
  <si>
    <t>RESOLUCIÓN No. 176-2025 DEL 22 DE MAYO DE 2025</t>
  </si>
  <si>
    <t>ci366hacienda25ofex@udistrital.edu.co</t>
  </si>
  <si>
    <t>MARÍA YANNETH ÁLVAREZ ÁLVAREZ</t>
  </si>
  <si>
    <t>DEIVI STIVEN AMAYA RODRÍGUEZ</t>
  </si>
  <si>
    <t>RESOLUCIÓN No. 113-2025 DEL 14 DE ABRIL DE 2025</t>
  </si>
  <si>
    <t>ci0720gmagdalena25ofex@udistrital.edu.co</t>
  </si>
  <si>
    <t>ACTA DE INICIO POR FIRMA DEL SUPERVISOR DE LA ENTIDAD</t>
  </si>
  <si>
    <t xml:space="preserve">JOSE FERNANDO BALLESTAS VILLEGAS </t>
  </si>
  <si>
    <t>JULIAN RONALDO CAMARGO LÓPEZ</t>
  </si>
  <si>
    <t>SERGIO ESTEBAN PINTO ARIAS</t>
  </si>
  <si>
    <t>RESOLUCIÓN No. 238-2025 DEL 23 DE ABRIL DE 2025</t>
  </si>
  <si>
    <t>ci036ANSV25ofex@udistrital.edu.co</t>
  </si>
  <si>
    <r>
      <rPr>
        <sz val="11"/>
        <color rgb="FFFF0000"/>
        <rFont val="Aptos Narrow"/>
        <scheme val="minor"/>
      </rPr>
      <t xml:space="preserve">RECTORIA </t>
    </r>
    <r>
      <rPr>
        <sz val="11"/>
        <color rgb="FF000000"/>
        <rFont val="Aptos Narrow"/>
        <scheme val="minor"/>
      </rPr>
      <t>RESOLUCIÓN No. 252 DE 2025  DEL 05 DE MAYO DE 2025</t>
    </r>
  </si>
  <si>
    <t>ci087gcundinamarca25ofex@udistrital.edu.co</t>
  </si>
  <si>
    <t>CARLOS ANDRÉS PIÑEROS</t>
  </si>
  <si>
    <t>JULIÁN RONALDO CAMARGO LÓPEZ</t>
  </si>
  <si>
    <t>JUAN PABLO NAVAS SOLANO</t>
  </si>
  <si>
    <t>RESOLUCIÓN No. 129-2025 DEL 6 DE MAYO DE 2025</t>
  </si>
  <si>
    <t>5932 DE 2025</t>
  </si>
  <si>
    <t>ci932utp25ofex@udistrital.edu.co</t>
  </si>
  <si>
    <t>PRESTAR SERVICIOS DE ASESORÍA Y FORMACIÓN PARA LA CONSTRUCCIÓN DE LOS DOCUMENTOS DE SOLICITUD DE CREACIÓN DEL REGISTRO CALIFICADO Y DEL PROYECTO EDUCATIVO DEL DOCTORADO EN ENSEÑANZA DE LAS CIENCIAS, LA TECNOLOGÍA Y LA INNOVACIÓN (DECTI) DE LA UNIVERSIDAD TECNOLÓGICA DE PEREIRA</t>
  </si>
  <si>
    <t>DOS PAGOS POR LA MITAD DE PRECIO SEGÚN ENTREGABLES</t>
  </si>
  <si>
    <t>NO SE ENCUENTRA EN SECOP II</t>
  </si>
  <si>
    <t>SOFIA ESTRADA BABATIVA / AUXILIAR TÉCNICO</t>
  </si>
  <si>
    <t>MARÍA EUGENIA CALDERÓN</t>
  </si>
  <si>
    <t>RESOLUCIÓN No. 206-2025 DEL 18 DE JUNIO DE 2025</t>
  </si>
  <si>
    <t>14/07/2025 - Auxiliar Técnico</t>
  </si>
  <si>
    <t>contralorpasto25ofex@udistrital.edu.co</t>
  </si>
  <si>
    <t>LA UNIVERSIDAD, en su condition de consultor, ADELANTARA EL PROCESO DE CONVOCATORIA PUBLICA PREVIO A LA ELECCION DE CONTRALOR (A)
MUNICIPAL DE PASTO PARA EL PERIODO 2026 A 2029, CON EL OBJETO DE  DISENAR,
EJECUTAR, EVALUAR Y CONSOLIDAR LOS RESULTADOS DE DICHA CONVOCATORIA, PARA ENTREGAR A LA MESA DIRECTIVA DEL CONTRATANTE, la LISTA CON EL PUNTAJE FINAL CONSOLIDADO DE LOS ASPIRANTES QUE CUMPLAN LOS REQUISITOS PARA CONTRALOR (A) MUNICIPAL DE PASTO.</t>
  </si>
  <si>
    <t>FECHA INICIAL DE FINALIZACIÓN:
18/09/2025
PRÓRROGA N. 1:
20/10/2025</t>
  </si>
  <si>
    <t>CESAR ANDREY PERDOMO CHARRY</t>
  </si>
  <si>
    <t>ANA MARÍA CHAVARRO MÉNDEZ</t>
  </si>
  <si>
    <t>RESOLUCIÓN No. 112-2025 DEL 19 DE FEBRERO DE 2025 (JEFE OFICINA DE EXTENSIÓN)</t>
  </si>
  <si>
    <t>296 DE 2025</t>
  </si>
  <si>
    <t>mincit29625ofex@udistrital.edu.co</t>
  </si>
  <si>
    <t>EJECUTAR PROGRAMAS DE FORMACIÓN EN IDIOMAS CON EL FIN DE DESARROLLAR Y FORTALECER COMPETENCIAS EN UNA SEGUNDA LENGUA, DIRIGIDO LOS FUNCIONARIOS DEL MINISTERIO Y SU NÚCLEO FAMILIAR</t>
  </si>
  <si>
    <t>PAGOS BIMESTRALES DE CONFORMIDAD CON LOS CURSOS REALIZADOS Y CULMINADOS DURANTE EL PERIODO DE EJECUCIÓN</t>
  </si>
  <si>
    <t>CARLOS ANDRÉS CÁCERES RODRIGUEZ</t>
  </si>
  <si>
    <t>HÉCTOR JAVIER FUENTES LÓPEZ</t>
  </si>
  <si>
    <t>DANIEL LEANDRO HERRERA RAMOS</t>
  </si>
  <si>
    <t>RESOLUCIÓN No. 213-2025 DEL 1 DE JULIO DE 2025</t>
  </si>
  <si>
    <t>dibie2025ofex@udistrital.edu.co</t>
  </si>
  <si>
    <t>p8224asab25ofex@udistrital.edu.co</t>
  </si>
  <si>
    <t>12% TOTAL DE LAS MATRÍCULAS</t>
  </si>
  <si>
    <t>FAC-TECNO-8227</t>
  </si>
  <si>
    <t>tecnodiplomados25ofex@udistrital.edu.co</t>
  </si>
  <si>
    <t>DESARROLLAR DIPLOMADOS EN LOS CUALES LOS PARTICIPANTES ADQUIERAN O ACTUALICEN LOS CONOCIMIENTOS BÁSICOS NECESARIOS PARA PARTICIPAR EN EL DESARROLLO DE LOS PROCESOS, LA MEJORA CONTINUA Y EL CUMPLIMIENTO DE LOS OBJETIVOS EN SUS LUGARES DE TRABAJO</t>
  </si>
  <si>
    <t>DIANA ROCIO RAMIREZ LEGUIZAMON</t>
  </si>
  <si>
    <t>RESOLUCIÓN No.024-2025 DEL 19 DE FEBRERO DE 2025</t>
  </si>
  <si>
    <t>NO APLICA PARA CONTRATACIONES CON LA MISMA UNIVERSIDAD</t>
  </si>
  <si>
    <t>preuniversitarios_25ofex@udistrital.edu.co</t>
  </si>
  <si>
    <t>ci035ansv25ofex@udistrital.edu.co</t>
  </si>
  <si>
    <t>RODRIGO ALMEIDA MORA</t>
  </si>
  <si>
    <t>MAURICIO BUENO PINZON</t>
  </si>
  <si>
    <t>ERIC DAVID GARCIA ARIZA</t>
  </si>
  <si>
    <t>RESOLUCIÓN No. 124-2025 DEL 30 DE ABRIL DE 2025</t>
  </si>
  <si>
    <t>ci004carsinu25ofex@udistrital.edu.co</t>
  </si>
  <si>
    <t>JOSÉ ALEJANDRO MURAD PEDRAZA</t>
  </si>
  <si>
    <t>DIANA JASBLEIDY PALACIOS RINCÓN</t>
  </si>
  <si>
    <t>RESOLUCIÓN No. 120-2025 DEL 22 DE ABRIL DE 2025</t>
  </si>
  <si>
    <t xml:space="preserve">	CD-CON-INTER-004-180</t>
  </si>
  <si>
    <t xml:space="preserve">	ALCALDIA MUNICIPAL DE GUASCA</t>
  </si>
  <si>
    <t>ci180guasca25ofex@udistrital.edu.co</t>
  </si>
  <si>
    <t xml:space="preserve">	PRESTACIÓN DE SERVICIOS PROFESIONALES PARA FORMACIÓN Y CAPACITACIÓN A LOS ESTUDIANTES DE LAS INSTITUCIONES EDUCATIVAS DEL MUNICIPIO PARA LA PRESENTACIÓN DE LA PRUEBA SABRE 11- 2025, EN EJECUCIÓN DEL PROYECTO DE "BENEFICIAR AL 100 % DE LOS ESTUDIANTES DE GRADO ONCE DE LAS IED CON EL PROGRAMA DE PREICFES</t>
  </si>
  <si>
    <t>PAGO POR PORCENTAJES:
1- 60%
2- 35%
3- 5%</t>
  </si>
  <si>
    <t xml:space="preserve"> DIANA KATHARINE HERNANDEZ LEAL</t>
  </si>
  <si>
    <t>CECILIA RINCON VERDUGO</t>
  </si>
  <si>
    <t>LORELY RACHEL CANTRERA BAÑOS</t>
  </si>
  <si>
    <t>RESOLUCIÓN No. 131-2025 DEL 07 DE MAYO DE 2025</t>
  </si>
  <si>
    <t>CI-307-2025</t>
  </si>
  <si>
    <t>ci307lacalera_25ofex@udistrital.edu.co</t>
  </si>
  <si>
    <t>PRESTAR SERVICIOS PROFESIONALES PARA REFORZAR LOS CONOCIMIENTOS A LOS ESTUDIANTES DE LOS GRADOS NOVENO 9° Y DÉCIMO 10°, AL IGUAL QUE, EL APOYO PEDAGÓGICO EN LA PREPARACIÓN DE ESTUDIANTES DE GRADO UNDÉCIMO 11° DE TRES (3) INSTITUCIONES EDUCATIVAS OFICIALES DEL MUNICIPIO DE LA CALERA, EN LA PRESENTACIÓN DE LAS PRUEBAS SABER 11, VIGENCIA 2025, SEGÚN PLAN DE TRABAJO ADJUNTO.</t>
  </si>
  <si>
    <t xml:space="preserve">PAGOS POR PORCENTAJES:
1- 50%
2- 25%
3- 25% </t>
  </si>
  <si>
    <t>MARÍA CAMILA RAMÍREZ QUIÑONES</t>
  </si>
  <si>
    <t>LUIS CARLOS GARCÍA SÁNCHEZ</t>
  </si>
  <si>
    <t>RESOLUCIÓN No. 195-2025 DEL 12 DE JUNIO DE 2025</t>
  </si>
  <si>
    <t>CD-CINT-170-2025</t>
  </si>
  <si>
    <t>ci170junin_25ofex@udistrital.edu.co</t>
  </si>
  <si>
    <t>PAGO POR MESES PROPORCIONALES A LOS 8 MESES Y UN 10% CON LA ENTREGA FINAL DE PRODUCTOS</t>
  </si>
  <si>
    <t>NO SE ENCUENTRA EN SECOP II
FECHA INICIAL DE FINALIZACIÓN:
11/02/2026
FECHA DE FINALIZACIÓN LUEGO DE SUSPENSIÓN:
25/02/2026</t>
  </si>
  <si>
    <t>JHON MANCERA VARELA</t>
  </si>
  <si>
    <t>YENNY ARDILA</t>
  </si>
  <si>
    <t>SSF CPS 211 DE 2025</t>
  </si>
  <si>
    <t>ssf211_25ofex@udistrital.edu.co</t>
  </si>
  <si>
    <t>PRESTAR SERVICIOS EN LA EJECUCIÓN DE LOS PROGRAMAS DE FORMACIÓN Y CAPACITACIÓN INSTITUCIONAL (PIFC) Y EL PLAN DE GESTION AMBIENTAL EN EL MARCO DE MIPG, PARA LOS SERVIDORES PÚBLICOS DE LA SUPERINTENDENCIA DEL SUBSIDIO FAMILIAR (ID: GGTH-173)</t>
  </si>
  <si>
    <t>PAGOS MENSUALES DE ACUERDO CON LAS ACTIVIDADES REALMENTE EJECUTADAS</t>
  </si>
  <si>
    <r>
      <rPr>
        <sz val="7"/>
        <color rgb="FF000000"/>
        <rFont val="Times New Roman"/>
        <family val="1"/>
      </rPr>
      <t xml:space="preserve"> </t>
    </r>
    <r>
      <rPr>
        <sz val="11"/>
        <color rgb="FF000000"/>
        <rFont val="Calibri"/>
        <family val="2"/>
      </rPr>
      <t>JENNY PAOLA RODRÍGUEZ RODRÍGUEZ</t>
    </r>
  </si>
  <si>
    <t xml:space="preserve"> WILSON GORDILLO THIRIAT</t>
  </si>
  <si>
    <t>YULI ANDREA SOLER BETANCOURT</t>
  </si>
  <si>
    <t>RESOLUCIÓN No. 187-2025 DEL 04 DE JUNIO DE 2025</t>
  </si>
  <si>
    <t>050.3.021.027.538.2025</t>
  </si>
  <si>
    <t>ci820univalle25ofex@udistrital.edu.co</t>
  </si>
  <si>
    <t>REALIZAR EL DIAGNÓSTICO INTEGRAL DE LA INFRAESTRUCTURA EXISTENTE PARA DESARROLLAR BAJO LA METODOLOGÍA BIM EL DISEÑO DEL PLAN DE MANTENIMIENTO Y SOSTENIBILIDAD DE LA SEDE SUAREZ CAUCA DE LA UNIVERSIDAD DEL VALLE</t>
  </si>
  <si>
    <t>PAGO POR PORCENTAJES:
1- 25% 
2-35% 
3-35% 
4-5%</t>
  </si>
  <si>
    <t>ORLANDO AMAYA ALBARRACÍN</t>
  </si>
  <si>
    <t>DIANA CATALINA ACERO ESCOBAR</t>
  </si>
  <si>
    <t>0603 DE 2025</t>
  </si>
  <si>
    <t>ci630personeria25ofex@udistrital.edu.co</t>
  </si>
  <si>
    <t>PAGO POR PORCENTAJES:
1- 30%
2- 30%
3- 30%
4- 10%</t>
  </si>
  <si>
    <t>LILIANA ANGELA RODRIGUEZ PIZZINATO</t>
  </si>
  <si>
    <t>´08/07/2025</t>
  </si>
  <si>
    <t>RESOLUCIÓN No. 223-2025 DEL 08 DE JULIO DE 2025</t>
  </si>
  <si>
    <t>136 DE 2025</t>
  </si>
  <si>
    <t>SUPERINTENDENCIA NACIONAL DE SALUD - SUPERSALUD</t>
  </si>
  <si>
    <t>ci136supersalud25ofex@udistrital.edu.co</t>
  </si>
  <si>
    <t>PAGOS MENSUALES VENCIDOS</t>
  </si>
  <si>
    <t>CESAR ASDRALDO VARGAS HERNANDEZ</t>
  </si>
  <si>
    <t>ANDRES LEONARDO JUTINICO ALARCON</t>
  </si>
  <si>
    <t>DANIEL ALEJANDRO BUITRAGO VACA / ALEXIS XIOMARA FAJARDO RODRIGUEZ</t>
  </si>
  <si>
    <t>RESOLUCIÓN No. 226-2025 DEL 08 DE JULIO DE 2025</t>
  </si>
  <si>
    <t>DAFPC-CD-CI-047-2025</t>
  </si>
  <si>
    <t>PRESTACIÓN DE SERVICIOS PARA LA EJECUCIÓN DEL 
PROGRAMA DE FORTALECIMIENTO DE COMPETENCIAS TRANSVERSALES POR NIVEL DE CARGO, PARA LOS SERVIDORES PÚBLICOS DEL SECTOR CENTRAL DE  LA GOBERNACIÓN DE CUNDINAMARCA</t>
  </si>
  <si>
    <t>PAGOS PARCIALES POR CURSO REALIZADO</t>
  </si>
  <si>
    <t>CONTRATO INTERAD-553-2025</t>
  </si>
  <si>
    <t>ci553zipaquira25ofex@udistrital.edu.co</t>
  </si>
  <si>
    <t>REALIZAR EL ESTUDIO TÉCNICO DEL REDISEÑO INSTITUCIONAL DE LA ALCALDÍA DE ZIPAQUIRÁ EN EL MARCO DE LAS NORMAS VIGENTES</t>
  </si>
  <si>
    <t>3 PAGOS DE ACUERDO A CON EL CUMPLIMIENTO DE CADA FASE Y CONFORME A LOS PRODUCTOS EFECTIVAMENTE ENTREGADOS...</t>
  </si>
  <si>
    <t>PÓR DEFINIR</t>
  </si>
  <si>
    <t>CESAR AURELIO HERREÑO FIERRO</t>
  </si>
  <si>
    <t>POR DEFINIR</t>
  </si>
  <si>
    <t>RESOLUCIÓN No. 252-2025 DEL 28 DE JULIO DE 2025</t>
  </si>
  <si>
    <t>CD-CI-67-2025</t>
  </si>
  <si>
    <t>REGIÓN ADMINISTRATIVA Y DE PLANEACIÓN ESPECIAL RAP-E REGIÓN CENTRAL</t>
  </si>
  <si>
    <t>ci67rape25ofex@udistrital.edu.co</t>
  </si>
  <si>
    <t xml:space="preserve">PAGO POR PORCENTAJES:
1- 40%
2- 40%
3- 10%
4- 10%
</t>
  </si>
  <si>
    <t>JAVIER ARTURO ORJUELA CASTRO</t>
  </si>
  <si>
    <t xml:space="preserve">ANDREA CAMILA REINA LOZANO
</t>
  </si>
  <si>
    <t>RESOLUCIÓN No. 236-2025 DEL 16 DE JULIO DE 2025</t>
  </si>
  <si>
    <t>1943-2025</t>
  </si>
  <si>
    <t>MUNICIPIO DE SOACHA</t>
  </si>
  <si>
    <t>ci943soacha25ofex@udistrital.edu.co</t>
  </si>
  <si>
    <t>AUNAR ESFUERZOS PARA LA REALIZACIÓN DE CURSOS PREPARATORIOS PARA LA TRANSICIÓN DE ESTUDIANTES DE LA MEDIA A EDUCACIÓN SUPERIOR DE LAS INSTITUCIONES EDUCATIVAS PÚBLICAS EN LA CIUDAD DE SOACHA 2025SE0259.</t>
  </si>
  <si>
    <t>MAURICIO JAVIER FRANCO PARDO</t>
  </si>
  <si>
    <t>HAROLD VACCA GONZÁLEZ</t>
  </si>
  <si>
    <t>ANGELA MARIA PEREZ ALARCON</t>
  </si>
  <si>
    <t>RESOLUCIÓN No. 232-2025 DEL 15 DE JULIO DE 2025</t>
  </si>
  <si>
    <t>09/07/2025 - 10/07/2025</t>
  </si>
  <si>
    <t>UAESP-387-2025</t>
  </si>
  <si>
    <t>SDF-020 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 PIDJ ESTABLECIDA EN LA LICENCIA AMBIENTAL.</t>
  </si>
  <si>
    <t>UN PRIMER DESEMBOLSO PARA EL PERIODO ACADÉMICO 2025-I POR EL VALOR DE $207.261.600</t>
  </si>
  <si>
    <t>001 DE 2025</t>
  </si>
  <si>
    <t>TATTOO DC ACADEMY S.A.S.</t>
  </si>
  <si>
    <t>ci01tattoo25ofex@udistrital.edu.co</t>
  </si>
  <si>
    <t>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t>
  </si>
  <si>
    <t>CINCO PAGOS MENSUALES DE ACUERDO A LOS HITOS DEL AVANCE Y CUMPLIMIENTO ESTABLECIDOS PARA LA EJECUCIÓN DEL PROGRAMA ACADÉMICO</t>
  </si>
  <si>
    <t>XIMENA GÓMEZ CARREÑO</t>
  </si>
  <si>
    <t>JEFERSON ANDRES PARRA TIRADO</t>
  </si>
  <si>
    <t>1572-2025</t>
  </si>
  <si>
    <t>FONDO UNICO DE LAS TECNOLOGÍAS DE LA INFORMACIÓN - MINTIC</t>
  </si>
  <si>
    <t>33100051811 - AUNAR ESFUERZOS TÉCNICOS, ADMINISTRATIVOS Y FINANCIEROS QUE PERMITAN FORTALECER LAS COMPETENCIAS DIGITALES PARA LA CREACIÓN DE CONTENIDOS Y LA MONETIZACIÓN DE REDES SOCIALES, MEDIANTE PROCESOS DE FORMACIÓN Y EL USO DE HERRAMIENTAS PEDAGÓGICAS INNOVADORAS, CON EL FIN DE CONTRIBUIR AL FORTALECIMIENTO DE LA ECONOMÍA DIGITAL POPULAR Y A LA APROPIACIÓN TECNOLÓGICA CON ENFOQUE INCLUSIVO</t>
  </si>
  <si>
    <t>06-5-10237-25</t>
  </si>
  <si>
    <t>INTERVENTORÍA TÉCNICO ADMINISTRATIVA, FINANCIERA, LEGAL Y AMBIENTAL PARA LA CONSTRUCCIÓN, RESTAURACIÓN ARQUITECTÓNICA, DEMOLICIÓN PARCIAL, REFORZAMIENTO ESTRUCTURAL, OBRA NUEVA, DOTACIÓN Y DEMÁS ACTIVIDADES PARA LA EJECUCIÓN DE LA ESTACIÓN DE POLICIA BOAVITA EN EL DEPARTAMENTO DE BOYACÁ, A PRECIOS UNITARIOS FIJOS SIN FÓRMULA DE REAJUSTE.</t>
  </si>
  <si>
    <t>PAGOS PARCIALES DE ACUERDO AL AVANCE PORCENTUAL DE LA EJECUCIÓN DE LA OBRA</t>
  </si>
  <si>
    <t>Suma de APORTE ENTIDAD</t>
  </si>
  <si>
    <t>Suma de ADICIÓN APORTE ENTIDAD 2025</t>
  </si>
  <si>
    <t>Suma de ADICIÓN CONTRAPARTIDA 2025</t>
  </si>
  <si>
    <t>Suma de VALOR TOTAL</t>
  </si>
  <si>
    <t>(en blanco)</t>
  </si>
  <si>
    <t>Total general</t>
  </si>
  <si>
    <t>CODIGO CONTABLE</t>
  </si>
  <si>
    <t>POLICíA NACIONAL - DIRECCIÓN DE SANIDAD - DISAN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</si>
</sst>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240A]\ * #,##0.00_-;\-[$$-240A]\ * #,##0.00_-;_-[$$-240A]\ * &quot;-&quot;??_-;_-@_-"/>
    <numFmt numFmtId="165" formatCode="[$$-240A]\ #,##0.00"/>
    <numFmt numFmtId="166" formatCode="&quot;$&quot;\ #,##0"/>
    <numFmt numFmtId="167" formatCode="&quot;$&quot;\ #,##0.00"/>
    <numFmt numFmtId="168" formatCode="_-[$$-409]* #,##0.00_ ;_-[$$-409]* \-#,##0.00\ ;_-[$$-409]* &quot;-&quot;??_ ;_-@_ "/>
    <numFmt numFmtId="169" formatCode="0.0"/>
  </numFmts>
  <fonts count="31">
    <font>
      <sz val="11"/>
      <color theme="1"/>
      <name val="Aptos Narrow"/>
      <family val="2"/>
      <scheme val="minor"/>
    </font>
    <font>
      <sz val="11"/>
      <color theme="1"/>
      <name val="Aptos Narrow"/>
      <scheme val="minor"/>
    </font>
    <font>
      <b/>
      <sz val="11"/>
      <color theme="1"/>
      <name val="Aptos Narrow"/>
      <family val="2"/>
      <scheme val="minor"/>
    </font>
    <font>
      <sz val="11"/>
      <color rgb="FF000000"/>
      <name val="Aptos Narrow"/>
      <family val="2"/>
      <scheme val="minor"/>
    </font>
    <font>
      <b/>
      <sz val="11"/>
      <color theme="1"/>
      <name val="Arial"/>
      <family val="2"/>
    </font>
    <font>
      <sz val="11"/>
      <color theme="1"/>
      <name val="Arial"/>
      <family val="2"/>
    </font>
    <font>
      <sz val="11"/>
      <color rgb="FF000000"/>
      <name val="Arial"/>
      <family val="2"/>
      <charset val="1"/>
    </font>
    <font>
      <b/>
      <sz val="11"/>
      <color theme="1"/>
      <name val="Arial"/>
      <family val="2"/>
    </font>
    <font>
      <b/>
      <sz val="11"/>
      <color theme="1"/>
      <name val="Aptos Narrow"/>
      <scheme val="minor"/>
    </font>
    <font>
      <sz val="11"/>
      <color rgb="FF000000"/>
      <name val="Arial"/>
      <family val="2"/>
    </font>
    <font>
      <sz val="8"/>
      <name val="Aptos Narrow"/>
      <family val="2"/>
      <scheme val="minor"/>
    </font>
    <font>
      <sz val="11"/>
      <color theme="1"/>
      <name val="Arial"/>
      <family val="2"/>
    </font>
    <font>
      <sz val="11"/>
      <color rgb="FFFF0000"/>
      <name val="Aptos Narrow"/>
      <scheme val="minor"/>
    </font>
    <font>
      <sz val="11"/>
      <color rgb="FF000000"/>
      <name val="Aptos Narrow"/>
      <scheme val="minor"/>
    </font>
    <font>
      <sz val="9"/>
      <color indexed="81"/>
      <name val="Tahoma"/>
      <family val="2"/>
    </font>
    <font>
      <b/>
      <sz val="9"/>
      <color indexed="81"/>
      <name val="Tahoma"/>
      <family val="2"/>
    </font>
    <font>
      <b/>
      <sz val="20"/>
      <color rgb="FF000000"/>
      <name val="Arial"/>
      <family val="2"/>
    </font>
    <font>
      <b/>
      <sz val="20"/>
      <name val="Arial"/>
      <family val="2"/>
    </font>
    <font>
      <sz val="11"/>
      <color rgb="FFFF0000"/>
      <name val="Aptos Narrow"/>
      <family val="2"/>
      <scheme val="minor"/>
    </font>
    <font>
      <sz val="11"/>
      <color rgb="FF242424"/>
      <name val="Aptos Narrow"/>
      <family val="2"/>
      <scheme val="minor"/>
    </font>
    <font>
      <sz val="11"/>
      <color rgb="FFC00000"/>
      <name val="Aptos Narrow"/>
      <family val="2"/>
      <scheme val="minor"/>
    </font>
    <font>
      <b/>
      <sz val="11"/>
      <color theme="1"/>
      <name val="Aptos Narrow"/>
    </font>
    <font>
      <sz val="11"/>
      <color theme="1"/>
      <name val="Aptos Narrow"/>
    </font>
    <font>
      <sz val="9"/>
      <color rgb="FF000000"/>
      <name val="Tahoma"/>
      <family val="2"/>
    </font>
    <font>
      <sz val="11"/>
      <color rgb="FF000000"/>
      <name val="Arial"/>
      <family val="2"/>
    </font>
    <font>
      <sz val="11"/>
      <color rgb="FF242424"/>
      <name val="Aptos Narrow"/>
      <charset val="1"/>
    </font>
    <font>
      <sz val="11"/>
      <color rgb="FF000000"/>
      <name val="Calibri"/>
      <family val="2"/>
    </font>
    <font>
      <sz val="7"/>
      <color rgb="FF000000"/>
      <name val="Times New Roman"/>
      <family val="1"/>
    </font>
    <font>
      <u/>
      <sz val="11"/>
      <color theme="10"/>
      <name val="Aptos Narrow"/>
      <family val="2"/>
      <scheme val="minor"/>
    </font>
    <font>
      <sz val="11"/>
      <color rgb="FF000000"/>
      <name val="Aptos Narrow"/>
    </font>
    <font>
      <b/>
      <sz val="11"/>
      <color theme="1"/>
      <name val="Aptos Narrow"/>
      <family val="2"/>
    </font>
  </fonts>
  <fills count="15">
    <fill>
      <patternFill patternType="none"/>
    </fill>
    <fill>
      <patternFill patternType="gray125"/>
    </fill>
    <fill>
      <patternFill patternType="solid">
        <fgColor theme="9" tint="0.39997558519241921"/>
        <bgColor indexed="64"/>
      </patternFill>
    </fill>
    <fill>
      <patternFill patternType="solid">
        <fgColor rgb="FFFFFF00"/>
        <bgColor rgb="FF000000"/>
      </patternFill>
    </fill>
    <fill>
      <patternFill patternType="solid">
        <fgColor rgb="FFD9D9D9"/>
        <bgColor rgb="FFD9D9D9"/>
      </patternFill>
    </fill>
    <fill>
      <patternFill patternType="solid">
        <fgColor rgb="FFFFC000"/>
        <bgColor indexed="64"/>
      </patternFill>
    </fill>
    <fill>
      <patternFill patternType="solid">
        <fgColor rgb="FF7030A0"/>
        <bgColor rgb="FF000000"/>
      </patternFill>
    </fill>
    <fill>
      <patternFill patternType="solid">
        <fgColor rgb="FFE87331"/>
        <bgColor rgb="FF000000"/>
      </patternFill>
    </fill>
    <fill>
      <patternFill patternType="solid">
        <fgColor rgb="FF82E391"/>
        <bgColor rgb="FF000000"/>
      </patternFill>
    </fill>
    <fill>
      <patternFill patternType="solid">
        <fgColor theme="4"/>
        <bgColor indexed="64"/>
      </patternFill>
    </fill>
    <fill>
      <patternFill patternType="solid">
        <fgColor rgb="FFFFFF00"/>
        <bgColor indexed="64"/>
      </patternFill>
    </fill>
    <fill>
      <patternFill patternType="solid">
        <fgColor theme="3"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C0E4F5"/>
        <bgColor rgb="FFC0E4F5"/>
      </patternFill>
    </fill>
  </fills>
  <borders count="20">
    <border>
      <left/>
      <right/>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43AEE2"/>
      </top>
      <bottom style="thin">
        <color rgb="FF43AEE2"/>
      </bottom>
      <diagonal/>
    </border>
  </borders>
  <cellStyleXfs count="2">
    <xf numFmtId="0" fontId="0" fillId="0" borderId="0"/>
    <xf numFmtId="0" fontId="28" fillId="0" borderId="0" applyNumberFormat="0" applyFill="0" applyBorder="0" applyAlignment="0" applyProtection="0"/>
  </cellStyleXfs>
  <cellXfs count="182">
    <xf numFmtId="0" fontId="0" fillId="0" borderId="0" xfId="0"/>
    <xf numFmtId="0" fontId="3" fillId="3" borderId="0" xfId="0" applyFont="1" applyFill="1"/>
    <xf numFmtId="0" fontId="3" fillId="0" borderId="0" xfId="0" applyFont="1"/>
    <xf numFmtId="0" fontId="6" fillId="0" borderId="0" xfId="0" applyFont="1"/>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14" fontId="0" fillId="0" borderId="0" xfId="0" applyNumberFormat="1" applyAlignment="1" applyProtection="1">
      <alignment horizontal="center" vertical="center" wrapText="1"/>
      <protection locked="0"/>
    </xf>
    <xf numFmtId="0" fontId="0" fillId="0" borderId="0" xfId="0" applyAlignment="1" applyProtection="1">
      <alignment horizontal="center" vertical="center"/>
      <protection locked="0"/>
    </xf>
    <xf numFmtId="164" fontId="0" fillId="0" borderId="0" xfId="0" applyNumberFormat="1" applyAlignment="1" applyProtection="1">
      <alignment horizontal="center" vertical="center" wrapText="1"/>
      <protection locked="0"/>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165" fontId="5" fillId="0" borderId="0" xfId="0" applyNumberFormat="1" applyFont="1" applyAlignment="1">
      <alignment horizontal="center" vertical="center" wrapText="1"/>
    </xf>
    <xf numFmtId="0" fontId="5" fillId="0" borderId="0" xfId="0" applyFont="1" applyAlignment="1">
      <alignment horizontal="center" vertical="center"/>
    </xf>
    <xf numFmtId="165" fontId="5"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66" fontId="5" fillId="0" borderId="0" xfId="0" applyNumberFormat="1" applyFont="1" applyAlignment="1">
      <alignment horizontal="center" vertical="center" wrapText="1"/>
    </xf>
    <xf numFmtId="14" fontId="9" fillId="4" borderId="0" xfId="0" applyNumberFormat="1" applyFont="1" applyFill="1" applyAlignment="1">
      <alignment horizontal="center" vertical="center" wrapText="1"/>
    </xf>
    <xf numFmtId="0" fontId="9" fillId="4" borderId="0" xfId="0" applyFont="1" applyFill="1" applyAlignment="1">
      <alignment horizontal="center" vertical="center" wrapText="1"/>
    </xf>
    <xf numFmtId="14" fontId="9" fillId="0" borderId="0" xfId="0" applyNumberFormat="1" applyFont="1" applyAlignment="1">
      <alignment horizontal="center" vertical="center" wrapText="1"/>
    </xf>
    <xf numFmtId="0" fontId="9" fillId="4" borderId="0" xfId="0" applyFont="1" applyFill="1" applyAlignment="1">
      <alignment vertical="center" wrapText="1"/>
    </xf>
    <xf numFmtId="0" fontId="5" fillId="0" borderId="0" xfId="0" applyFont="1" applyAlignment="1">
      <alignment vertical="center" wrapText="1"/>
    </xf>
    <xf numFmtId="9" fontId="0" fillId="0" borderId="0" xfId="0" applyNumberFormat="1" applyAlignment="1" applyProtection="1">
      <alignment horizontal="center" vertical="center" wrapText="1"/>
      <protection locked="0"/>
    </xf>
    <xf numFmtId="0" fontId="7" fillId="0" borderId="0" xfId="0" applyFont="1" applyAlignment="1" applyProtection="1">
      <alignment horizontal="center" vertical="center" wrapText="1"/>
      <protection locked="0"/>
    </xf>
    <xf numFmtId="9" fontId="7" fillId="0" borderId="0" xfId="0" applyNumberFormat="1" applyFont="1" applyAlignment="1" applyProtection="1">
      <alignment horizontal="center" vertical="center" wrapText="1"/>
      <protection locked="0"/>
    </xf>
    <xf numFmtId="0" fontId="0" fillId="0" borderId="0" xfId="0" applyAlignment="1">
      <alignment horizontal="center" vertical="center"/>
    </xf>
    <xf numFmtId="167" fontId="5" fillId="0" borderId="0" xfId="0" applyNumberFormat="1" applyFont="1" applyAlignment="1">
      <alignment horizontal="center" vertical="center" wrapText="1"/>
    </xf>
    <xf numFmtId="0" fontId="0" fillId="2" borderId="0" xfId="0" applyFill="1" applyAlignment="1" applyProtection="1">
      <alignment horizontal="center" vertical="center" wrapText="1"/>
      <protection locked="0"/>
    </xf>
    <xf numFmtId="0" fontId="4" fillId="9" borderId="0" xfId="0" applyFont="1" applyFill="1" applyAlignment="1" applyProtection="1">
      <alignment horizontal="center" vertical="center" wrapText="1"/>
      <protection locked="0"/>
    </xf>
    <xf numFmtId="164" fontId="4" fillId="9" borderId="0" xfId="0" applyNumberFormat="1" applyFont="1" applyFill="1" applyAlignment="1" applyProtection="1">
      <alignment horizontal="center" vertical="center" wrapText="1"/>
      <protection locked="0"/>
    </xf>
    <xf numFmtId="0" fontId="4" fillId="0" borderId="0" xfId="0" applyFont="1" applyAlignment="1" applyProtection="1">
      <alignment horizontal="center" vertical="center"/>
      <protection locked="0"/>
    </xf>
    <xf numFmtId="1" fontId="0" fillId="0" borderId="0" xfId="0" applyNumberFormat="1" applyAlignment="1" applyProtection="1">
      <alignment horizontal="center" vertical="center" wrapText="1"/>
      <protection locked="0"/>
    </xf>
    <xf numFmtId="14" fontId="8" fillId="0" borderId="0" xfId="0" applyNumberFormat="1"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165" fontId="7" fillId="0" borderId="0" xfId="0" applyNumberFormat="1" applyFont="1" applyAlignment="1" applyProtection="1">
      <alignment horizontal="center" vertical="center" wrapText="1"/>
      <protection locked="0"/>
    </xf>
    <xf numFmtId="164" fontId="11" fillId="0" borderId="0" xfId="0" applyNumberFormat="1" applyFont="1" applyAlignment="1" applyProtection="1">
      <alignment horizontal="center" vertical="center" wrapText="1"/>
      <protection locked="0"/>
    </xf>
    <xf numFmtId="165" fontId="11" fillId="0" borderId="0" xfId="0" applyNumberFormat="1" applyFont="1" applyAlignment="1" applyProtection="1">
      <alignment horizontal="center" vertical="center" wrapText="1"/>
      <protection locked="0"/>
    </xf>
    <xf numFmtId="0" fontId="0" fillId="10" borderId="0" xfId="0" applyFill="1"/>
    <xf numFmtId="9" fontId="4" fillId="0" borderId="0" xfId="0" applyNumberFormat="1" applyFont="1" applyAlignment="1" applyProtection="1">
      <alignment horizontal="center" vertical="center" wrapText="1"/>
      <protection locked="0"/>
    </xf>
    <xf numFmtId="0" fontId="0" fillId="5" borderId="0" xfId="0" applyFill="1" applyAlignment="1" applyProtection="1">
      <alignment horizontal="center" vertical="center" wrapText="1"/>
      <protection locked="0"/>
    </xf>
    <xf numFmtId="0" fontId="0" fillId="0" borderId="0" xfId="0" applyAlignment="1">
      <alignment horizontal="center" vertical="center" wrapText="1"/>
    </xf>
    <xf numFmtId="0" fontId="4" fillId="0" borderId="4"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14" fontId="0" fillId="0" borderId="4" xfId="0" applyNumberFormat="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7" fillId="0" borderId="2" xfId="0" applyFont="1" applyBorder="1" applyAlignment="1" applyProtection="1">
      <alignment horizontal="center" vertical="center" wrapText="1"/>
      <protection locked="0"/>
    </xf>
    <xf numFmtId="14" fontId="11" fillId="0" borderId="0" xfId="0" applyNumberFormat="1" applyFont="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165" fontId="2" fillId="0" borderId="0" xfId="0" applyNumberFormat="1" applyFont="1" applyAlignment="1" applyProtection="1">
      <alignment horizontal="center" vertical="center" wrapText="1"/>
      <protection locked="0"/>
    </xf>
    <xf numFmtId="49" fontId="0" fillId="0" borderId="2" xfId="0" applyNumberFormat="1" applyBorder="1" applyAlignment="1" applyProtection="1">
      <alignment horizontal="center" vertical="center" wrapText="1"/>
      <protection locked="0"/>
    </xf>
    <xf numFmtId="49" fontId="0" fillId="0" borderId="0" xfId="0" applyNumberFormat="1" applyAlignment="1" applyProtection="1">
      <alignment horizontal="center" vertical="center" wrapText="1"/>
      <protection locked="0"/>
    </xf>
    <xf numFmtId="49" fontId="0" fillId="0" borderId="3" xfId="0" applyNumberFormat="1" applyBorder="1" applyAlignment="1" applyProtection="1">
      <alignment horizontal="center" vertical="center" wrapText="1"/>
      <protection locked="0"/>
    </xf>
    <xf numFmtId="49" fontId="0" fillId="0" borderId="4" xfId="0" applyNumberFormat="1" applyBorder="1" applyAlignment="1" applyProtection="1">
      <alignment horizontal="center" vertical="center" wrapText="1"/>
      <protection locked="0"/>
    </xf>
    <xf numFmtId="49" fontId="0" fillId="0" borderId="5" xfId="0" applyNumberFormat="1" applyBorder="1" applyAlignment="1" applyProtection="1">
      <alignment horizontal="center" vertical="center" wrapText="1"/>
      <protection locked="0"/>
    </xf>
    <xf numFmtId="14" fontId="3" fillId="0" borderId="0" xfId="0" applyNumberFormat="1" applyFont="1" applyAlignment="1" applyProtection="1">
      <alignment horizontal="center" vertical="center" wrapText="1"/>
      <protection locked="0"/>
    </xf>
    <xf numFmtId="14" fontId="18" fillId="0" borderId="0" xfId="0" applyNumberFormat="1" applyFont="1" applyAlignment="1" applyProtection="1">
      <alignment horizontal="center" vertical="center" wrapText="1"/>
      <protection locked="0"/>
    </xf>
    <xf numFmtId="14" fontId="3" fillId="0" borderId="4" xfId="0" applyNumberFormat="1" applyFont="1" applyBorder="1" applyAlignment="1" applyProtection="1">
      <alignment horizontal="center" vertical="center" wrapText="1"/>
      <protection locked="0"/>
    </xf>
    <xf numFmtId="14" fontId="2" fillId="0" borderId="0" xfId="0" applyNumberFormat="1" applyFont="1" applyAlignment="1" applyProtection="1">
      <alignment horizontal="center" vertical="center" wrapText="1"/>
      <protection locked="0"/>
    </xf>
    <xf numFmtId="168" fontId="0" fillId="0" borderId="0" xfId="0" applyNumberFormat="1" applyAlignment="1" applyProtection="1">
      <alignment horizontal="center" vertical="center" wrapText="1"/>
      <protection locked="0"/>
    </xf>
    <xf numFmtId="0" fontId="0" fillId="0" borderId="0" xfId="0" applyAlignment="1" applyProtection="1">
      <alignment horizontal="left" vertical="center"/>
      <protection locked="0"/>
    </xf>
    <xf numFmtId="0" fontId="0" fillId="0" borderId="4" xfId="0" applyBorder="1" applyAlignment="1" applyProtection="1">
      <alignment horizontal="center" vertical="center" wrapText="1"/>
      <protection locked="0"/>
    </xf>
    <xf numFmtId="0" fontId="19" fillId="0" borderId="0" xfId="0" applyFont="1" applyAlignment="1">
      <alignment horizontal="center" vertical="center" wrapText="1"/>
    </xf>
    <xf numFmtId="0" fontId="4" fillId="0" borderId="3" xfId="0" applyFont="1" applyBorder="1" applyAlignment="1" applyProtection="1">
      <alignment horizontal="center" vertical="center"/>
      <protection locked="0"/>
    </xf>
    <xf numFmtId="0" fontId="0" fillId="0" borderId="3" xfId="0" applyBorder="1" applyAlignment="1" applyProtection="1">
      <alignment horizontal="center" vertical="center"/>
      <protection locked="0"/>
    </xf>
    <xf numFmtId="49" fontId="0" fillId="0" borderId="3" xfId="0" applyNumberFormat="1" applyBorder="1" applyAlignment="1" applyProtection="1">
      <alignment horizontal="center" vertical="center"/>
      <protection locked="0"/>
    </xf>
    <xf numFmtId="14" fontId="0" fillId="0" borderId="3" xfId="0" applyNumberFormat="1" applyBorder="1" applyAlignment="1" applyProtection="1">
      <alignment horizontal="center" vertical="center"/>
      <protection locked="0"/>
    </xf>
    <xf numFmtId="0" fontId="0" fillId="5" borderId="3" xfId="0" applyFill="1" applyBorder="1" applyAlignment="1" applyProtection="1">
      <alignment horizontal="center" vertical="center" wrapText="1"/>
      <protection locked="0"/>
    </xf>
    <xf numFmtId="0" fontId="3" fillId="0" borderId="0" xfId="0" applyFont="1" applyAlignment="1">
      <alignment horizontal="center" vertical="center" wrapText="1"/>
    </xf>
    <xf numFmtId="14" fontId="20" fillId="0" borderId="0" xfId="0" applyNumberFormat="1" applyFont="1" applyAlignment="1" applyProtection="1">
      <alignment horizontal="center" vertical="center" wrapText="1"/>
      <protection locked="0"/>
    </xf>
    <xf numFmtId="0" fontId="3" fillId="10" borderId="0" xfId="0" applyFont="1" applyFill="1" applyAlignment="1">
      <alignment wrapText="1"/>
    </xf>
    <xf numFmtId="165" fontId="7" fillId="0" borderId="11" xfId="0" applyNumberFormat="1" applyFont="1" applyBorder="1" applyAlignment="1" applyProtection="1">
      <alignment horizontal="center" vertical="center" wrapText="1"/>
      <protection locked="0"/>
    </xf>
    <xf numFmtId="165" fontId="2"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49" fontId="2" fillId="0" borderId="0" xfId="0" applyNumberFormat="1" applyFont="1" applyAlignment="1" applyProtection="1">
      <alignment horizontal="center" vertical="center" wrapText="1"/>
      <protection locked="0"/>
    </xf>
    <xf numFmtId="0" fontId="5" fillId="0" borderId="0" xfId="0" quotePrefix="1" applyFont="1" applyAlignment="1">
      <alignment horizontal="center" vertical="center" wrapText="1"/>
    </xf>
    <xf numFmtId="0" fontId="0" fillId="0" borderId="0" xfId="0" applyAlignment="1">
      <alignment wrapText="1"/>
    </xf>
    <xf numFmtId="164" fontId="0" fillId="0" borderId="0" xfId="0" applyNumberFormat="1"/>
    <xf numFmtId="164" fontId="0" fillId="0" borderId="0" xfId="0" applyNumberFormat="1" applyAlignment="1">
      <alignment wrapText="1"/>
    </xf>
    <xf numFmtId="0" fontId="19"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0" fillId="0" borderId="0" xfId="0" pivotButton="1"/>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1" fontId="0" fillId="0" borderId="0" xfId="0" applyNumberFormat="1" applyAlignment="1">
      <alignment horizontal="center" vertical="center" wrapText="1"/>
    </xf>
    <xf numFmtId="49" fontId="0" fillId="0" borderId="4" xfId="0" applyNumberForma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16" xfId="0" applyFont="1" applyBorder="1" applyAlignment="1">
      <alignment horizontal="center" vertical="center" wrapText="1"/>
    </xf>
    <xf numFmtId="0" fontId="2" fillId="0" borderId="18" xfId="0" applyFont="1" applyBorder="1" applyAlignment="1">
      <alignment horizontal="center" vertical="center" wrapText="1"/>
    </xf>
    <xf numFmtId="14" fontId="2" fillId="0" borderId="4" xfId="0" applyNumberFormat="1" applyFont="1" applyBorder="1" applyAlignment="1">
      <alignment horizontal="center" vertical="center" wrapText="1"/>
    </xf>
    <xf numFmtId="14" fontId="0" fillId="0" borderId="0" xfId="0" applyNumberFormat="1" applyAlignment="1">
      <alignment horizontal="center" vertical="center" wrapText="1"/>
    </xf>
    <xf numFmtId="169" fontId="0" fillId="0" borderId="0" xfId="0" applyNumberFormat="1" applyAlignment="1">
      <alignment horizontal="center" vertical="center" wrapText="1"/>
    </xf>
    <xf numFmtId="0" fontId="0" fillId="0" borderId="5" xfId="0" applyBorder="1" applyAlignment="1">
      <alignment horizontal="center" vertical="center" wrapText="1"/>
    </xf>
    <xf numFmtId="165" fontId="0" fillId="0" borderId="0" xfId="0" applyNumberFormat="1" applyAlignment="1">
      <alignment horizontal="center" vertical="center" wrapText="1"/>
    </xf>
    <xf numFmtId="165" fontId="7" fillId="0" borderId="0" xfId="0" applyNumberFormat="1" applyFont="1" applyAlignment="1">
      <alignment horizontal="center" vertical="center" wrapText="1"/>
    </xf>
    <xf numFmtId="164" fontId="11" fillId="0" borderId="5" xfId="0" applyNumberFormat="1" applyFont="1" applyBorder="1" applyAlignment="1">
      <alignment horizontal="center" vertical="center" wrapText="1"/>
    </xf>
    <xf numFmtId="164" fontId="11" fillId="0" borderId="0" xfId="0" applyNumberFormat="1" applyFont="1" applyAlignment="1">
      <alignment horizontal="center" vertical="center" wrapText="1"/>
    </xf>
    <xf numFmtId="0" fontId="0" fillId="0" borderId="3" xfId="0" applyBorder="1" applyAlignment="1">
      <alignment horizontal="center" vertical="center" wrapText="1"/>
    </xf>
    <xf numFmtId="9" fontId="0" fillId="0" borderId="0" xfId="0" applyNumberFormat="1" applyAlignment="1">
      <alignment horizontal="center" vertical="center" wrapText="1"/>
    </xf>
    <xf numFmtId="14" fontId="8" fillId="0" borderId="4" xfId="0" applyNumberFormat="1" applyFont="1" applyBorder="1" applyAlignment="1">
      <alignment horizontal="center" vertical="center" wrapText="1"/>
    </xf>
    <xf numFmtId="0" fontId="0" fillId="0" borderId="0" xfId="0" applyAlignment="1">
      <alignment horizontal="left" vertical="center"/>
    </xf>
    <xf numFmtId="49" fontId="0" fillId="0" borderId="0" xfId="0" applyNumberFormat="1" applyAlignment="1">
      <alignment horizontal="center" vertical="center" wrapText="1"/>
    </xf>
    <xf numFmtId="49" fontId="0" fillId="0" borderId="5" xfId="0" applyNumberFormat="1" applyBorder="1" applyAlignment="1">
      <alignment horizontal="center" vertical="center" wrapText="1"/>
    </xf>
    <xf numFmtId="14" fontId="2" fillId="0" borderId="0" xfId="0" applyNumberFormat="1" applyFont="1" applyAlignment="1">
      <alignment horizontal="center" vertical="center" wrapText="1"/>
    </xf>
    <xf numFmtId="169" fontId="2" fillId="0" borderId="0" xfId="0" applyNumberFormat="1" applyFont="1" applyAlignment="1">
      <alignment horizontal="center" vertical="center" wrapText="1"/>
    </xf>
    <xf numFmtId="165" fontId="11" fillId="0" borderId="0" xfId="0" applyNumberFormat="1" applyFont="1" applyAlignment="1">
      <alignment horizontal="center" vertical="center" wrapText="1"/>
    </xf>
    <xf numFmtId="14" fontId="2" fillId="0" borderId="16" xfId="0" applyNumberFormat="1" applyFont="1" applyBorder="1" applyAlignment="1">
      <alignment horizontal="center" vertical="center" wrapText="1"/>
    </xf>
    <xf numFmtId="14" fontId="0" fillId="0" borderId="17" xfId="0" applyNumberFormat="1" applyBorder="1" applyAlignment="1">
      <alignment horizontal="center" vertical="center" wrapText="1"/>
    </xf>
    <xf numFmtId="169" fontId="0" fillId="0" borderId="17" xfId="0" applyNumberFormat="1" applyBorder="1" applyAlignment="1">
      <alignment horizontal="center" vertical="center" wrapText="1"/>
    </xf>
    <xf numFmtId="1" fontId="0" fillId="0" borderId="17" xfId="0" applyNumberForma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165" fontId="0" fillId="0" borderId="17" xfId="0" applyNumberFormat="1" applyBorder="1" applyAlignment="1">
      <alignment horizontal="center" vertical="center" wrapText="1"/>
    </xf>
    <xf numFmtId="49" fontId="0" fillId="0" borderId="3" xfId="0" applyNumberFormat="1" applyBorder="1" applyAlignment="1">
      <alignment horizontal="center" vertical="center" wrapText="1"/>
    </xf>
    <xf numFmtId="14" fontId="0" fillId="0" borderId="3" xfId="0" applyNumberFormat="1" applyBorder="1" applyAlignment="1">
      <alignment horizontal="center" vertical="center" wrapText="1"/>
    </xf>
    <xf numFmtId="15" fontId="0" fillId="0" borderId="0" xfId="0" applyNumberFormat="1" applyAlignment="1" applyProtection="1">
      <alignment horizontal="center" vertical="center" wrapText="1"/>
      <protection locked="0"/>
    </xf>
    <xf numFmtId="0" fontId="21" fillId="0" borderId="14" xfId="0" applyFont="1" applyBorder="1" applyAlignment="1">
      <alignment horizontal="center" vertical="center" wrapText="1"/>
    </xf>
    <xf numFmtId="0" fontId="21" fillId="12" borderId="14" xfId="0" applyFont="1" applyFill="1" applyBorder="1" applyAlignment="1">
      <alignment horizontal="center" vertical="center" wrapText="1"/>
    </xf>
    <xf numFmtId="0" fontId="21" fillId="12" borderId="15" xfId="0" applyFont="1" applyFill="1" applyBorder="1" applyAlignment="1">
      <alignment horizontal="center" vertical="center" wrapText="1"/>
    </xf>
    <xf numFmtId="0" fontId="21" fillId="0" borderId="13" xfId="0" applyFont="1" applyBorder="1" applyAlignment="1">
      <alignment horizontal="center" vertical="center" wrapText="1"/>
    </xf>
    <xf numFmtId="0" fontId="21" fillId="0" borderId="0" xfId="0" applyFont="1" applyAlignment="1">
      <alignment horizontal="center" vertical="center" wrapText="1"/>
    </xf>
    <xf numFmtId="0" fontId="21" fillId="0" borderId="0" xfId="0" applyFont="1" applyAlignment="1" applyProtection="1">
      <alignment horizontal="center" vertical="center" wrapText="1"/>
      <protection locked="0"/>
    </xf>
    <xf numFmtId="0" fontId="21" fillId="11" borderId="14"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21" fillId="9" borderId="14" xfId="0" applyFont="1" applyFill="1" applyBorder="1" applyAlignment="1">
      <alignment horizontal="center" vertical="center" wrapText="1"/>
    </xf>
    <xf numFmtId="0" fontId="21" fillId="9" borderId="13" xfId="0" applyFont="1" applyFill="1" applyBorder="1" applyAlignment="1">
      <alignment horizontal="center" vertical="center" wrapText="1"/>
    </xf>
    <xf numFmtId="0" fontId="21" fillId="9" borderId="15" xfId="0" applyFont="1" applyFill="1" applyBorder="1" applyAlignment="1">
      <alignment horizontal="center" vertical="center" wrapText="1"/>
    </xf>
    <xf numFmtId="164" fontId="21" fillId="11" borderId="13" xfId="0" applyNumberFormat="1" applyFont="1" applyFill="1" applyBorder="1" applyAlignment="1">
      <alignment horizontal="center" vertical="center" wrapText="1"/>
    </xf>
    <xf numFmtId="164" fontId="21" fillId="11" borderId="15" xfId="0" applyNumberFormat="1" applyFont="1" applyFill="1" applyBorder="1" applyAlignment="1">
      <alignment horizontal="center" vertical="center" wrapText="1"/>
    </xf>
    <xf numFmtId="164" fontId="21" fillId="9" borderId="0" xfId="0" applyNumberFormat="1" applyFont="1" applyFill="1" applyAlignment="1">
      <alignment horizontal="center" vertical="center" wrapText="1"/>
    </xf>
    <xf numFmtId="0" fontId="21" fillId="0" borderId="0" xfId="0" applyFont="1" applyAlignment="1">
      <alignment horizontal="center" vertical="center"/>
    </xf>
    <xf numFmtId="0" fontId="21" fillId="0" borderId="9" xfId="0" applyFont="1" applyBorder="1" applyAlignment="1">
      <alignment horizontal="center" vertical="center" wrapText="1"/>
    </xf>
    <xf numFmtId="0" fontId="21" fillId="0" borderId="3" xfId="0" applyFont="1" applyBorder="1" applyAlignment="1">
      <alignment horizontal="center" vertical="center"/>
    </xf>
    <xf numFmtId="9" fontId="21" fillId="0" borderId="0" xfId="0" applyNumberFormat="1" applyFont="1" applyAlignment="1">
      <alignment horizontal="center" vertical="center" wrapText="1"/>
    </xf>
    <xf numFmtId="0" fontId="21" fillId="0" borderId="4" xfId="0" applyFont="1" applyBorder="1" applyAlignment="1" applyProtection="1">
      <alignment horizontal="center" vertical="center" wrapText="1"/>
      <protection locked="0"/>
    </xf>
    <xf numFmtId="9" fontId="21" fillId="0" borderId="0" xfId="0" applyNumberFormat="1" applyFont="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2" fillId="2" borderId="0" xfId="0" applyFont="1" applyFill="1" applyAlignment="1" applyProtection="1">
      <alignment horizontal="center" vertical="center" wrapText="1"/>
      <protection locked="0"/>
    </xf>
    <xf numFmtId="0" fontId="22" fillId="0" borderId="3" xfId="0" applyFont="1" applyBorder="1" applyAlignment="1" applyProtection="1">
      <alignment horizontal="center" vertical="center" wrapText="1"/>
      <protection locked="0"/>
    </xf>
    <xf numFmtId="14" fontId="0" fillId="0" borderId="4" xfId="0" applyNumberFormat="1" applyBorder="1" applyAlignment="1" applyProtection="1">
      <alignment horizontal="center" vertical="center" wrapText="1"/>
      <protection locked="0"/>
    </xf>
    <xf numFmtId="0" fontId="23" fillId="0" borderId="0" xfId="0" applyFont="1" applyAlignment="1" applyProtection="1">
      <alignment horizontal="center" vertical="center" wrapText="1"/>
      <protection locked="0"/>
    </xf>
    <xf numFmtId="0" fontId="24" fillId="0" borderId="0" xfId="0" applyFont="1" applyAlignment="1">
      <alignment horizontal="center" vertical="center" wrapText="1"/>
    </xf>
    <xf numFmtId="0" fontId="25" fillId="0" borderId="0" xfId="0" applyFont="1" applyAlignment="1" applyProtection="1">
      <alignment horizontal="center" vertical="center" wrapText="1"/>
      <protection locked="0"/>
    </xf>
    <xf numFmtId="0" fontId="26" fillId="0" borderId="0" xfId="0" applyFont="1" applyAlignment="1" applyProtection="1">
      <alignment horizontal="center" vertical="center" wrapText="1"/>
      <protection locked="0"/>
    </xf>
    <xf numFmtId="0" fontId="2" fillId="13"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8" fillId="0" borderId="0" xfId="1" applyAlignment="1">
      <alignment horizontal="center" vertical="center" wrapText="1"/>
    </xf>
    <xf numFmtId="165" fontId="0" fillId="0" borderId="0" xfId="0" applyNumberFormat="1"/>
    <xf numFmtId="165" fontId="0" fillId="10" borderId="0" xfId="0" applyNumberFormat="1" applyFill="1"/>
    <xf numFmtId="165" fontId="2" fillId="12" borderId="0" xfId="0" applyNumberFormat="1" applyFont="1" applyFill="1"/>
    <xf numFmtId="9" fontId="0" fillId="0" borderId="0" xfId="0" applyNumberFormat="1"/>
    <xf numFmtId="0" fontId="29" fillId="0" borderId="19" xfId="0" applyFont="1" applyBorder="1" applyAlignment="1" applyProtection="1">
      <alignment horizontal="center" vertical="center" wrapText="1"/>
      <protection locked="0"/>
    </xf>
    <xf numFmtId="0" fontId="29" fillId="14" borderId="19" xfId="0" applyFont="1" applyFill="1" applyBorder="1" applyAlignment="1" applyProtection="1">
      <alignment horizontal="center" vertical="center" wrapText="1"/>
      <protection locked="0"/>
    </xf>
    <xf numFmtId="0" fontId="2" fillId="10" borderId="5" xfId="0" applyFont="1" applyFill="1" applyBorder="1" applyAlignment="1">
      <alignment horizontal="center" vertical="center" wrapText="1"/>
    </xf>
    <xf numFmtId="0" fontId="1" fillId="0" borderId="0" xfId="0" applyFont="1" applyAlignment="1" applyProtection="1">
      <alignment horizontal="center" vertical="center" wrapText="1"/>
      <protection locked="0"/>
    </xf>
    <xf numFmtId="49" fontId="1" fillId="0" borderId="0" xfId="0" applyNumberFormat="1" applyFont="1" applyAlignment="1" applyProtection="1">
      <alignment horizontal="center" vertical="center" wrapText="1"/>
      <protection locked="0"/>
    </xf>
    <xf numFmtId="0" fontId="30" fillId="0" borderId="0" xfId="0" applyFont="1" applyBorder="1" applyAlignment="1">
      <alignment horizontal="center" vertical="center" wrapText="1"/>
    </xf>
    <xf numFmtId="0" fontId="0" fillId="10" borderId="0" xfId="0" applyFill="1" applyAlignment="1">
      <alignment horizontal="center" vertical="center" wrapText="1"/>
    </xf>
    <xf numFmtId="0" fontId="0" fillId="0" borderId="0" xfId="0" applyFill="1" applyAlignment="1">
      <alignment horizontal="center" vertical="center" wrapText="1"/>
    </xf>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6" fillId="8" borderId="8"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14" xfId="0" applyFont="1" applyFill="1" applyBorder="1" applyAlignment="1">
      <alignment horizontal="center" vertical="center" wrapText="1"/>
    </xf>
  </cellXfs>
  <cellStyles count="2">
    <cellStyle name="Hyperlink" xfId="1" xr:uid="{00000000-000B-0000-0000-000008000000}"/>
    <cellStyle name="Normal" xfId="0" builtinId="0"/>
  </cellStyles>
  <dxfs count="500">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9" formatCode="d/mm/yyyy"/>
      <alignment horizontal="center" vertical="center" textRotation="0" wrapText="1" indent="0" justifyLastLine="0" shrinkToFit="0" readingOrder="0"/>
      <border>
        <left style="medium">
          <color rgb="FF000000"/>
        </left>
      </border>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1"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border>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1" indent="0" justifyLastLine="0" shrinkToFit="0" readingOrder="0"/>
      <border diagonalUp="0" diagonalDown="0">
        <left style="medium">
          <color rgb="FF000000"/>
        </left>
        <right/>
        <top/>
        <bottom/>
      </border>
      <protection locked="1"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1" hidden="0"/>
    </dxf>
    <dxf>
      <numFmt numFmtId="164" formatCode="_-[$$-240A]\ * #,##0.00_-;\-[$$-240A]\ * #,##0.00_-;_-[$$-240A]\ * &quot;-&quot;??_-;_-@_-"/>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164" formatCode="_-[$$-240A]\ * #,##0.00_-;\-[$$-240A]\ * #,##0.00_-;_-[$$-240A]\ * &quot;-&quot;??_-;_-@_-"/>
      <alignment horizontal="center" vertical="center" textRotation="0" wrapText="1" indent="0" justifyLastLine="0" shrinkToFit="0" readingOrder="0"/>
      <protection locked="1" hidden="0"/>
    </dxf>
    <dxf>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1"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font>
        <b/>
        <family val="2"/>
      </font>
      <numFmt numFmtId="165" formatCode="[$$-240A]\ #,##0.00"/>
      <alignment horizontal="center" vertical="center" textRotation="0" wrapText="1" indent="0" justifyLastLine="0" shrinkToFit="0" readingOrder="0"/>
      <protection locked="1"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1"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1"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1"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border>
        <left style="medium">
          <color rgb="FF000000"/>
        </left>
      </border>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left style="medium">
          <color rgb="FF000000"/>
        </left>
      </border>
      <protection locked="1" hidden="0"/>
    </dxf>
    <dxf>
      <numFmt numFmtId="19" formatCode="d/mm/yyyy"/>
      <alignment horizontal="center" vertical="center" textRotation="0" wrapText="1" indent="0" justifyLastLine="0" shrinkToFit="0" readingOrder="0"/>
      <protection locked="0" hidden="0"/>
    </dxf>
    <dxf>
      <numFmt numFmtId="170" formatCode="dd/mm/yyyy"/>
      <alignment horizontal="center" vertical="center" textRotation="0" wrapText="1" indent="0" justifyLastLine="0" shrinkToFit="0" readingOrder="0"/>
      <protection locked="1" hidden="0"/>
    </dxf>
    <dxf>
      <numFmt numFmtId="19" formatCode="d/mm/yyyy"/>
      <alignment horizontal="center" vertical="center" textRotation="0" wrapText="1" indent="0" justifyLastLine="0" shrinkToFit="0" readingOrder="0"/>
      <protection locked="0" hidden="0"/>
    </dxf>
    <dxf>
      <numFmt numFmtId="1" formatCode="0"/>
      <alignment horizontal="center" vertical="center" textRotation="0" wrapText="1" indent="0" justifyLastLine="0" shrinkToFit="0" readingOrder="0"/>
    </dxf>
    <dxf>
      <numFmt numFmtId="19" formatCode="d/mm/yyyy"/>
      <alignment horizontal="center" vertical="center" textRotation="0" wrapText="1" indent="0" justifyLastLine="0" shrinkToFit="0" readingOrder="0"/>
      <protection locked="0" hidden="0"/>
    </dxf>
    <dxf>
      <numFmt numFmtId="1" formatCode="0"/>
      <alignment horizontal="center" vertical="center" textRotation="0" wrapText="1" indent="0" justifyLastLine="0" shrinkToFit="0" readingOrder="0"/>
      <protection locked="1" hidden="0"/>
    </dxf>
    <dxf>
      <numFmt numFmtId="19" formatCode="d/mm/yyyy"/>
      <alignment horizontal="center" vertical="center" textRotation="0" wrapText="1" indent="0" justifyLastLine="0" shrinkToFit="0" readingOrder="0"/>
      <protection locked="0" hidden="0"/>
    </dxf>
    <dxf>
      <numFmt numFmtId="1" formatCode="0"/>
      <alignment horizontal="center" vertical="center" textRotation="0" wrapText="1" indent="0" justifyLastLine="0" shrinkToFit="0" readingOrder="0"/>
    </dxf>
    <dxf>
      <numFmt numFmtId="19" formatCode="d/mm/yyyy"/>
      <alignment horizontal="center" vertical="center" textRotation="0" wrapText="1" indent="0" justifyLastLine="0" shrinkToFit="0" readingOrder="0"/>
      <protection locked="0" hidden="0"/>
    </dxf>
    <dxf>
      <numFmt numFmtId="1" formatCode="0"/>
      <alignment horizontal="center" vertical="center" textRotation="0" wrapText="1" indent="0" justifyLastLine="0" shrinkToFit="0" readingOrder="0"/>
      <protection locked="1" hidden="0"/>
    </dxf>
    <dxf>
      <numFmt numFmtId="19" formatCode="d/mm/yyyy"/>
      <alignment horizontal="center" vertical="center" textRotation="0" wrapText="1" indent="0" justifyLastLine="0" shrinkToFit="0" readingOrder="0"/>
      <protection locked="0" hidden="0"/>
    </dxf>
    <dxf>
      <numFmt numFmtId="169" formatCode="0.0"/>
      <alignment horizontal="center" vertical="center" textRotation="0" wrapText="1" indent="0" justifyLastLine="0" shrinkToFit="0" readingOrder="0"/>
      <protection locked="1" hidden="0"/>
    </dxf>
    <dxf>
      <numFmt numFmtId="19" formatCode="d/mm/yyyy"/>
      <alignment horizontal="center" vertical="center" textRotation="0" wrapText="1" indent="0" justifyLastLine="0" shrinkToFit="0" readingOrder="0"/>
      <protection locked="0" hidden="0"/>
    </dxf>
    <dxf>
      <numFmt numFmtId="170" formatCode="dd/mm/yyyy"/>
      <alignment horizontal="center" vertical="center" textRotation="0" wrapText="1" indent="0" justifyLastLine="0" shrinkToFit="0" readingOrder="0"/>
      <protection locked="1"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font>
        <b/>
      </font>
      <numFmt numFmtId="170" formatCode="dd/mm/yyyy"/>
      <alignment horizontal="center" vertical="center" textRotation="0" wrapText="1" indent="0" justifyLastLine="0" shrinkToFit="0" readingOrder="0"/>
      <border>
        <left style="medium">
          <color rgb="FF000000"/>
        </left>
      </border>
      <protection locked="1"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dxf>
    <dxf>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protection locked="1" hidden="0"/>
    </dxf>
    <dxf>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border diagonalUp="0" diagonalDown="0">
        <left style="medium">
          <color rgb="FF000000"/>
        </left>
        <right/>
        <top/>
        <bottom/>
        <vertical/>
        <horizontal/>
      </border>
      <protection locked="1"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rgb="FF000000"/>
        </left>
        <right/>
      </border>
      <protection locked="1"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font>
        <b/>
        <i val="0"/>
        <strike val="0"/>
        <condense val="0"/>
        <extend val="0"/>
        <outline val="0"/>
        <shadow val="0"/>
        <u val="none"/>
        <vertAlign val="baseline"/>
        <sz val="11"/>
        <color theme="1"/>
        <name val="Aptos Narrow"/>
        <scheme val="none"/>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9" formatCode="d/mm/yyyy"/>
      <alignment horizontal="center" vertical="center" textRotation="0" wrapText="1" indent="0" justifyLastLine="0" shrinkToFit="0" readingOrder="0"/>
      <border>
        <left style="medium">
          <color rgb="FF000000"/>
        </left>
      </border>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0" indent="0" justifyLastLine="0" shrinkToFit="0" readingOrder="0"/>
      <border diagonalUp="0" diagonalDown="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1" indent="0" justifyLastLine="0" shrinkToFit="0" readingOrder="0"/>
      <border diagonalUp="0" diagonalDown="0">
        <left style="medium">
          <color rgb="FF000000"/>
        </left>
        <right/>
        <top/>
        <bottom/>
      </border>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font>
        <b/>
        <family val="2"/>
      </font>
      <numFmt numFmtId="165" formatCode="[$$-240A]\ #,##0.00"/>
      <alignment horizontal="center" vertical="center" textRotation="0" wrapText="1" indent="0" justifyLastLine="0" shrinkToFit="0" readingOrder="0"/>
      <border>
        <left style="medium">
          <color rgb="FF000000"/>
        </left>
        <right style="medium">
          <color rgb="FF000000"/>
        </right>
      </border>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border>
        <left style="medium">
          <color rgb="FF000000"/>
        </left>
        <right style="medium">
          <color rgb="FF000000"/>
        </right>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font>
        <b/>
      </font>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border>
      <protection locked="0"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font>
        <b/>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wrapText="1" indent="0" justifyLastLine="0" shrinkToFit="0" readingOrder="0"/>
      <border diagonalUp="0" diagonalDown="0" outline="0">
        <left/>
        <right style="medium">
          <color indexed="64"/>
        </right>
        <top/>
        <bottom/>
      </border>
      <protection locked="0" hidden="0"/>
    </dxf>
    <dxf>
      <alignment horizontal="center" vertical="center" textRotation="0" wrapText="1" indent="0" justifyLastLine="0" shrinkToFit="0" readingOrder="0"/>
      <border diagonalUp="0" diagonalDown="0">
        <left/>
        <right style="medium">
          <color indexed="64"/>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top/>
        <bottom/>
        <vertical/>
        <horizontal/>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border diagonalUp="0" diagonalDown="0" outline="0">
        <left style="medium">
          <color rgb="FF000000"/>
        </left>
        <right/>
        <top/>
        <bottom/>
      </border>
      <protection locked="0" hidden="0"/>
    </dxf>
    <dxf>
      <numFmt numFmtId="19" formatCode="d/mm/yyyy"/>
      <alignment horizontal="center" vertical="center" textRotation="0" wrapText="1" indent="0" justifyLastLine="0" shrinkToFit="0" readingOrder="0"/>
      <border>
        <left style="medium">
          <color rgb="FF000000"/>
        </left>
      </border>
      <protection locked="0" hidden="0"/>
    </dxf>
    <dxf>
      <numFmt numFmtId="13" formatCode="0%"/>
      <alignment horizontal="center" vertical="center" textRotation="0" wrapText="1" indent="0" justifyLastLine="0" shrinkToFit="0" readingOrder="0"/>
      <protection locked="0" hidden="0"/>
    </dxf>
    <dxf>
      <numFmt numFmtId="13" formatCode="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0" formatCode="General"/>
      <alignment horizontal="center" vertical="center" textRotation="0" wrapText="1" indent="0" justifyLastLine="0" shrinkToFit="0" readingOrder="0"/>
      <protection locked="0" hidden="0"/>
    </dxf>
    <dxf>
      <alignment horizontal="center" vertical="center" textRotation="0" wrapText="0" indent="0" justifyLastLine="0" shrinkToFit="0" readingOrder="0"/>
      <border diagonalUp="0" diagonalDown="0" outline="0">
        <left/>
        <right style="medium">
          <color indexed="64"/>
        </right>
        <top/>
        <bottom/>
      </border>
      <protection locked="0" hidden="0"/>
    </dxf>
    <dxf>
      <alignment horizontal="center" vertical="center" textRotation="0" wrapText="0" indent="0" justifyLastLine="0" shrinkToFit="0" readingOrder="0"/>
      <border diagonalUp="0" diagonalDown="0">
        <left/>
        <right style="medium">
          <color indexed="64"/>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rgb="FF000000"/>
        </left>
        <right/>
        <top/>
        <bottom/>
      </border>
      <protection locked="0" hidden="0"/>
    </dxf>
    <dxf>
      <alignment horizontal="center" vertical="center" textRotation="0" wrapText="1" indent="0" justifyLastLine="0" shrinkToFit="0" readingOrder="0"/>
      <border diagonalUp="0" diagonalDown="0">
        <left style="medium">
          <color rgb="FF000000"/>
        </left>
        <right/>
        <top/>
        <bottom/>
      </border>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0" indent="0" justifyLastLine="0" shrinkToFit="0" readingOrder="0"/>
      <protection locked="0" hidden="0"/>
    </dxf>
    <dxf>
      <alignment horizontal="center" vertical="center" textRotation="0" wrapText="0"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numFmt numFmtId="164" formatCode="_-[$$-240A]\ * #,##0.00_-;\-[$$-240A]\ * #,##0.00_-;_-[$$-240A]\ * &quot;-&quot;??_-;_-@_-"/>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65" formatCode="[$$-240A]\ #,##0.00"/>
      <alignment horizontal="center" vertical="center" textRotation="0" wrapText="1" indent="0" justifyLastLine="0" shrinkToFit="0" readingOrder="0"/>
      <protection locked="0" hidden="0"/>
    </dxf>
    <dxf>
      <font>
        <b/>
        <family val="2"/>
      </font>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numFmt numFmtId="165" formatCode="[$$-240A]\ #,##0.00"/>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protection locked="0" hidden="0"/>
    </dxf>
    <dxf>
      <font>
        <b/>
      </font>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1"/>
        <name val="Aptos Narrow"/>
        <family val="2"/>
        <scheme val="minor"/>
      </font>
      <numFmt numFmtId="19" formatCode="d/mm/yyyy"/>
      <alignment horizontal="center" vertical="center" textRotation="0" wrapText="1" indent="0" justifyLastLine="0" shrinkToFit="0" readingOrder="0"/>
      <protection locked="0" hidden="0"/>
    </dxf>
    <dxf>
      <font>
        <b/>
      </font>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numFmt numFmtId="19" formatCode="d/mm/yyyy"/>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center" vertical="center" textRotation="0" wrapText="1" indent="0" justifyLastLine="0" shrinkToFit="0" readingOrder="0"/>
      <border diagonalUp="0" diagonalDown="0" outline="0">
        <left style="medium">
          <color indexed="64"/>
        </left>
        <right/>
        <top/>
        <bottom/>
      </border>
      <protection locked="0" hidden="0"/>
    </dxf>
    <dxf>
      <alignment horizontal="center" vertical="center" textRotation="0" wrapText="1" indent="0" justifyLastLine="0" shrinkToFit="0" readingOrder="0"/>
      <border diagonalUp="0" diagonalDown="0">
        <left style="medium">
          <color indexed="64"/>
        </left>
        <right/>
      </border>
      <protection locked="0" hidden="0"/>
    </dxf>
    <dxf>
      <border outline="0">
        <right style="thin">
          <color rgb="FF000000"/>
        </right>
        <top style="thin">
          <color rgb="FF000000"/>
        </top>
      </border>
    </dxf>
    <dxf>
      <alignment horizontal="center" vertical="center" textRotation="0" wrapText="1" indent="0" justifyLastLine="0" shrinkToFit="0" readingOrder="0"/>
      <protection locked="0" hidden="0"/>
    </dxf>
    <dxf>
      <border outline="0">
        <bottom style="thin">
          <color rgb="FF000000"/>
        </bottom>
      </border>
    </dxf>
    <dxf>
      <font>
        <b/>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165" formatCode="[$$-240A]\ #,##0.00"/>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name val="Arial"/>
      </font>
      <numFmt numFmtId="165" formatCode="[$$-240A]\ #,##0.00"/>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font>
      <numFmt numFmtId="19" formatCode="d/mm/yyyy"/>
      <alignment horizontal="center" vertical="center" textRotation="0" wrapText="1" indent="0" justifyLastLine="0" shrinkToFit="0" readingOrder="0"/>
    </dxf>
    <dxf>
      <font>
        <name val="Arial"/>
      </font>
      <numFmt numFmtId="0" formatCode="General"/>
      <alignment horizontal="center" vertical="center" textRotation="0" wrapText="1" indent="0" justifyLastLine="0" shrinkToFit="0" readingOrder="0"/>
    </dxf>
    <dxf>
      <font>
        <b val="0"/>
        <name val="Arial"/>
      </font>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name val="Arial"/>
        <scheme val="none"/>
      </font>
      <numFmt numFmtId="165" formatCode="[$$-240A]\ #,##0.00"/>
      <alignment horizontal="center" vertical="center" textRotation="0" wrapText="0" indent="0" justifyLastLine="0" shrinkToFit="0" readingOrder="0"/>
    </dxf>
    <dxf>
      <font>
        <name val="Arial"/>
        <scheme val="none"/>
      </font>
      <numFmt numFmtId="165" formatCode="[$$-240A]\ #,##0.0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scheme val="none"/>
      </font>
      <numFmt numFmtId="165" formatCode="[$$-240A]\ #,##0.00"/>
      <alignment horizontal="center" vertical="center" textRotation="0" wrapText="1" indent="0" justifyLastLine="0" shrinkToFit="0" readingOrder="0"/>
    </dxf>
    <dxf>
      <font>
        <name val="Arial"/>
        <scheme val="none"/>
      </font>
      <numFmt numFmtId="165" formatCode="[$$-240A]\ #,##0.00"/>
      <alignment horizontal="center" vertical="center" textRotation="0" wrapText="1" indent="0" justifyLastLine="0" shrinkToFit="0" readingOrder="0"/>
    </dxf>
    <dxf>
      <font>
        <name val="Arial"/>
        <scheme val="none"/>
      </font>
      <alignment horizontal="center" vertical="center" textRotation="0" wrapText="1" indent="0" justifyLastLine="0" shrinkToFit="0" readingOrder="0"/>
    </dxf>
    <dxf>
      <font>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name val="Arial"/>
        <scheme val="none"/>
      </font>
      <numFmt numFmtId="19" formatCode="d/mm/yyyy"/>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19" formatCode="d/mm/yyyy"/>
      <alignment horizontal="center" vertical="center" textRotation="0" wrapText="1" indent="0" justifyLastLine="0" shrinkToFit="0" readingOrder="0"/>
    </dxf>
    <dxf>
      <font>
        <name val="Arial"/>
        <scheme val="none"/>
      </font>
      <numFmt numFmtId="19" formatCode="d/mm/yyyy"/>
      <alignment horizontal="center" vertical="center" textRotation="0" wrapText="1" indent="0" justifyLastLine="0" shrinkToFit="0" readingOrder="0"/>
    </dxf>
    <dxf>
      <font>
        <name val="Arial"/>
      </font>
      <alignment horizontal="center" vertical="center" textRotation="0" wrapText="1" indent="0" justifyLastLine="0" shrinkToFit="0" readingOrder="0"/>
    </dxf>
    <dxf>
      <font>
        <b val="0"/>
        <name val="Arial"/>
      </font>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00CC99"/>
      <color rgb="FF0A1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737853472223" createdVersion="8" refreshedVersion="8" minRefreshableVersion="3" recordCount="120" xr:uid="{E7613CED-0C63-43CE-B85D-2C13BF1FADB9}">
  <cacheSource type="worksheet">
    <worksheetSource name="Tabla25[[AÑO]:[MODALIDAD DE CONTRATACIÓN]]"/>
  </cacheSource>
  <cacheFields count="34">
    <cacheField name="AÑO" numFmtId="0">
      <sharedItems containsString="0" containsBlank="1" containsNumber="1" containsInteger="1" minValue="2020" maxValue="2025" count="7">
        <n v="2020"/>
        <n v="2021"/>
        <n v="2022"/>
        <n v="2023"/>
        <n v="2024"/>
        <n v="2025"/>
        <m/>
      </sharedItems>
    </cacheField>
    <cacheField name="# CONTRATO" numFmtId="0">
      <sharedItems containsBlank="1" containsMixedTypes="1" containsNumber="1" containsInteger="1" minValue="1" maxValue="7216296" count="85">
        <s v="TransMigrARTS ID 101"/>
        <s v="CO1.PCCNTR.2564825"/>
        <s v="010-2021"/>
        <s v="CO1.PCCNTR.3451677"/>
        <s v="0475-2022"/>
        <s v="0668-2022"/>
        <s v="914-2022"/>
        <s v="FDLM-177-2022(85246)"/>
        <s v="CONV ESPECIAL COOPER_x000a_"/>
        <s v="FDLM-169-2023(92100)"/>
        <s v="80740-021-2023"/>
        <s v="06-5-10317-24"/>
        <s v="CM-361-2024"/>
        <s v="06-5-10329-2024"/>
        <s v="CI-593-2024"/>
        <s v="IDIGER-393-2024"/>
        <s v="CIA-1135-2024"/>
        <s v="FDLF-CI-721-2024"/>
        <s v="CIA-1156-2024"/>
        <s v="FDLBU-CI-515-2024"/>
        <s v="583 DE 2024"/>
        <s v="707-2024 CTO-INT"/>
        <s v="FDLSC-CVNI-1161-2024"/>
        <s v="CIA-1160-2024"/>
        <s v="414 DE 2024"/>
        <s v="FAC-MED-8204"/>
        <s v="002 DE 2024"/>
        <s v="2024-0523"/>
        <s v="FAC-ASAB-8211"/>
        <s v="307-2024"/>
        <s v="07-5-20164-24"/>
        <s v="FAC-ASAB-8214"/>
        <s v="06-5-10230-24"/>
        <s v="FAC-ASAB-8210"/>
        <s v="FAC-ASAB-8213"/>
        <s v="FAC-ASAB-8212"/>
        <s v="FAC-ING-8203"/>
        <s v="200-30.4-562-2024"/>
        <s v="506 de 2024"/>
        <s v="CINT-448-2024_x000a_"/>
        <s v="FAC-CIE-8217"/>
        <s v="137-2024"/>
        <s v="IMC-005 DE 2024"/>
        <s v="089-00-G-CACOM4-DEDHU-_x000a_2024"/>
        <s v="UAESP-560-2024"/>
        <s v="CI-1313-2024"/>
        <s v="30 DE 2024"/>
        <s v="CIA-1694-2024"/>
        <s v="CI-1704-2024"/>
        <s v="CIA-1703-2024"/>
        <s v="CIA-1134-2024"/>
        <s v="C-056-2025"/>
        <s v="CO1.PCCNTR.7685385-2025"/>
        <s v="80-7-10024-25"/>
        <n v="7216296"/>
        <s v="80-7-10035-25"/>
        <n v="250366"/>
        <s v="CI-0720-2025"/>
        <s v="ANSV-036-2025"/>
        <s v="STD-CD-CI-087-2025"/>
        <s v="5932 DE 2025"/>
        <n v="1"/>
        <s v="296 DE 2025"/>
        <s v="08-5-16001-25"/>
        <s v="FAC-ASAB-8224-2025"/>
        <s v="ILUD25"/>
        <s v="FAC-TECNO-8227"/>
        <s v="FAC-ING- 8205"/>
        <s v="ANSV-035-2025"/>
        <s v="CONVENIO DE COOPERACION No. 004 DE 2025"/>
        <s v="_x0009_CD-CON-INTER-004-180"/>
        <s v="CI-307-2025"/>
        <s v="CD-CINT-170-2025"/>
        <s v="SSF CPS 211 DE 2025"/>
        <s v="050.3.021.027.538.2025"/>
        <s v="0603 DE 2025"/>
        <s v="136 DE 2025"/>
        <s v="DAFPC-CD-CI-045-2025"/>
        <s v="CONTRATO INTERAD-553-2025"/>
        <s v="CD-CI-67-2025"/>
        <s v="1943-2025"/>
        <s v="UAESP-387-2025"/>
        <s v="001 DE 2025"/>
        <s v="1572-2025"/>
        <m/>
      </sharedItems>
    </cacheField>
    <cacheField name="ENTIDAD" numFmtId="0">
      <sharedItems containsBlank="1"/>
    </cacheField>
    <cacheField name="NÚMERO INTERNO SIEXUD" numFmtId="0">
      <sharedItems containsString="0" containsBlank="1" containsNumber="1" containsInteger="1" minValue="6503" maxValue="6932"/>
    </cacheField>
    <cacheField name="COMITÉ DE APROBACIÓN" numFmtId="0">
      <sharedItems containsBlank="1"/>
    </cacheField>
    <cacheField name="CORREO PRINCIPAL DEL PROYECTO" numFmtId="0">
      <sharedItems containsBlank="1"/>
    </cacheField>
    <cacheField name="AB0GADO ASIGNADO AL PROYECTO" numFmtId="0">
      <sharedItems containsBlank="1"/>
    </cacheField>
    <cacheField name="PERSONA ENCARGADA DE LA INICIACION" numFmtId="0">
      <sharedItems containsBlank="1"/>
    </cacheField>
    <cacheField name="PERSONA ENCARGADA DEL SEGUIMIENTO" numFmtId="0">
      <sharedItems containsBlank="1"/>
    </cacheField>
    <cacheField name="RELEVANCIA TIEMPO" numFmtId="0">
      <sharedItems containsMixedTypes="1" containsNumber="1" containsInteger="1" minValue="1" maxValue="5"/>
    </cacheField>
    <cacheField name="RELEVANCIA MONTO" numFmtId="0">
      <sharedItems containsMixedTypes="1" containsNumber="1" containsInteger="1" minValue="1" maxValue="5"/>
    </cacheField>
    <cacheField name="PRIORIZACIÓN POR RELEVANCIA" numFmtId="0">
      <sharedItems containsMixedTypes="1" containsNumber="1" containsInteger="1" minValue="2" maxValue="10"/>
    </cacheField>
    <cacheField name="FECHA ULTIMO SEGUIMIENTO PMO" numFmtId="0">
      <sharedItems containsNonDate="0" containsString="0" containsBlank="1"/>
    </cacheField>
    <cacheField name="FECHA DE SUSCRIPCIÓN" numFmtId="14">
      <sharedItems containsNonDate="0" containsDate="1" containsString="0" containsBlank="1" minDate="2020-12-14T00:00:00" maxDate="2025-07-22T00:00:00"/>
    </cacheField>
    <cacheField name="FECHA DE INICIO" numFmtId="14">
      <sharedItems containsNonDate="0" containsDate="1" containsString="0" containsBlank="1" minDate="2020-12-14T00:00:00" maxDate="2025-07-17T00:00:00"/>
    </cacheField>
    <cacheField name="TIEMPO TOTAL _x000a_(MESES)" numFmtId="169">
      <sharedItems containsMixedTypes="1" containsNumber="1" minValue="1.9726027397260273" maxValue="60.591780821917808"/>
    </cacheField>
    <cacheField name="TIEMPO INICIAL_x000a_(DÍAS)" numFmtId="0">
      <sharedItems containsString="0" containsBlank="1" containsNumber="1" containsInteger="1" minValue="19" maxValue="1843"/>
    </cacheField>
    <cacheField name="SUSPENSIÓN_x000a_(DÍAS)" numFmtId="0">
      <sharedItems containsString="0" containsBlank="1" containsNumber="1" containsInteger="1" minValue="0" maxValue="33"/>
    </cacheField>
    <cacheField name="PRÓRROGA_x000a_(DÍAS)" numFmtId="1">
      <sharedItems containsString="0" containsBlank="1" containsNumber="1" containsInteger="1" minValue="0" maxValue="720"/>
    </cacheField>
    <cacheField name="DÍAS EJECUTADOS" numFmtId="1">
      <sharedItems containsMixedTypes="1" containsNumber="1" containsInteger="1" minValue="7" maxValue="2212"/>
    </cacheField>
    <cacheField name="FECHA DE FINALIZACIÓN" numFmtId="14">
      <sharedItems containsDate="1" containsMixedTypes="1" minDate="2024-06-08T00:00:00" maxDate="2026-08-28T00:00:00"/>
    </cacheField>
    <cacheField name="DEPENDENCIA EJECUTORA" numFmtId="0">
      <sharedItems containsBlank="1"/>
    </cacheField>
    <cacheField name="ESTADO" numFmtId="0">
      <sharedItems/>
    </cacheField>
    <cacheField name="MODALIDAD" numFmtId="0">
      <sharedItems containsBlank="1"/>
    </cacheField>
    <cacheField name="APORTE ENTIDAD" numFmtId="165">
      <sharedItems containsString="0" containsBlank="1" containsNumber="1" minValue="0" maxValue="19056054896.799999"/>
    </cacheField>
    <cacheField name="ADICIÓN APORTE ENTIDAD 2025" numFmtId="165">
      <sharedItems containsString="0" containsBlank="1" containsNumber="1" minValue="-2847000" maxValue="1980000000"/>
    </cacheField>
    <cacheField name="CONTRAPARTIDA" numFmtId="165">
      <sharedItems containsString="0" containsBlank="1" containsNumber="1" containsInteger="1" minValue="0" maxValue="1329166667"/>
    </cacheField>
    <cacheField name="ADICIÓN CONTRAPARTIDA 2025" numFmtId="165">
      <sharedItems containsString="0" containsBlank="1" containsNumber="1" containsInteger="1" minValue="0" maxValue="49479499"/>
    </cacheField>
    <cacheField name="VALOR TOTAL" numFmtId="165">
      <sharedItems containsSemiMixedTypes="0" containsString="0" containsNumber="1" minValue="0" maxValue="19056054896.799999"/>
    </cacheField>
    <cacheField name="BENEFICIO INSTITUCIONAL" numFmtId="164">
      <sharedItems containsSemiMixedTypes="0" containsString="0" containsNumber="1" minValue="0" maxValue="2041720167.5142853"/>
    </cacheField>
    <cacheField name="OBJETO" numFmtId="0">
      <sharedItems containsBlank="1" longText="1"/>
    </cacheField>
    <cacheField name="FORMA DE PAGO" numFmtId="0">
      <sharedItems containsBlank="1" longText="1"/>
    </cacheField>
    <cacheField name="TIPO DE PROYECTO" numFmtId="0">
      <sharedItems containsBlank="1"/>
    </cacheField>
    <cacheField name="MODALIDAD DE CONTRATACIÓN" numFmtId="0">
      <sharedItems containsBlank="1" count="8">
        <s v="CONTRATACIÓN DIRECTA"/>
        <s v="LICITACIÓN"/>
        <s v="PROYECTOS DE EDUCACIÓN CONTINUADA"/>
        <s v="ASESORÍAS"/>
        <s v="CONSULTORÍAS"/>
        <s v="PROYECTOS ESPECIALES"/>
        <s v="OTRAS FORMAS DE CONTRATACIÓ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s v="UNIÓN EUROPEA"/>
    <n v="6503"/>
    <s v="NO APLICA"/>
    <m/>
    <s v="ANGEL ROZO"/>
    <m/>
    <m/>
    <n v="1"/>
    <n v="3"/>
    <n v="4"/>
    <m/>
    <d v="2020-12-14T00:00:00"/>
    <d v="2020-12-14T00:00:00"/>
    <n v="60.591780821917808"/>
    <n v="1843"/>
    <n v="0"/>
    <n v="0"/>
    <n v="1682"/>
    <d v="2025-12-31T00:00:00"/>
    <s v="CENTRO DE RELACIONES INTERINSTITUCIONALES - CERI"/>
    <s v="EN EJECUCIÓN"/>
    <s v="PROYECTOS DE EDUCACIÓN CONTINUADA"/>
    <n v="1500051991"/>
    <n v="0"/>
    <n v="0"/>
    <n v="0"/>
    <n v="1500051991"/>
    <n v="0"/>
    <s v="TRANSFORMAR LA MIGRACIï¿½N MEDIANTE LAS ARTES CON EL OBJETIVO DE OBSERVAR, EVALUAR, MODELAR Y REALIZAR TALLERES ARTï¿½STICOS (TEATRO, DANZA, PAYASADAS, Mï¿½SICA Y PERFORMANCE) A MIGRANTES EN SITUACIONES DE VULNERABILIDAD."/>
    <s v="-"/>
    <s v="CONTRATO INTERADMINISTRATIVO"/>
    <x v="0"/>
  </r>
  <r>
    <x v="1"/>
    <x v="1"/>
    <s v="SERVICIO NACIONAL DE APRENDIZAJE - SENA"/>
    <n v="6532"/>
    <s v="NO APLICA"/>
    <m/>
    <s v="ALBERTINA VIOLA VERGARA"/>
    <s v="NO APLICA"/>
    <m/>
    <n v="1"/>
    <n v="5"/>
    <n v="6"/>
    <m/>
    <d v="2021-05-07T00:00:00"/>
    <d v="2021-06-22T00:00:00"/>
    <n v="54.016438356164379"/>
    <n v="923"/>
    <n v="0"/>
    <n v="720"/>
    <n v="2212"/>
    <d v="2025-12-21T00:00:00"/>
    <s v="OFICINA DE EXTENSIÓN - IDEXUD"/>
    <s v="EN EJECUCIÓN"/>
    <s v="ASISTENCIA TÉCNICA Y/O TECNOLÓGICA"/>
    <n v="7279682085"/>
    <n v="1980000000"/>
    <n v="0"/>
    <n v="0"/>
    <n v="9259682085"/>
    <n v="992108794.82142854"/>
    <s v="CONTRATAR LOS SERVICIOS DE GESTIï¿½N, OPERACIï¿½N, ADMINISTRACIï¿½N DE LOS RECURSOS E IMPLEMENTACIï¿½N DE LA RUTA COMPLETA DE CREACIï¿½N, PUESTA EN MARCHA Y SOSTENIBILIDAD DE LOS PROYECTOS DEL FONDO EMPRENDER, CONFORME AL MODELO 4K DEL EMPRENDIMIENTO SENA, LOS LINEAMIENTOS DEL FONDO EMPRENDER Y DEL SENA, BRINDANDO SOPORTE Tï¿½CNICO, ADMINISTRATIVO, JURï¿½DICO, FINANCIERO Y RECUPERACIï¿½N DE CARTERA."/>
    <s v="Un primer pago por valor_x000a_del 30%. Segundo pago 30% en el mes catorce (14)_x000a_de ejecución del contrato. Tercer pago 20% del valor del contrato a los veinticinco (25) meses de_x000a_ejecución del contrato. Un cuarto pago 10% del valor del_x000a_contrato al mes_x000a_veintinueve (29) meses_x000a_de ejecución del contrato. pago 5 10% del valor del contrato, "/>
    <s v="CONTRATO INTERADMINISTRATIVO"/>
    <x v="1"/>
  </r>
  <r>
    <x v="1"/>
    <x v="2"/>
    <s v="GOBERNACIÓN DE LA GUAJIRA"/>
    <n v="6529"/>
    <s v="NO APLICA"/>
    <m/>
    <s v="ALBERTINA VIOLA VERGARA"/>
    <m/>
    <m/>
    <n v="1"/>
    <n v="3"/>
    <n v="4"/>
    <m/>
    <d v="2021-06-04T00:00:00"/>
    <d v="2021-06-04T00:00:00"/>
    <n v="44.350684931506848"/>
    <n v="1349"/>
    <n v="0"/>
    <n v="0"/>
    <n v="1510"/>
    <d v="2025-02-12T00:00:00"/>
    <s v="FACULTAD DE INGENIERÍA / UNIDAD DE EXTENSIÓN"/>
    <s v="FINALIZADO"/>
    <s v="INTERVENTORÍAS"/>
    <n v="577046931"/>
    <n v="0"/>
    <n v="0"/>
    <n v="0"/>
    <n v="577046931"/>
    <n v="5815144"/>
    <s v="INTERVENTORIA AL PROYECTO ï¿½TRANSFERENCIA DE  TECNOLOGIA Y CONOCIMIENTO PARA LA PRODUCCIï¿½N DE CARNE DE PESCADO Y ESPECIES VEGETALES QUE MITIGUEN LA INSEGURIDAD ALIMENTARIA DE PEQUEï¿½OS PRODUCTORES AGROPECUARIOS EN LAS TRES SUBREGIONES DEL  DEPARTAMENTO DE LA GUAJIRAï¿½."/>
    <s v="-"/>
    <s v="CONTRATO INTERADMINISTRATIVO"/>
    <x v="0"/>
  </r>
  <r>
    <x v="2"/>
    <x v="3"/>
    <s v="SERVICIO NACIONAL DE APRENDIZAJE - SENA"/>
    <n v="6607"/>
    <s v="NO APLICA"/>
    <m/>
    <s v="ALBERTINA VIOLA VERGARA"/>
    <s v="NO APLICA"/>
    <m/>
    <n v="1"/>
    <n v="5"/>
    <n v="6"/>
    <m/>
    <d v="2022-01-27T00:00:00"/>
    <d v="2022-02-10T00:00:00"/>
    <n v="41.950684931506849"/>
    <n v="1276"/>
    <n v="0"/>
    <n v="0"/>
    <n v="1259"/>
    <d v="2025-08-09T00:00:00"/>
    <s v="OFICINA DE EXTENSIÓN - IDEXUD"/>
    <s v="EN EJECUCIÓN"/>
    <s v="ASISTENCIA TÉCNICA Y/O TECNOLÓGICA"/>
    <n v="5408592000"/>
    <n v="0"/>
    <n v="0"/>
    <n v="0"/>
    <n v="5408592000"/>
    <n v="597961385.39999998"/>
    <s v="CONTRATAR LOS SERVICIOS DE GESTIÃ“N Y, ADMINISTRACIÃ“N DE LOS RECURSOS PARA LA OPERACIÃ“N DE LA RUTA DE CREACIÃ“N Y PUESTA EN MARCHA DE LOS PROYECTOS DEL FONDO EMPRENDER, CONFORME AL MODELO 4K DEL EMPRENDIMIENTO, LOS LINEAMIENTOS DEL FONDO EMPRENDER Y DEL SENA, BRINDANDO SOPORTE TÃ‰CNICO, ADMINISTRATIVO, JURÃDICO, FINANCIERO Y RECUPERACIÃ“N DE CARTERA."/>
    <s v="primer pago 30% del valor total de contrato. Segundo pago 30% del valor total del contrato. Tercer pago 35% del valor total del 5% del valor total del contrato._x000a_contrato. Cuarto pago "/>
    <s v="CONTRATO INTERADMINISTRATIVO"/>
    <x v="1"/>
  </r>
  <r>
    <x v="2"/>
    <x v="4"/>
    <s v="INSTITUTO COLOMBIANO DE CRÉDITO EDUCATIVO Y ESTUDIOS TÈNICOS EN EL EXTERIOR - ICETEX"/>
    <n v="6652"/>
    <s v="NO APLICA"/>
    <m/>
    <s v="ANGEL ROZO"/>
    <m/>
    <m/>
    <n v="1"/>
    <n v="3"/>
    <n v="4"/>
    <m/>
    <d v="2022-01-28T00:00:00"/>
    <d v="2022-01-28T00:00:00"/>
    <n v="36"/>
    <n v="1095"/>
    <n v="0"/>
    <n v="0"/>
    <n v="1272"/>
    <d v="2025-01-27T00:00:00"/>
    <s v="OFICINA DE INVESTIGACIONES - CIDC"/>
    <s v="FINALIZADO"/>
    <s v="PROYECTOS ESPECIALES"/>
    <n v="766480342"/>
    <n v="0"/>
    <n v="279517245"/>
    <n v="0"/>
    <n v="1045997587"/>
    <n v="0"/>
    <s v="OTORGAR APOYO ECONOMICO A AL ENTIDAD EJECUTORA, UNIVERSIDAD DISTRITAL FRANCISCO JOSÉ DE CALDAS, EN LA MODALIDAD DE RECUPERACIÓN CONTINGENTE PARA PROYECTOS SELECCIONADOS DE LA CONVOCATORIA 890 DE 2020,PARA &quot; INCLUSIÓN Y RECONOCIMIENTO DE LA DIVERSIDAD  Y DIFERENCIA CULTURAL EN LA EDUCACIÓN CIENTIFICA, MEDIANTE INNOVACIONESEDUCATIVAS QUE PROPICIEN EL DIÁLOGO ENTRE CONOCIMIENTOS CIENTIFICOS ACADÉMICOS (CCA) Y RADICIONALES-LOCALES (CTE) EN Y PARA COMUNIDADES RURALES, ESTUDIOS DE CASO FOSCA Y FOMEQUE."/>
    <s v="-"/>
    <s v="CONVENIO INTERADMINISTRATIVO"/>
    <x v="0"/>
  </r>
  <r>
    <x v="2"/>
    <x v="5"/>
    <s v="INSTITUTO COLOMBIANO DE CRÉDITO EDUCATIVO Y ESTUDIOS TÈNICOS EN EL EXTERIOR - ICETEX"/>
    <n v="6712"/>
    <s v="NO APLICA"/>
    <m/>
    <s v="ANGEL ROZO"/>
    <m/>
    <m/>
    <n v="1"/>
    <n v="3"/>
    <n v="4"/>
    <m/>
    <d v="2022-10-21T00:00:00"/>
    <d v="2022-10-21T00:00:00"/>
    <n v="29.983561643835614"/>
    <n v="912"/>
    <n v="0"/>
    <n v="0"/>
    <n v="1006"/>
    <d v="2025-04-20T00:00:00"/>
    <s v="OFICINA DE INVESTIGACIONES - CIDC"/>
    <s v="FINALIZADO"/>
    <s v="PROYECTOS ESPECIALES"/>
    <n v="408305587"/>
    <n v="0"/>
    <n v="606499128"/>
    <n v="0"/>
    <n v="1014804715"/>
    <n v="0"/>
    <s v="OTORGAR APOYO ECONÓMICO EN LA ENTIDAD EJECUTORA, UNIVERSIDAD DISTRITAL FRANCISCO JOSÉ DE CALDAS, EN LA MODALIDAD DE RECUPERACIÓN CONTINGENTE PARA PROYECTOS SELECCIONADOS DE LA CONVOCATORIA 890 DE 2020, PARA EVALUAR EL APROVECHAMIENTO DE LOS RESIDUOS SÓLIDOS ORGÁNICOS GENERADOS EN LA CIUDAD DE BOGOTÁ MEDIANTE EXPERIMENTACIÓN DE TECNOLOGÍA DE BIOCONVERSIÓN AEROBIA."/>
    <s v="-"/>
    <s v="CONVENIO INTERADMINISTRATIVO"/>
    <x v="0"/>
  </r>
  <r>
    <x v="2"/>
    <x v="6"/>
    <s v="SECRETARÍA DISTRITAL DE DESARROLLO ECONÓMICO"/>
    <n v="6698"/>
    <s v="NO APLICA"/>
    <m/>
    <s v="ANGEL ROZO"/>
    <m/>
    <m/>
    <n v="1"/>
    <n v="3"/>
    <n v="4"/>
    <m/>
    <d v="2022-12-22T00:00:00"/>
    <d v="2022-12-23T00:00:00"/>
    <n v="35.013698630136986"/>
    <n v="912"/>
    <n v="0"/>
    <n v="153"/>
    <n v="1096"/>
    <d v="2025-11-22T00:00:00"/>
    <s v="INSTITUTO DE INVESTIGACIÓN E INNOVACIÓN EN INGENIERÍA -I3+"/>
    <s v="EN EJECUCIÓN"/>
    <s v="ASESORÍAS"/>
    <n v="680689715"/>
    <n v="0"/>
    <n v="76000000"/>
    <n v="0"/>
    <n v="756689715"/>
    <n v="0"/>
    <s v="AUNAR ESFUERZOS TÉCNICOS, ADMINISTRATIVOS Y FINANCIEROS PARA LA EJECUCIÓN DEL PROYECTO FINANCIADO CON RECURSOS DEL SISTEMA GENERALES DE REGALÍAS, BPIN 2021000100397 “FORTALECIMIENTO DE CAPACIDADES PARA LA GESTIÓN, ADOPCIÓN E IMPLEMENTACIÓN DE PROCESOS DE INNOVACIÓN ABIERTA Y TECNOLÓGICA EN MIPYMES DE BOGOTÁ"/>
    <s v="-"/>
    <s v="CONVENIO INTERADMINISTRATIVO"/>
    <x v="0"/>
  </r>
  <r>
    <x v="2"/>
    <x v="7"/>
    <s v="FONDO DE DESARROLLO LOCAL DE LOS MARTIRES"/>
    <n v="6683"/>
    <s v="NO APLICA"/>
    <m/>
    <s v="ALBERTINA VIOLA VERGARA"/>
    <m/>
    <m/>
    <n v="1"/>
    <n v="1"/>
    <n v="2"/>
    <m/>
    <d v="2022-12-28T00:00:00"/>
    <d v="2023-04-17T00:00:00"/>
    <n v="12.657534246575342"/>
    <n v="182"/>
    <n v="33"/>
    <n v="203"/>
    <n v="998"/>
    <d v="2024-06-08T00:00:00"/>
    <s v="OFICINA DE EXTENSIÓN - IDEXUD"/>
    <s v="SUSPENDIDO"/>
    <s v="CONSULTORÍAS"/>
    <n v="390823000"/>
    <n v="0"/>
    <n v="0"/>
    <n v="0"/>
    <n v="390823000"/>
    <n v="41873892.857142851"/>
    <s v="REALIZAR LOS ESTUDIOS Y DISEÑOS PARA EL EDIFICIO DE LA CASA DE LA CULTURA DE LA LOCALIDAD DE LOS MÁRTIRES."/>
    <s v="-"/>
    <s v="CONTRATO INTERADMINISTRATIVO"/>
    <x v="0"/>
  </r>
  <r>
    <x v="3"/>
    <x v="8"/>
    <s v="UNIVERSIDAD NACIONAL DE COLOMBIA"/>
    <n v="6702"/>
    <s v="NO APLICA"/>
    <m/>
    <s v="ANGEL ROZO"/>
    <m/>
    <m/>
    <n v="1"/>
    <n v="3"/>
    <n v="4"/>
    <m/>
    <d v="2023-03-14T00:00:00"/>
    <d v="2023-03-14T00:00:00"/>
    <n v="26.860273972602737"/>
    <n v="817"/>
    <n v="0"/>
    <n v="0"/>
    <n v="862"/>
    <d v="2025-06-08T00:00:00"/>
    <s v="OFICINA DE INVESTIGACIONES - CIDC"/>
    <s v="FINALIZADO"/>
    <s v="PROYECTOS ESPECIALES"/>
    <n v="271357297"/>
    <n v="0"/>
    <n v="279443262"/>
    <n v="0"/>
    <n v="550800559"/>
    <n v="0"/>
    <s v="AUNAR ESFUERZOS TÃ‰CNICOS, ADMINISTRATIVOS Y FINANCIEROS PARA EL DESARROLLO DEL PROYECTO DENOMINADO &quot;DESAROLLO DE UN PROCESO PARA LA PRODUCCIÃ“N DE POLIHIDROXIALCANOATOS A TRAVÃ‰S DE CULTIVOS MIXTOS Y LODOS PROVENIENTES DE PLANTAS DE TRATAMIENTO DE AGUAS RESIDUALES&quot;."/>
    <s v="-"/>
    <s v="CONVENIO INTERADMINISTRATIVO"/>
    <x v="0"/>
  </r>
  <r>
    <x v="3"/>
    <x v="9"/>
    <s v="FONDO DE DESARROLLO LOCAL DE MARTIRES"/>
    <n v="6735"/>
    <s v="NO APLICA"/>
    <m/>
    <s v="ALBERTINA VIOLA VERGARA"/>
    <m/>
    <m/>
    <n v="1"/>
    <n v="1"/>
    <n v="2"/>
    <m/>
    <d v="2023-06-28T00:00:00"/>
    <d v="2023-07-13T00:00:00"/>
    <n v="21.994520547945204"/>
    <n v="669"/>
    <n v="0"/>
    <n v="0"/>
    <n v="741"/>
    <d v="2025-05-12T00:00:00"/>
    <s v="OFICINA DE EXTENSIÓN - IDEXUD"/>
    <s v="FINALIZADO"/>
    <s v="PROYECTOS DE EDUCACIÓN CONTINUADA"/>
    <n v="330437363"/>
    <n v="0"/>
    <n v="80000000"/>
    <n v="0"/>
    <n v="410437363"/>
    <n v="35404003.178571418"/>
    <s v="AUNAR ESFUERZOS TECNICOS, ADMINISTRATIVOS Y FINANCIEROS PARA EL FORTALECIMIENTO DE LAS CAPACIDADES LOCALES EN MECANISMOS DESEGURIDAD, JUSTICIA COMUNITARIA, Y PARTICIPACIÃ“N CIUDADANA EN LA LOCALIDAD DE LOS MARTIRES"/>
    <s v="-"/>
    <s v="CONTRATO INTERADMINISTRATIVO"/>
    <x v="0"/>
  </r>
  <r>
    <x v="3"/>
    <x v="10"/>
    <s v="MINISTERIO DE CIENCIA, TECNOLOGÍA E INNOVACIÓN"/>
    <n v="6781"/>
    <s v="NO APLICA"/>
    <m/>
    <s v="ANGEL ROZO"/>
    <m/>
    <m/>
    <n v="1"/>
    <n v="1"/>
    <n v="2"/>
    <m/>
    <d v="2023-07-24T00:00:00"/>
    <d v="2023-07-24T00:00:00"/>
    <n v="18.049315068493151"/>
    <n v="549"/>
    <n v="0"/>
    <n v="0"/>
    <n v="730"/>
    <d v="2025-01-23T00:00:00"/>
    <s v="OFICINA DE INVESTIGACIONES - CIDC"/>
    <s v="FINALIZADO"/>
    <s v="PROYECTOS ESPECIALES"/>
    <n v="164644000"/>
    <n v="0"/>
    <n v="75571775"/>
    <n v="0"/>
    <n v="240215775"/>
    <n v="0"/>
    <s v="OTORGAR APOYO ECONÃ“MICO A LA ENTIDAD EJECUTORA EN LA MODALIDAD DE FINANCIAMIENTO DE RECUPERACIÃ“N CONTINGENTE PARA LA FINANCIACIÃ“N DEL PROYECTO &quot; FORTALECIMIENTO DE LA GESTIÃ“N E IMPACTO EDITORIAL DE LAS REVISTAS CIENTÃFICAS EDITADAS POR LA UNIVERSIDAD DISTRITAL FRANCISCO JOSÃ‰ DE CALDAS INDEXADAS EN CATEGORÃA B, PERIODO 2022-2023. CÃ“DIGO 92195"/>
    <s v="-"/>
    <s v="CONVENIO INTERADMINISTRATIVO"/>
    <x v="0"/>
  </r>
  <r>
    <x v="4"/>
    <x v="11"/>
    <s v="POLICÍA NACIONAL - DIRECCIÓN LOGÍSTICA Y FINANCIERA DILOF"/>
    <n v="6883"/>
    <s v="EXTRAORDINARIO 016 - 2024"/>
    <s v="Dilof225ofex@udistrital.edu.co"/>
    <s v="NATALY MONTENEGRO"/>
    <s v="JUAN DAVID"/>
    <m/>
    <n v="5"/>
    <n v="1"/>
    <n v="6"/>
    <m/>
    <d v="2024-12-10T00:00:00"/>
    <d v="2024-12-20T00:00:00"/>
    <n v="5.1287671232876706"/>
    <n v="19"/>
    <n v="0"/>
    <n v="137"/>
    <n v="352"/>
    <d v="2025-05-25T00:00:00"/>
    <s v="OFICINA DE EXTENSIÓN - IDEXUD"/>
    <s v="FINALIZADO"/>
    <s v="CONSULTORÍAS"/>
    <n v="305000000"/>
    <n v="0"/>
    <n v="0"/>
    <n v="0"/>
    <n v="305000000"/>
    <n v="32678571.428571425"/>
    <s v="REALIZAR LA CONSULTORÍA PARA EL ESTUDIO DETALLADO DE RIESGOS DE AMENAZAS, INUNDACIÓN, SOCAVACIÓN, INCENDIO FORESTAL Y VULNERABILIDAD, ACTUALIZACIÓN DE CONSULTA DE NORMA URBANA Y REALIZACIÓN DE ESTUDIO PARA EL ACOTAMIENTO DE LA ZONA DE RONDA HÍDRICA DEL RÍO BOGOTÁ, EN LOS PREDIOS ALTERÓN 1 Y ALTERÓN 2 DE PROPIEDAD DE LA POLICÍA NACIONAL, UBICADOS EN EL MUNICIPIO DE CHÍA, CUNDINAMARCA. INCLUYE PROPUESTAS DE SOLUCIÓN, ELABORACIÓN DE PRESUPUESTO, ESPECIFICACIONES TÉCNICAS, ANÁLISIS DE PRECIOS UNITARIOS, TRÁMITE DE LICENCIAS AMBIENTALES, PERMISOS Y DEMÁS ACTIVIDADES PARA LA EJECUCIÓN DE LAS PROPUESTAS"/>
    <s v="PAGOS PARCIAL DE ACUERDO A LAS ENTREGAS REALIZADAS POR EL CONTRATISTA, DENTRO DE LOS SESENTA (60) DÍAS CALENDARIO SIGUIENTES A LA RADICACIÓN DE LA FACTURA JUNTO CON EL RECIBO A SATISFACCIÓN DEL INTERVENTOR DEL CONTRATO. 25%, 35% Y 40%"/>
    <s v="CONTRATO INTERADMINISTRATIVO"/>
    <x v="0"/>
  </r>
  <r>
    <x v="4"/>
    <x v="12"/>
    <s v="CLUB MILITAR"/>
    <n v="6882"/>
    <s v="EXTRAORDINARIO 017"/>
    <m/>
    <s v="ANA CHAVARRO"/>
    <s v="PROCESO ESTRUCTURADO Y CONTRATADO"/>
    <m/>
    <n v="5"/>
    <n v="1"/>
    <n v="6"/>
    <m/>
    <d v="2024-12-04T00:00:00"/>
    <d v="2024-12-10T00:00:00"/>
    <n v="3.9780821917808216"/>
    <n v="21"/>
    <n v="0"/>
    <n v="100"/>
    <n v="325"/>
    <d v="2025-04-10T00:00:00"/>
    <s v="OFICINA DE EXTENSIÓN - IDEXUD"/>
    <s v="FINALIZADO"/>
    <s v="INTERVENTORÍAS"/>
    <n v="126672629.87"/>
    <n v="0"/>
    <n v="0"/>
    <n v="0"/>
    <n v="126672629.87"/>
    <n v="13572067.486071426"/>
    <s v="INTERVENTORÍA TÉCNICA ADMINISTRATIVA, FINANCIERA Y JURÍDICA PARA LA REMODELACIÓN ADECUACIÓN Y DOTACIÓN_x000a_PISCINA ADULTOS SEDE LAS MERCEDES Y NIÑOS SEDE PRINCIPAL, ADEMÁS RESTAURACIÓN ESCENARIOS DEPORTIVOS SEDE SOCHAGOTA Y LAS MERCEDES."/>
    <s v="DOS PAGOS UNO POR EL 40% Y OTRO POR EL 60%"/>
    <s v="CONTRATO INTERADMINISTRATIVO"/>
    <x v="0"/>
  </r>
  <r>
    <x v="4"/>
    <x v="13"/>
    <s v="POLICIA NACIONAL- DIRECCIÓN LOGÍSTICA Y FINANCIERA"/>
    <n v="6884"/>
    <s v="EXTRAORDINARIO 017"/>
    <s v="Dilof125ofex@udistrital.edu.co"/>
    <s v="NATALY MONTENEGRO"/>
    <s v="JUAN DAVID"/>
    <m/>
    <n v="3"/>
    <n v="3"/>
    <n v="6"/>
    <m/>
    <d v="2024-12-17T00:00:00"/>
    <d v="2024-12-27T00:00:00"/>
    <n v="10.126027397260273"/>
    <n v="308"/>
    <n v="0"/>
    <n v="0"/>
    <n v="208"/>
    <d v="2025-10-31T00:00:00"/>
    <s v="OFICINA DE EXTENSIÓN - IDEXUD"/>
    <s v="EN EJECUCIÓN"/>
    <s v="INTERVENTORÍAS"/>
    <n v="2150000000"/>
    <n v="0"/>
    <n v="0"/>
    <n v="0"/>
    <n v="2150000000"/>
    <n v="230357142.85714284"/>
    <s v="&quot;“INTERVENTORÍA DEL ANÁLISIS DE VULNERABILIDAD SÍSMICA Y ESTRUCTURAL DEL COMPLEJO DE LA DIRECCIÓN GENERAL DE LA POLICÍA NACIONAL, INCLUYE ESTUDIOS Y DISEÑOS DE REFORZAMIENTO Y DEMÁS_x000a_ACTIVIDADES REQUERIDAS DENTRO DEL ALCANCE, LAS ESPECIFICACIONES TÉCNICAS Y DEMÁS DOCUMENTOS_x000a_QUE INTEGRAN EL PROCESO”.&quot;"/>
    <s v="PAGOS PARCIALES DE 25% CADA UNO"/>
    <s v="CONTRATO INTERADMINISTRATIVO"/>
    <x v="0"/>
  </r>
  <r>
    <x v="4"/>
    <x v="14"/>
    <s v="INSTITUTO DISTRITAL DE PATRIMONIO CULTURAL - IDPC"/>
    <n v="6885"/>
    <s v="EXTRAORDINARIO 017"/>
    <s v="ci593idpc25ofex@udistrital.edu.co"/>
    <s v="ANGEL ROZO"/>
    <s v="JUAN DAVID"/>
    <s v="DAVID CRESPO"/>
    <n v="3"/>
    <n v="1"/>
    <n v="4"/>
    <m/>
    <d v="2024-12-17T00:00:00"/>
    <d v="2025-01-09T00:00:00"/>
    <n v="7.4301369863013695"/>
    <n v="150"/>
    <n v="0"/>
    <n v="76"/>
    <n v="271"/>
    <d v="2025-08-23T00:00:00"/>
    <s v="FACULTAD DE ARTES - ASAB / UNIDAD DE EXTENSIÓN"/>
    <s v="EN EJECUCIÓN"/>
    <s v="PROYECTOS DE EDUCACIÓN CONTINUADA"/>
    <n v="50894807"/>
    <n v="0"/>
    <n v="15268442"/>
    <n v="0"/>
    <n v="66163249"/>
    <n v="5453015.0357142854"/>
    <s v="AUNAR ESFUERZOS CIENTÍFICOS, INVESTIGATIVOS, TÉCNICOS, FINANCIEROS Y ADMINISTRATIVOS PARA LA IMPLEMENTACIÓN DE LAS ACCIONES PRIORIZADAS PARA EL CORTO PLAZO EN LA IMPLEMENTACIÓN DEL PLAN ESPECIAL DE SALVAGUARDIA (PES) DE LA MANIFESTACIÓN USOS, PROYECCIÓN ARTÍSTICA Y SOCIAL DEL TEATRO DE CREACIÓN COLECTIVA EN BOGOTÁ."/>
    <s v="PAGOS PARCIALES CORRESPONDIENTES AL 30%, 30% Y 40%"/>
    <s v="CONVENIO INTERADMINISTRATIVO"/>
    <x v="0"/>
  </r>
  <r>
    <x v="4"/>
    <x v="15"/>
    <s v="INSTITUTO DISTRITAL DE GESTIÓN DE RIESGOS Y CAMBIO CLIMÁTICO - IDIGER"/>
    <n v="6889"/>
    <s v="EXTRAORDINARIO 018"/>
    <m/>
    <s v="ANGEL ROZO"/>
    <s v="CELINA CARDENAS"/>
    <m/>
    <n v="3"/>
    <n v="1"/>
    <n v="4"/>
    <m/>
    <d v="2024-12-19T00:00:00"/>
    <d v="2024-12-27T00:00:00"/>
    <n v="8.9753424657534246"/>
    <n v="181"/>
    <n v="0"/>
    <n v="92"/>
    <n v="300"/>
    <d v="2025-09-26T00:00:00"/>
    <s v="INSTITUTO DE ESTUDIOS E INVESTIGACIONES EDUCATIVAS - IEIE"/>
    <s v="EN EJECUCIÓN"/>
    <s v="PROYECTOS DE EDUCACIÓN CONTINUADA"/>
    <n v="35550000"/>
    <n v="0"/>
    <n v="0"/>
    <n v="0"/>
    <n v="35550000"/>
    <n v="3808928.5714285709"/>
    <s v="CONTRATAR LOS SERVICIOS DE CAPACITACIÓN PARA EL FORTALECIMIENTO DE LAS COMPETENCIAS LABORALES DE LOS SERVIDORES PÚBLICOS DEL IDIGER."/>
    <s v="UN PRIMER PAGO DEL 40%, UN SEGUNDO DEL 30% Y UN TERCER PAGO DEL 30%"/>
    <s v="CONTRATO INTERADMINISTRATIVO"/>
    <x v="0"/>
  </r>
  <r>
    <x v="4"/>
    <x v="16"/>
    <s v="FONDO DE DESARROLLO LOCAL DE KENNEDY"/>
    <n v="6890"/>
    <s v="EXTRAORDINARIO 018"/>
    <s v="ci1135kennedy25ofex@udistrital.edu.co"/>
    <s v="CAROLINA NUÑEZ"/>
    <s v="CELINA CÁRDENAS"/>
    <m/>
    <n v="3"/>
    <n v="3"/>
    <n v="6"/>
    <m/>
    <d v="2024-12-26T00:00:00"/>
    <d v="2025-02-10T00:00:00"/>
    <n v="8.9424657534246563"/>
    <n v="272"/>
    <n v="0"/>
    <n v="0"/>
    <n v="163"/>
    <d v="2025-11-09T00:00:00"/>
    <s v="OFICINA DE EXTENSIÓN - IDEXUD"/>
    <s v="EN EJECUCIÓN"/>
    <s v="ASISTENCIA TÉCNICA Y/O TECNOLÓGICA"/>
    <n v="1150000000"/>
    <n v="0"/>
    <n v="0"/>
    <n v="0"/>
    <n v="1150000000"/>
    <n v="123214285.7142857"/>
    <s v="CONTRATAR LOS SERVICIOS TÉCNICOS, OPERATIVOS Y LOGÍSTICOS PARA LA REALIZACIÓN DE LAS ACTIVIDADES EN EL MARCO DE LA CONSTRUCCIÓN DE LOS ACUERDOS CIUDADANOS PARA EL USO DEL ESPACIO PÚBLICO, LA FORMALIDAD DE VENDEDORES INFORMALES Y VINCULACIÓN DE CIUDADANÍA CON VENDEDORES ESTACIONARIOS DE LA LOCALIDAD DE KENNEDY"/>
    <s v="30% UNA PRIMERA TRANSFERENCIA SUJETO A LA ENTREGA DE PRODUCTOS DE LA FASE INICIAL DEL SE DÉ CUENTA DEL AVANCE FÍSICO Y FINANCIERO. UNA SEGUNDA TRANSFERENCIA DEL 10% CUMPLIMIENTO DEL 40%. UNA TERCERA TRANSFERENCIA DEL 10% CON UN CUMPLIMIENTO DEL 50%. UNA CUARTA TRANSFERENCIA POR EL CUMPLIMIENTO DE UN  60%. UNA QUINTA TRANSFERENCIA POR EL CUMPLIMIENTO DEL 70% Y UNA SEXTA TRANSFERENCIA POR EL CUMPLIMIENTO DEL 80% Y UNA SEPTIEMA TRANSFERENCIA POR EL CUMPLIMIENTO DEL 90%. UNA OCTAVA TRANSFERENCIA, SE DÉ CUENTA DEL AVANCE FÍSICO Y FINANCIERO 100% DEL CONTRATO.  UNA OCTAVA Y ÚLTIMA TRANSFERENCIA CORRESPONDIENTE AL 5% DE LA TOTALIDAD DE LOS APORTES DEL FDLK, A LA FIRMA DEL ACTA DE LIQUIDACIÓN DEL CONTRATO INTERADMINISTRATIVO."/>
    <s v="CONTRATO INTERADMINISTRATIVO"/>
    <x v="0"/>
  </r>
  <r>
    <x v="4"/>
    <x v="17"/>
    <s v="FONDO DE DESARROLLO LOCAL DE FONTIBON"/>
    <n v="6892"/>
    <s v="EXTRAORDINARIO 018"/>
    <s v="ci721fontibon25ofex@udistrital.edu.co"/>
    <s v="CAROLINA NUÑEZ"/>
    <s v="JUAN DAVID"/>
    <m/>
    <n v="5"/>
    <n v="3"/>
    <n v="8"/>
    <m/>
    <d v="2024-12-27T00:00:00"/>
    <d v="2025-02-13T00:00:00"/>
    <n v="6.9369863013698625"/>
    <n v="211"/>
    <n v="0"/>
    <n v="0"/>
    <n v="160"/>
    <d v="2025-09-12T00:00:00"/>
    <s v="OFICINA DE EXTENSIÓN - IDEXUD"/>
    <s v="EN EJECUCIÓN"/>
    <s v="PROYECTOS ESPECIALES"/>
    <n v="1257683000"/>
    <n v="0"/>
    <n v="0"/>
    <n v="0"/>
    <n v="1257683000"/>
    <n v="134751750"/>
    <s v="&quot;CONTRATO INTERADMINISTRATIVO PARA DESARROLLAR EL FORTALECIMIENTO DE ORGANIZACIONES E INSTANCIAS DE_x000a_PARTICIPACIÓN A TRAVÉS DE ESPACIOS DE FORMACIÓN Y ACOMPAÑAMIENTO A LAS INICIATIVAS PRIORIZADAS EN LOS PRESUPUESTOS PARTICIPATIVOS, LOS LABORATORIOS NARP,_x000a_ESTRATÉGICAS DE CUIDADO PARA CUIDADORAS Y  EL DESARROLLO DE CAPACIDADES PARA EL EJERCICIO DE DERECHOS DE LAS MUJERES&quot;"/>
    <s v="PRIMER PAGO DEL 30% SUJETA A LA FASE INICIAL CONSISTE EN ENTREGA DE LA  PLANEACION Y ALISTAMIENTO, SELECCION EQUIPO DE TRABAJO, CONVOCATORIA. SEGUNDO PAGO DEL 20%  POR ENTREGA PARCIAL DE ACTIVIDADES REALIZADAS. TERCERA TRANSFERENCIA POR ENTREGA SEGUNDO INFORME PARCIAL DE ACTIVIDADES  QUE CUENTE CON AVANCE DEL 70% DEL CONTRATO.  EL CUARTO PAGO SUJETO A ENTREGA DEL TERCER INFORME QUE DE CUENTA DEL AVANCE FISICO Y FINANCIERO DEL 100%  UN QUINTO PAGO DEL 10% SUJETO  A LA FIRMA DEL ACTA DE LIQUIDACION DEL CONTRATO"/>
    <s v="CONTRATO INTERADMINISTRATIVO"/>
    <x v="0"/>
  </r>
  <r>
    <x v="4"/>
    <x v="18"/>
    <s v="FONDO DE DESARROLLO LOCAL DE KENNEDY"/>
    <n v="6893"/>
    <s v="EXTRAORDINARIO 018"/>
    <s v="ci721fontibon25ofex@udistrital.edu.co"/>
    <s v="CAROLINA NUÑEZ"/>
    <s v="CELINA CÁRDENAS"/>
    <s v="JEFFERSON PARRA"/>
    <n v="3"/>
    <n v="5"/>
    <n v="8"/>
    <m/>
    <d v="2024-12-30T00:00:00"/>
    <d v="2025-02-24T00:00:00"/>
    <n v="9.9287671232876704"/>
    <n v="302"/>
    <n v="0"/>
    <n v="0"/>
    <n v="149"/>
    <d v="2025-12-23T00:00:00"/>
    <s v="OFICINA DE EXTENSIÓN - IDEXUD"/>
    <s v="EN EJECUCIÓN"/>
    <s v="PROYECTOS ESPECIALES"/>
    <n v="3710855946"/>
    <n v="0"/>
    <n v="0"/>
    <n v="0"/>
    <n v="3710855946"/>
    <n v="397591708.49999994"/>
    <s v="&quot;CONTRATAR SERVICIOS PARA LA PROMOCIÓN EN SALUD MENTAL, GOBERNANZA Y SALUD COLECTIVA ENFOCADOS EN PROCESOS DE ABORDAJE DE LA DISCAPACIDAD Y/O LA PREVENCIÓN, REDUCCIÓN DE RIESGOS Y DAÑOS ASOCIADOS AL CONSUMO DE SUSTANCIAS PSICOACTIVAS; MEDIANTE ESTRATEGIAS DE ACOMPAÑAMIENTO TÉCNICO, PEDAGÓGICO E INVESTIGATIVO GENERADAS POR LOS DISPOSITIVOS DE BASE COMUNITARIA (DBC)&quot;"/>
    <s v="PRIMERA PAGO DEL 30% POR ENTREGA FASE INCIIAL DEL PROYECTO COMO PLANEACION Y ALISTAMIENTO,  SELECCION EQUIPO BASE DE TRABAJO, CONVOCATORIA. SEGUNDO PAGO DEL 10% POR EL PRIMER INFORME DE ACTIVIDADES REALIZADAS DEL AVANCE DEL 40%. TERCER PAGO DEL 50% SUJETO A ENTREGA DE AVANCES DEL 50%. CUARTO PAGO DEL 10% POR ENTREGA DE AVANCES DEL 60%. QUINTO PAGO DEL 10% PRO ENTREGA DE AVANCE DEL 70%. SEXTO PAGO DEL 10% SUJETO ENTREGA DEL 80% DE AVANCES.  UN SEPTIMO PAGO DEL 10% SUJETO AL 90%. UN OCTAVO OAGO DEL 5% SUJETO A ENTREGA DEL AVANCE DEL 100% Y UNA NOVENA TRANSFERENCIA AL 5%  QUE CORRESPONDEN AL 5% DE LA TOTALIDAD DE LOS APORTES DEL FDLK, A LA FIRMA DDEL ACTA DE LIQUIDACION "/>
    <s v="CONTRATO INTERADMINISTRATIVO"/>
    <x v="0"/>
  </r>
  <r>
    <x v="4"/>
    <x v="19"/>
    <s v="FONDO DE DESARROLLO LOCAL DE BARRIOS UNIDOS - FDLBU"/>
    <n v="6895"/>
    <s v="EXTRAORDINARIO 018"/>
    <s v="i515fdlbu24ofex@udistrital.edu.co"/>
    <s v="ALBERTINA VIOLA VERGARA"/>
    <s v="CELINA CÁRDENAS"/>
    <s v="JEFFERSON PARRA"/>
    <n v="3"/>
    <n v="3"/>
    <n v="6"/>
    <m/>
    <d v="2024-12-30T00:00:00"/>
    <d v="2025-01-15T00:00:00"/>
    <n v="7.9561643835616431"/>
    <n v="242"/>
    <n v="0"/>
    <n v="0"/>
    <n v="189"/>
    <d v="2025-09-14T00:00:00"/>
    <s v="OFICINA DE EXTENSIÓN - IDEXUD"/>
    <s v="EN EJECUCIÓN"/>
    <s v="PROYECTOS DE EDUCACIÓN CONTINUADA"/>
    <n v="1417150530"/>
    <n v="0"/>
    <n v="160780281"/>
    <n v="0"/>
    <n v="1577930811"/>
    <n v="151837556.78571427"/>
    <s v="AUNAR ESFUERZOS TÉCNICOS, ADMINISTRATIVOS Y FINANCIEROS ENTRE EL FONDO DE DESARROLLO LOCAL DE BARRIOS UNIDOS Y LA UNIVERSIDAD DISTRITAL FRANCISCO JOSÉ DE CALDAS PARA LLEVAR A CABO PROCESOS DE FORMACIÓN Y FORTALECIMIENTO INTEGRAL EN CULTURA CIUDADANA DIRIGIDOS A LA CIUDADANÍA EN GENERAL, ASÍ COMO A ORGANIZACIONES COMUNITARIAS, ORGANIZACIONES DE MUJERES Y AUTORIDADES LOCALES, CON EL PROPÓSITO DE FORTALECER LA CONVIVENCIA, LA AUTORREGULACIÓN, LA CORRESPONSABILIDAD, LA PARTICIPACIÓN CIUDADANA, LA GESTIÓN DE RIESGOS, LA SOSTENIBILIDAD Y EL EJERCICIO DE LOS DERECHOS DE LAS MUJERES, ENTRE OTROS ASPECTOS"/>
    <s v="Se realizarán 5 (cinco) desembolsos del recurso aportado por el FDLBU a través de la Tesorería Distrital de Bogotá previa programación en el PAC"/>
    <s v="CONVENIO INTERADMINISTRATIVO"/>
    <x v="0"/>
  </r>
  <r>
    <x v="4"/>
    <x v="20"/>
    <s v="AGENCIA NACIONAL DE HIDROCARBUROS"/>
    <n v="6897"/>
    <s v="EXTRAORDINARIO 019"/>
    <s v="gerenteanh58325ofex@udistrital.edu.co"/>
    <s v="ALBERTINA VIOLA VERGARA"/>
    <s v="JUAN DAVID"/>
    <s v="SEBASTIÁN URIBE"/>
    <n v="3"/>
    <n v="5"/>
    <n v="8"/>
    <m/>
    <d v="2024-12-30T00:00:00"/>
    <d v="2025-02-04T00:00:00"/>
    <n v="10.947945205479451"/>
    <n v="333"/>
    <n v="0"/>
    <n v="0"/>
    <n v="169"/>
    <d v="2026-01-03T00:00:00"/>
    <s v="OFICINA DE EXTENSIÓN - IDEXUD"/>
    <s v="EN EJECUCIÓN"/>
    <s v="ASISTENCIA TÉCNICA Y/O TECNOLÓGICA"/>
    <n v="7314957291"/>
    <n v="0"/>
    <n v="365747850"/>
    <n v="0"/>
    <n v="7680705141"/>
    <n v="783745424.03571415"/>
    <s v="649. AUNAR ESFUERZOS CON EL FIN DE ADELANTAR EL DISEÑO, DESARROLLO E IMPLEMENTACIÓN DE LA ESTRATEGIA DE AMPLIACIÓN DE DIGITALIZACIÓN Y AUTOMATIZACIÓN DE PROCESOS MISIONALES EN EL MARCO DE LA TRANSFORMACIÓN DIGITAL PARA SOPORTAR LA TRANSICIÓN ENERGÉTICA DE LOS RECURSOS HIDROCARBURÍFEROS"/>
    <s v="La ANH hará el pago de los recursos del convenio_x000a_de la siguiente manera:_x000a_La ANH pagará al contratista a través de las autorizaciones necesarias a la entidad_x000a_administradora del Patrimonio Autónomo, el valor del contrato $7.314.957.291 incluido IVA (SI_x000a_APLICA), previa presentación de las facturas y recibo a satisfacción de parte del Supervisor del_x000a_contrato por parte de la ANH. De acuerdo con la siguiente descripción:_x000a_1. Para el desarrollo del componente No. 1 por un valor de MIL CIENTO NOVENTA Y DOS_x000a_MILLONES OCHOCIENTOS DIECISEIS MIL NOVECIENTOS NOVENTA Y TRES PESOS_x000a_($1.192.816.993), se realizará en tres (3) desembolsos, así:_x000a_a. Cuando se acredite un avance técnico del 30% en la elaboración del producto del_x000a_componente No. 1, debidamente aprobado por el supervisor del Convenio, un desembolso_x000a_equivalente al 30% del valor del componente por valor de: TRESCIENTOS CINCUENTA Y_x000a_SIETE MILLONES OCHOCIENTOS CUARENTA Y CINCO MIL NOVENTA Y OCHO PESOS_x000a_($357.845.098) MONEDA LEGAL COLOMBIANA._x000a_b. Cuando se acredite un avance técnico del 60% en la elaboración del producto del_x000a_componente No. 1, debidamente aprobado por el supervisor del Convenio, un desembolso_x000a_equivalente al 30% del valor del componente por valor de: TRESCIENTOS CINCUENTA Y_x000a_SIETE MILLONES OCHOCIENTOS CUARENTA Y CINCO MIL NOVENTA Y OCHO PESOS_x000a_($357.845.098) MONEDA LEGAL COLOMBIANA._x000a_c. Cuando se acredite un avance técnico del 100% en la elaboración del producto del_x000a_componente No. 1, debidamente entregado y aprobado por el supervisor del Convenio, un_x000a_desembolso equivalente al 40% del valor del componente por valor de: CUATROCIENTOS_x000a_SETENTA Y SIETE MILLONES CIENTO VEINTISÉIS MIL SETECIENTOS NOVENTA Y_x000a_SIETE PESOS ($477.126.797) MONEDA LEGAL COLOMBIANA."/>
    <s v="CONVENIO INTERADMINISTRATIVO"/>
    <x v="0"/>
  </r>
  <r>
    <x v="4"/>
    <x v="21"/>
    <s v="FONDO DE DESARROLLO LOCAL DE BOSA"/>
    <n v="6899"/>
    <s v="EXTRAORDINARIO 019"/>
    <s v="localidadbosa25ofex@udistrital.edu.co"/>
    <s v="NATALY MONTENEGRO"/>
    <s v="JUAN DAVID"/>
    <s v="ANGELA ALARCON"/>
    <n v="3"/>
    <n v="3"/>
    <n v="6"/>
    <m/>
    <d v="2024-12-30T00:00:00"/>
    <d v="2025-01-22T00:00:00"/>
    <n v="8.2520547945205482"/>
    <n v="181"/>
    <n v="0"/>
    <n v="70"/>
    <n v="252"/>
    <d v="2025-09-30T00:00:00"/>
    <s v="OFICINA DE EXTENSIÓN - IDEXUD"/>
    <s v="EN EJECUCIÓN"/>
    <s v="PROYECTOS DE EDUCACIÓN CONTINUADA"/>
    <n v="2326000000"/>
    <n v="0"/>
    <n v="0"/>
    <n v="0"/>
    <n v="2326000000"/>
    <n v="249214285.7142857"/>
    <s v="PRESTAR LOS SERVICIOS DE FORMACIÓN PARA EL TRABAJO Y DESARROLLO HUMANO EN EL MARCO DE LOS PROYECTOS DE INVERSIÓN 1749 Y 1750, QUE BRINDEN CAPACIDADES Y COMPETENCIAS CON UN ENFOQUE DE PREVENCIÓN DE VIOLENCIAS PARA LA INCLUSIÓN PARTICIPATIVA DE LAS MUJERES DENTRO DE LOS DIVERSOS ESPACIOS CONSULTIVOS Y DECISORIOS DE LA LOCALIDAD DE BOSA”."/>
    <s v="CUATRO PAGOS: _x000a_1,2 Y 3 - 30%_x000a_4 - 10%"/>
    <s v="CONTRATO INTERADMINISTRATIVO"/>
    <x v="0"/>
  </r>
  <r>
    <x v="4"/>
    <x v="22"/>
    <s v="FONDO DE DESARROLLO LOCAL DE SAN CRISTOBAL"/>
    <n v="6898"/>
    <s v="EXTRAORDINARIO 019"/>
    <s v="sancristobal1161.cge@udistrital.edu.co"/>
    <s v="ALBERTINA VIOLA VERGARA"/>
    <s v="FABIAN"/>
    <s v="SEBASTIÁN URIBE"/>
    <n v="5"/>
    <n v="3"/>
    <n v="8"/>
    <m/>
    <d v="2024-12-30T00:00:00"/>
    <d v="2025-01-28T00:00:00"/>
    <n v="5.9506849315068493"/>
    <n v="181"/>
    <n v="0"/>
    <n v="0"/>
    <n v="176"/>
    <d v="2025-07-28T00:00:00"/>
    <s v="OFICINA DE EXTENSIÓN - IDEXUD"/>
    <s v="EN EJECUCIÓN"/>
    <s v="ASISTENCIA TÉCNICA Y/O TECNOLÓGICA"/>
    <n v="2206796261"/>
    <n v="0"/>
    <n v="220000000"/>
    <n v="0"/>
    <n v="2426796261"/>
    <n v="236442456.53571427"/>
    <s v="AUNAR ESFUERZOS TECNICOS, ADMNISTRATIVOS, LOGÍSTICOS Y FINANCIEROS PARA PARA EJECUTAR ACCIONES DE ACOMPAÑAMIENTO TÉCNICO EN AGRICULTURA URBANA, PROCESOS CIUDADANOS DE EDUCACIÓN AMBIENTAL – PROCEDAS, PLANTACIÓN Y MANTENIMIENTO DE ARBOLADO Y JARDINERÍA, ASÍ COMO ACCIONES DE PROTECCIÓN Y BIENESTAR ANIMAL EN LA LOCALIDAD DE SAN CRISTÓBAL"/>
    <s v="LOS DOS PRIMEROS PAGOS DEL 30% Y DOS PAGOS MÁS POR EL 20% CADA UNO"/>
    <s v="CONVENIO INTERADMINISTRATIVO"/>
    <x v="0"/>
  </r>
  <r>
    <x v="4"/>
    <x v="23"/>
    <s v="FONDO DE DESARROLLO LOCAL DE KENNEDY"/>
    <n v="6900"/>
    <s v="EXTRAORDINARIO 019"/>
    <s v="ci1160kennedy25ofex@udistrital.edu.co"/>
    <s v="CAROLINA NUÑEZ"/>
    <s v="CELINA CÁRDENAS"/>
    <s v="ANGELA ALARCON"/>
    <n v="3"/>
    <n v="3"/>
    <n v="6"/>
    <m/>
    <d v="2024-12-30T00:00:00"/>
    <d v="2025-02-26T00:00:00"/>
    <n v="8.9424657534246563"/>
    <n v="272"/>
    <n v="0"/>
    <n v="0"/>
    <n v="147"/>
    <d v="2025-11-25T00:00:00"/>
    <s v="OFICINA DE EXTENSIÓN - IDEXUD"/>
    <s v="EN EJECUCIÓN"/>
    <s v="PROYECTOS DE EDUCACIÓN CONTINUADA"/>
    <n v="1711670240"/>
    <n v="0"/>
    <n v="0"/>
    <n v="0"/>
    <n v="1711670240"/>
    <n v="183393239.99999997"/>
    <s v="&quot;CONTRATAR LOS SERVICIOS TÉCNICOS, ADMINISTRATIVOS, FINANCIEROS Y LOGÍSTICOS, PARA LA EJECUCIÓN DE PROCESOS DE FORMACIÓN EN CONVIVENCIA, SEGURIDAD_x000a_CIUDADANA, RESILIENCIA, JUSTICIA COMUNITARIA, JUSTICIA INTEGRAL Y DESARROLLAR UNA ESTRATEGIA DE ACCIONES PEDAGÓGICAS DE SOCIALIZACIÓN DEL CÓDIGO NACIONAL DE_x000a_SEGURIDAD Y CONVIVENCIA CIUDADANA EN LA LOCALIDAD DE KENNEDY, DE ACUERDO CON LAS ESPECIFICACIONES DEL ANEXO TÉCNICO&quot;"/>
    <s v="CINCO PAGOS DE LA SIGUIENTE FORMA:_x000a_1 - 30%_x000a_2 - 20%_x000a_3 - 20%_x000a_4 - 20%_x000a_5 - 10%"/>
    <s v="CONTRATO INTERADMINISTRATIVO"/>
    <x v="0"/>
  </r>
  <r>
    <x v="4"/>
    <x v="24"/>
    <s v="FONDO DE DESARROLLO LOCAL DE LA CANDELARIA"/>
    <n v="6896"/>
    <s v="EXTRAORDINARIO 019"/>
    <s v="candelaria414.cge@udistrital.edu.co"/>
    <s v="ALBERTINA VIOLA VERGARA"/>
    <s v="FABIAN BERNATE"/>
    <m/>
    <n v="5"/>
    <n v="1"/>
    <n v="6"/>
    <m/>
    <d v="2024-12-30T00:00:00"/>
    <d v="2025-01-21T00:00:00"/>
    <n v="5.9835616438356158"/>
    <n v="182"/>
    <n v="0"/>
    <n v="0"/>
    <n v="183"/>
    <d v="2025-07-22T00:00:00"/>
    <s v="OFICINA DE EXTENSIÓN - IDEXUD"/>
    <s v="FINALIZADO"/>
    <s v="PROYECTOS DE EDUCACIÓN CONTINUADA"/>
    <n v="455000000"/>
    <n v="0"/>
    <n v="45000000"/>
    <n v="0"/>
    <n v="500000000"/>
    <n v="48749999.999999993"/>
    <s v="AUNAR ESFUERZOS TECNICOS, ADMNISTRATIVOS, LOGÍSTICOS Y FINANCIEROS PARA REALIZAR EL DISEÑO E IMPLEMENTACIÓN DE ESTRATEGIAS QUE CONTRIBUYAN A LA GARANTÍA DE LOS DERECHOS DE LAS MUJERES, A PARTIR DE ACCIONES DE DESARROLLO DE CAPACIDADES Y, LA PREVENCION DE VIOLENCIA INTRAFAMILIAR Y/O SEXUAL EN LA LOCALIDAD DE LA CANDELARIA"/>
    <s v="CUATRO PAGOS:_x000a_1- 20%_x000a_2- 30%_x000a_3- 30%_x000a_4- 20%"/>
    <s v="CONVENIO INTERADMINISTRATIVO"/>
    <x v="0"/>
  </r>
  <r>
    <x v="4"/>
    <x v="25"/>
    <s v="UNIVERSIDAD DISTRITAL FRANCISCO JOSÉ DE CALDAS - UD"/>
    <n v="6835"/>
    <s v="NO APLICA"/>
    <m/>
    <s v="ALBERTINA VIOLA VERGARA"/>
    <s v="NO APLICA"/>
    <s v="NO APLICA"/>
    <n v="5"/>
    <n v="1"/>
    <n v="6"/>
    <m/>
    <d v="2024-03-21T00:00:00"/>
    <d v="2024-07-17T00:00:00"/>
    <n v="6.0164383561643833"/>
    <n v="183"/>
    <n v="0"/>
    <n v="0"/>
    <n v="371"/>
    <d v="2025-01-16T00:00:00"/>
    <s v="FACULTAD DE MEDIO AMBIENTE Y RECURSOS NATURALES / UNIDAD DE EXTENSIÓN"/>
    <s v="FINALIZADO"/>
    <s v="PROYECTOS DE EDUCACIÓN CONTINUADA"/>
    <n v="142450000"/>
    <n v="0"/>
    <n v="0"/>
    <n v="0"/>
    <n v="142450000"/>
    <n v="15262499.999999998"/>
    <s v="OFRECER UN AMPLIO RECORRIDO EN MATERIA AERONÃUTICA Y NORMATIVA NECESARIA EN EL USO DE LOS DIFERENTES DRONES DEL MERCADO, SUS PRINCIPALES CARACTERÃSTICAS, MANEJO, SOFTWARE Y ALGUNAS DE SUS APLICACIONES MÃS FRECUENTES, CON EL COMPONENTE PRÃCTICO SUFICIENTE PARA OPERARLOS DE MANERA SEGURA Y EFICAZ, BRINDANDO LO NECESARIO PARA HABILITARSE Y REGISTRARSE ANTE LA AERONÃUTICA CIVIL."/>
    <s v="MENSUAL"/>
    <s v="PROYECTOS PROPIOS"/>
    <x v="2"/>
  </r>
  <r>
    <x v="4"/>
    <x v="26"/>
    <s v="CORPORACIÓN AUTÓNOMA REGIONAL DE LOS VALLES DEL SINÚ Y DEL SAN JORGE - CVS"/>
    <n v="6822"/>
    <s v="NO APLICA"/>
    <m/>
    <s v="ALBERTINA VIOLA VERGARA"/>
    <s v="NO APLICA"/>
    <s v="NO APLICA"/>
    <n v="3"/>
    <n v="3"/>
    <n v="6"/>
    <m/>
    <d v="2024-04-27T00:00:00"/>
    <d v="2024-05-06T00:00:00"/>
    <n v="10.027397260273972"/>
    <n v="184"/>
    <n v="0"/>
    <n v="121"/>
    <n v="564"/>
    <d v="2025-03-07T00:00:00"/>
    <s v="FACULTAD DE MEDIO AMBIENTE Y RECURSOS NATURALES / UNIDAD DE EXTENSIÓN"/>
    <s v="FINALIZADO"/>
    <s v="ASESORÍA"/>
    <n v="1889071553"/>
    <n v="494794990"/>
    <n v="188907155"/>
    <n v="49479499"/>
    <n v="2622253197"/>
    <n v="255414272.46428567"/>
    <s v="FORTALECER E IMPLEMENTAR ACCIONES PARA EL EJERCICIO DE LA AUTORIDAD AMBIENTAL DE LA CVS, PARA APOYAR LOS PROCESOS DE EVALUACIÃ“N Y SEGUIMIENTO A LICENCIAS, PERMISOS, CONCESIONES Y AUTORIZACIONES AMBIENTALES, RELACIONADAS CON EL USO, APROVECHAMIENTO Y/O MOVILIZACIÃ“N DE LOS RECURSOS NATURALES RENOVABLES, ASÃ COMO EL SEGUIMIENTO Y CONTROL DE ACTIVIDADES ILEGALES QUE CAUSAN DEGRADACIÃ“N, AFECTACIÃ“N Y/O PÃ‰RDIDA DE ECOSISTEMAS Y SU BIODIVERSIDAD ASOCIADA."/>
    <s v="3 PAGOS"/>
    <s v="CONVENIO INTERADMINISTRATIVO"/>
    <x v="3"/>
  </r>
  <r>
    <x v="4"/>
    <x v="27"/>
    <s v="PERSONERÍA DE BOGOTÁ D.C."/>
    <n v="6829"/>
    <s v="NO APLICA"/>
    <m/>
    <s v="ALBERTINA VIOLA VERGARA"/>
    <s v="NO APLICA"/>
    <s v="NO APLICA"/>
    <n v="3"/>
    <n v="3"/>
    <n v="6"/>
    <m/>
    <d v="2024-05-30T00:00:00"/>
    <d v="2024-06-12T00:00:00"/>
    <n v="9.6"/>
    <n v="201"/>
    <n v="0"/>
    <n v="91"/>
    <n v="497"/>
    <d v="2025-03-31T00:00:00"/>
    <s v="OFICINA DE EXTENSIÓN - IDEXUD"/>
    <s v="FINALIZADO"/>
    <s v="PROYECTOS DE EDUCACIÓN CONTINUADA"/>
    <n v="1657000000"/>
    <n v="300000000"/>
    <n v="0"/>
    <n v="0"/>
    <n v="1957000000"/>
    <n v="209678571.4285714"/>
    <s v="PRESTACIÃ“N DE SERVICIOS EN TEMAS MISIONALES ORIENTADOS AL CUMPLIMIENTO DE CAPACITACIÃ“N Y FORMACIÃ“N EN DESARROLLO DE LOS PROYECTOS DE INVERSIÃ“N 7732 Y 7751; EJECUCIÃ“N DEL PLAN INSTITUCIONAL DE CAPACITACIÃ“N - PIC 2024; ADEMÃS DEL DISEÃ‘O, DESARROLLO Y ADMINISTRACIÃ“N DE LOS SERVICIOS TICS CONFORME A LAS NECESIDADES DE TRANSFORMACIÃ“N DIGITAL EN EL MARCO DEL PROYECTO DE INVERSIÃ“N 7719."/>
    <s v="5 PAGOS SEGÚN LOS SERVICIOS EFECTIVAMENTE PRESTADOS, SOPORTADOS Y FACTURADOS"/>
    <s v="CONTRATO INTERADMINISTRATIVO"/>
    <x v="2"/>
  </r>
  <r>
    <x v="4"/>
    <x v="28"/>
    <s v="UNIVERSIDAD DISTRITAL FRANCISCO JOSÉ DE CALDAS - UD"/>
    <n v="6841"/>
    <s v="NO APLICA"/>
    <m/>
    <s v="ANGEL ROZO"/>
    <s v="NO APLICA"/>
    <s v="NO APLICA"/>
    <n v="5"/>
    <n v="1"/>
    <n v="6"/>
    <m/>
    <d v="2024-08-02T00:00:00"/>
    <d v="2024-08-21T00:00:00"/>
    <n v="6.0164383561643833"/>
    <n v="183"/>
    <n v="0"/>
    <n v="0"/>
    <n v="336"/>
    <d v="2025-02-20T00:00:00"/>
    <s v="FACULTAD DE ARTES - ASAB / UNIDAD DE EXTENSIÓN"/>
    <s v="FINALIZADO"/>
    <s v="PROYECTOS DE EDUCACIÓN CONTINUADA"/>
    <n v="25168000"/>
    <n v="0"/>
    <n v="0"/>
    <n v="0"/>
    <n v="25168000"/>
    <n v="2696571.4285714282"/>
    <s v="OFRECER A LA CIUDAD Y AL PAÃS UN ESPACIO DE PROFUNDIZACIÃ“N Y DESARROLLO DEL CONOCIMIENTO Y PRÃCTICA DE LAS ARTES DANZARÃAS, CON EL FIN DE SENSIBILIZAR A JÃ“VENES Y ADULTOS SOBRE DIVERSAS POSIBILIDADES CREATIVAS RELACIONADAS CON EL CUERPO Y EL MOVIMIENTO"/>
    <s v="MENSUAL"/>
    <s v="PROYECTOS PROPIOS"/>
    <x v="2"/>
  </r>
  <r>
    <x v="4"/>
    <x v="29"/>
    <s v="MINISTERIO DE RELACIONES EXTERIORES"/>
    <n v="6840"/>
    <s v="NO APLICA"/>
    <m/>
    <s v="ANA CHAVARRO"/>
    <s v="NO APLICA"/>
    <m/>
    <n v="3"/>
    <n v="3"/>
    <n v="6"/>
    <m/>
    <d v="2024-08-05T00:00:00"/>
    <d v="2024-08-05T00:00:00"/>
    <n v="8.3178082191780813"/>
    <n v="148"/>
    <n v="0"/>
    <n v="105"/>
    <n v="457"/>
    <d v="2025-04-15T00:00:00"/>
    <s v="OFICINA DE EXTENSIÓN - IDEXUD"/>
    <s v="FINALIZADO"/>
    <s v="CONSULTORÍAS"/>
    <n v="1712294814"/>
    <n v="0"/>
    <n v="0"/>
    <n v="0"/>
    <n v="1712294814"/>
    <n v="183460158.64285713"/>
    <s v="CARACTERIZAR INTEGRALMENTE A LOS FUNCIONARIOS DE LA CARRERA DIPLOMÃTICA Y CONSULTAR Y AUXILIARES DE MISIÃ“N DIPLOMÃTICA DE COLOMBIA, COMO PARTE DEL PROCESO DE MODERNIZACIÃ“N Y OPTIMIZACIÃ“N DEL SISTEMA DE GESTIÃ“N DEL TALENTO HUYMANO EN EL MINISTERIO DE RELACIONES EXTERIORES"/>
    <s v="MENSUAL"/>
    <s v="CONTRATO INTERADMINISTRATIVO"/>
    <x v="4"/>
  </r>
  <r>
    <x v="4"/>
    <x v="30"/>
    <s v="POLICIA NACIONAL"/>
    <n v="6844"/>
    <s v="NO APLICA"/>
    <m/>
    <s v="NATALY MONTENEGRO"/>
    <s v="NO APLICA"/>
    <s v="NO APLICA"/>
    <n v="5"/>
    <n v="3"/>
    <n v="8"/>
    <m/>
    <d v="2024-08-09T00:00:00"/>
    <d v="2024-09-19T00:00:00"/>
    <n v="5.2931506849315069"/>
    <n v="141"/>
    <n v="0"/>
    <n v="20"/>
    <n v="327"/>
    <d v="2025-02-27T00:00:00"/>
    <s v="OFICINA DE EXTENSIÓN - IDEXUD"/>
    <s v="FINALIZADO"/>
    <s v="PROYECTOS ESPECIALES"/>
    <n v="708000000"/>
    <n v="0"/>
    <n v="0"/>
    <n v="0"/>
    <n v="708000000"/>
    <n v="75857142.857142851"/>
    <s v="ELABORACIÃ“N DE LOS ESTUDIOS Y DISEÃ‘OS TÃ‰CNICOS PARA LA ADECUACIÃ“N DE LAS ÃREAS DESTINADAS A SALAS DE CIRUGÃA Y ESPACIOS CONEXOS DE LAS UNIDADES DE SANIDAD DE LA POLICÃA NACIONAL - ESPCO CLÃNICA DEANT Y ESPCO CLÃNICA DEATA"/>
    <s v="MENSUAL"/>
    <s v="CONTRATO INTERADMINISTRATIVO"/>
    <x v="5"/>
  </r>
  <r>
    <x v="4"/>
    <x v="31"/>
    <s v="UNIVERSIDAD DISTRITAL FRANCISCO JOSÉ DE CALDAS - UD"/>
    <n v="6851"/>
    <s v="NO APLICA"/>
    <m/>
    <s v="ANGEL ROZO"/>
    <s v="NO APLICA"/>
    <m/>
    <n v="3"/>
    <n v="1"/>
    <n v="4"/>
    <m/>
    <d v="2024-08-16T00:00:00"/>
    <d v="2024-09-04T00:00:00"/>
    <n v="11.967123287671232"/>
    <n v="364"/>
    <n v="0"/>
    <n v="0"/>
    <n v="322"/>
    <d v="2025-09-03T00:00:00"/>
    <s v="FACULTAD DE ARTES - ASAB / UNIDAD DE EXTENSIÓN"/>
    <s v="EN EJECUCIÓN"/>
    <s v="PROYECTOS DE EDUCACIÓN CONTINUADA"/>
    <n v="219180000"/>
    <n v="256306000"/>
    <n v="0"/>
    <n v="0"/>
    <n v="475486000"/>
    <n v="50944928.571428567"/>
    <s v="OFRECER Y DESARROLLAR UN PROGRAMA DE ESTUDIOS DE NIVEL MEDIO QUE RESPONDA A LOS INTERESES DE QUIENES DESEAN CUALIFICAR SU NIVEL DE DESEMPEÃ‘O MUSICAL Y SUS CONDICIONES PARA PRESENTAR LAS PRUEBAS DE INGRESO A LOS PREGRADOS DE MÃšSICA DE LAS UNIVERSIDADES DEL PAÃS"/>
    <s v="MENSUAL"/>
    <s v="PROYECTOS PROPIOS"/>
    <x v="2"/>
  </r>
  <r>
    <x v="4"/>
    <x v="32"/>
    <s v="POLICIA NACIONAL"/>
    <n v="6845"/>
    <s v="NO APLICA"/>
    <m/>
    <s v="NATALY MONTENEGRO"/>
    <s v="NO APLICA"/>
    <m/>
    <n v="3"/>
    <n v="1"/>
    <n v="4"/>
    <m/>
    <d v="2024-08-16T00:00:00"/>
    <d v="2024-08-29T00:00:00"/>
    <n v="7.5287671232876709"/>
    <n v="124"/>
    <n v="0"/>
    <n v="105"/>
    <n v="433"/>
    <d v="2025-04-15T00:00:00"/>
    <s v="OFICINA DE EXTENSIÓN - IDEXUD"/>
    <s v="FINALIZADO"/>
    <s v="CONSULTORÍAS"/>
    <n v="400000000"/>
    <n v="0"/>
    <n v="0"/>
    <n v="0"/>
    <n v="400000000"/>
    <n v="42857142.857142851"/>
    <s v="CONSULTORÃA PARA LA RESTAURACIÃ“N ARQUITECTÃ“NICA, DEMOLICIÃ“N PARCIAL, REFORZAMIENTO ESTRUCTURAL Y OBRA NUEVA DE ACUERDO CON LA NORMATIVIDAD VIGENTE PARA LA ESTACIÃ“N DE POLICÃA BOAVITA, INCLUYE ESTUDIOS Y DISEÃ‘OS DE INTERVENCIÃ“N DE LA EDIFICACIÃ“N, ACABADOS, TRÃMITE DE LICENCIAS, PERMISOS A QUE HAYA LUGAR Y DEMÃS ACTIVIDADES PARA SU FUNCIONAMIENTO."/>
    <s v="MENSUAL"/>
    <s v="CONTRATO INTERADMINISTRATIVO"/>
    <x v="4"/>
  </r>
  <r>
    <x v="4"/>
    <x v="33"/>
    <s v="UNIVERSIDAD DISTRITAL FRANCISCO JOSÉ DE CALDAS - UD"/>
    <n v="6848"/>
    <s v="NO APLICA"/>
    <m/>
    <s v="ANGEL ROZO"/>
    <s v="NO APLICA"/>
    <m/>
    <n v="3"/>
    <n v="1"/>
    <n v="4"/>
    <m/>
    <d v="2024-08-21T00:00:00"/>
    <d v="2024-09-23T00:00:00"/>
    <n v="11.967123287671232"/>
    <n v="364"/>
    <n v="0"/>
    <n v="0"/>
    <n v="303"/>
    <d v="2025-09-22T00:00:00"/>
    <s v="FACULTAD DE ARTES - ASAB / UNIDAD DE EXTENSIÓN"/>
    <s v="EN EJECUCIÓN"/>
    <s v="PROYECTOS DE EDUCACIÓN CONTINUADA"/>
    <n v="218701000"/>
    <n v="243295781"/>
    <n v="0"/>
    <n v="0"/>
    <n v="461996781"/>
    <n v="49499655.107142851"/>
    <s v="OFRECER Y DESARROLLAR LOS PROGRAMAS DE FORMACIÃ³N MUSICAL ESTUDIOS EN MÃºSICAS POPULARES DE COLOMBIA, RECUPERACIÃ³N DE COMPETENCIASMUSICALES BÃ¡SICAS, NIÃ±OS ALAC Y ADULTOS ALAC, Y REALIZAR LOS EVENTOS VIERNES DE CONCIERTO, SEMANA LUIS A. CALVO, MUESTRAS Y EL LANZAMIENTODE LA PUBLICACIÃ³N DISCO ALAC"/>
    <s v="MENSUAL"/>
    <s v="PROYECTOS PROPIOS"/>
    <x v="2"/>
  </r>
  <r>
    <x v="4"/>
    <x v="34"/>
    <s v="UNIVERSIDAD DISTRITAL FRANCISCO JOSÉ DE CALDAS - UD"/>
    <n v="6850"/>
    <s v="NO APLICA"/>
    <m/>
    <s v="ANGEL ROZO"/>
    <s v="NO APLICA"/>
    <m/>
    <n v="3"/>
    <n v="1"/>
    <n v="4"/>
    <m/>
    <d v="2024-08-21T00:00:00"/>
    <d v="2024-08-26T00:00:00"/>
    <n v="11.967123287671232"/>
    <n v="364"/>
    <n v="0"/>
    <n v="0"/>
    <n v="331"/>
    <d v="2025-08-25T00:00:00"/>
    <s v="FACULTAD DE ARTES - ASAB / UNIDAD DE EXTENSIÓN"/>
    <s v="EN EJECUCIÓN"/>
    <s v="PROYECTOS DE EDUCACIÓN CONTINUADA"/>
    <n v="40950000"/>
    <n v="82594350"/>
    <n v="0"/>
    <n v="0"/>
    <n v="123544350"/>
    <n v="13236894.642857142"/>
    <s v="OFRECER A LA CIUDAD Y AL PAÃS ESPACIOS PARA LA FORMACIÃ“N EN EL ÃREA DE ARTES PLÃSTICAS Y VISUALES, CON EL FIN DE POTENCIAR LA EDUCACIÃ“N VISUAL DE LOS ASPIRANTES QUE PRETENDEN POSTULARSE AL PREGRADO DE ARTES PLÃSTICAS Y VISUALES, CON EL FIN DE ESTABLECER COHERENCIA ENTRE SUS INTERESES Y LA ESTRUCTURA DEL PLAN DE ESTUDIO DE LOS PROGRAMAS DE EDUCACIÃ“N SUPERIOR EN ARTES PLÃSTICAS Y/O VISUALES, Y ASÃ CUALIFICAR EL PERFIL DE INGRESO EN LOS PROCESOS DE SELECCIÃ“N Y ADMISIÃ“N A LA CARRERA"/>
    <s v="MENSUAL"/>
    <s v="PROYECTOS PROPIOS"/>
    <x v="2"/>
  </r>
  <r>
    <x v="4"/>
    <x v="35"/>
    <s v="UNIVERSIDAD DISTRITAL FRANCISCO JOSÉ DE CALDAS - UD"/>
    <n v="6849"/>
    <s v="NO APLICA"/>
    <m/>
    <s v="ANGEL ROZO"/>
    <s v="NO APLICA"/>
    <m/>
    <n v="3"/>
    <n v="1"/>
    <n v="4"/>
    <m/>
    <d v="2024-08-21T00:00:00"/>
    <d v="2024-08-23T00:00:00"/>
    <n v="11.967123287671232"/>
    <n v="364"/>
    <n v="0"/>
    <n v="0"/>
    <n v="334"/>
    <d v="2025-08-22T00:00:00"/>
    <s v="FACULTAD DE ARTES - ASAB / UNIDAD DE EXTENSIÓN"/>
    <s v="EN EJECUCIÓN"/>
    <s v="PROYECTOS DE EDUCACIÓN CONTINUADA"/>
    <n v="40170000"/>
    <n v="65009068.340000004"/>
    <n v="0"/>
    <n v="0"/>
    <n v="105179068.34"/>
    <n v="11269185.893571427"/>
    <s v="OFRECER Y DESARROLLAR PROGRAMAS QUE PERMITAN BRINDAR ELEMENTOS BÃSICOS DE FORMACIÃ“N TEÃ“RICA Y PRÃCTICA ACERCA DE LAS ARTES ESCÃ‰NICAS, QUE PERMITAN EL RECONOCIMIENTO Y POTENCIACIÃ“N DE DESTREZAS PARA LA CRACIÃ“N TEATRAL, A JÃ“VENES DE LA CIUDAD DE BOGOTÃ Y DEL RESTO DEL PAÃS."/>
    <s v="MENSUAL"/>
    <s v="PROYECTOS PROPIOS"/>
    <x v="2"/>
  </r>
  <r>
    <x v="4"/>
    <x v="36"/>
    <s v="UNIVERSIDAD DISTRITAL FRANCISCO JOSÉ DE CALDAS - UD"/>
    <n v="6847"/>
    <s v="NO APLICA"/>
    <m/>
    <s v="ALBERTINA VIOLA VERGARA"/>
    <s v="NO APLICA"/>
    <s v="NO APLICA"/>
    <n v="5"/>
    <n v="1"/>
    <n v="6"/>
    <m/>
    <d v="2024-08-21T00:00:00"/>
    <d v="2024-10-02T00:00:00"/>
    <n v="5.9178082191780819"/>
    <n v="120"/>
    <n v="0"/>
    <n v="60"/>
    <n v="354"/>
    <d v="2025-03-31T00:00:00"/>
    <s v="FACULTAD DE INGENIERÍA / UNIDAD DE EXTENSIÓN"/>
    <s v="FINALIZADO"/>
    <s v="PROYECTOS DE EDUCACIÓN CONTINUADA"/>
    <n v="50750000"/>
    <n v="14130000"/>
    <n v="0"/>
    <n v="0"/>
    <n v="64880000"/>
    <n v="6951428.5714285709"/>
    <s v="REALIZAR EL CONGRESO INTERNACIONAL &quot;WORKSHOP ON ENGINEERING APPLICATIONS (WEA 2024) ARTIFICIL INTELLIGENCE, OPTIMIZATION AND SIMULATION&quot; ORGANIZADO POR LA FACULTAD DE INGENIERIA DE LA UNIVERSIDAD DISTRITAL EN LA CIUDAD DE BARRANQUILLA COLOMBIA, COMO UN ESPACIO DE DIVULGACIÃ“N DE RESULTADOS DE INVESTIGACIÃ“N TANTO DE ESTUDIANTES COMO DE PROFESORES CON EL FIN DE DAR VISIBILIDAD A LAS ACTIVIDADES INVESTIGATIVAS DE LA FACULTAD Y DE GENERAR ESPACIOS COMPARTIDOS DE INVESTIGACIÃ“N CON INVESTIGADORES DE OTRAS UNIVERSIDADES."/>
    <s v="MENSUAL"/>
    <s v="PROYECTOS PROPIOS"/>
    <x v="2"/>
  </r>
  <r>
    <x v="4"/>
    <x v="37"/>
    <s v="CORPORACIÓN AUTÓNOMA REGIONAL DEL GUAVIO - CORPOGUAVIO"/>
    <n v="6856"/>
    <s v="NO APLICA"/>
    <m/>
    <s v="ANNA SOFÍA MARÍN"/>
    <m/>
    <m/>
    <n v="5"/>
    <n v="1"/>
    <n v="6"/>
    <m/>
    <d v="2024-09-12T00:00:00"/>
    <d v="2024-09-23T00:00:00"/>
    <n v="3.9780821917808216"/>
    <n v="121"/>
    <n v="0"/>
    <n v="0"/>
    <n v="303"/>
    <d v="2025-01-22T00:00:00"/>
    <s v="OFICINA DE EXTENSIÓN - IDEXUD"/>
    <s v="FINALIZADO"/>
    <s v="PROYECTOS DE EDUCACIÓN CONTINUADA"/>
    <n v="111464444"/>
    <n v="0"/>
    <n v="0"/>
    <n v="0"/>
    <n v="111464444"/>
    <n v="11942618.999999998"/>
    <s v="PRESTACIÓN DE SERVICIOS PARA EL DESARROLLO DEL DIPLOMADO PARA EL FORTALECIMIENTO E IMPLEMENTACIÃ“N DE LA POLÃTICA NACIONAL DE EDUCACIÃ“N AMBIENTAL - PNEA Y LA PROMOCIÃ“N DE PROYECTOS PROCEDA Y PRAE EN EL MARCO DE LA IMPLEMENTACIÃ“N DEL PROYECTO DEL FCA CUMPLIMIENTO DE LAS METAS DE EDUCACIÃ“N AMBIENTAL Y PARTICIPACIÃ“N CIUDADANA DEL PLAN DE ACCIÃ“N DE CORPOGUAVIO 2024-2027."/>
    <s v="PAGOS POR PORCENTAJES:_x000a_ 1- 45%_x000a_2-  45% _x000a_3 - 10%"/>
    <s v="CONTRATO INTERADMINISTRATIVO"/>
    <x v="0"/>
  </r>
  <r>
    <x v="4"/>
    <x v="38"/>
    <s v="AGENCIA NACIONAL DE HIDROCARBUROS"/>
    <n v="6857"/>
    <s v="NO APLICA"/>
    <m/>
    <s v="ALBERTINA VIOLA VERGARA"/>
    <s v="NO APLICA"/>
    <m/>
    <n v="5"/>
    <n v="1"/>
    <n v="6"/>
    <m/>
    <d v="2024-09-25T00:00:00"/>
    <d v="2024-10-03T00:00:00"/>
    <n v="6.8712328767123285"/>
    <n v="89"/>
    <n v="0"/>
    <n v="120"/>
    <n v="413"/>
    <d v="2025-04-30T00:00:00"/>
    <s v="OFICINA DE EXTENSIÓN - IDEXUD"/>
    <s v="FINALIZADO"/>
    <s v="PROYECTOS DE EDUCACIÓN CONTINUADA"/>
    <n v="300600000"/>
    <n v="0"/>
    <n v="0"/>
    <n v="0"/>
    <n v="300600000"/>
    <n v="32207142.857142854"/>
    <s v="PRESTAR SERVICIOS PARA EL DESARROLLO DE ACTIVIDADES DEL PLAN DE FORMACIÃ“N Y CAPACITACIÃ“N, CON EL PROPÃ“SITO FAVORECER EL DESARROLLO Y FORTALECIMIENTO DE COMPETENCIAS Y HABILIDADES DEL SABER, SER Y HACER DE LOS SERVIDORES DE LA ANH."/>
    <s v="PAGOS MENSUALES"/>
    <s v="CONTRATO INTERADMINISTRATIVO"/>
    <x v="2"/>
  </r>
  <r>
    <x v="4"/>
    <x v="39"/>
    <s v="MUNICIPIO DE LA CALERA CUNDINAMARCA"/>
    <n v="6878"/>
    <s v="NO APLICA"/>
    <m/>
    <s v="ANGEL ROZO"/>
    <m/>
    <m/>
    <n v="5"/>
    <n v="1"/>
    <n v="6"/>
    <m/>
    <d v="2024-10-29T00:00:00"/>
    <d v="2024-10-30T00:00:00"/>
    <n v="2.5315068493150683"/>
    <n v="62"/>
    <n v="0"/>
    <n v="15"/>
    <n v="281"/>
    <d v="2025-01-15T00:00:00"/>
    <s v="FACULTAD DE CIENCIAS Y EDUCACIÓN / UNIDAD DE EXTENSIÓN"/>
    <s v="FINALIZADO"/>
    <s v="PROYECTOS DE EDUCACIÓN CONTINUADA"/>
    <n v="65000000"/>
    <n v="0"/>
    <n v="0"/>
    <n v="0"/>
    <n v="65000000"/>
    <n v="6964285.7142857136"/>
    <s v="PRESTAR LOS SERVICIOS PARA LA EVALUACIÃ“N DE CONOCIMIENTOS A LOS ESTUDIANTES DE GRADOS OCTAVO 8Â°, NOVENO 9Â° Y DÃ‰CIMO 10Â° DE LAS CUATRO (4) INSTITUCIONES EDUCATIVAS OFICIALES DEL MUNICIPIO DE LA CALERA Y EMITIR DIAGNÃ“STICO PARA LA PREPARACIÃ“N DE LA PRESENTACIÃ“N DE LAS PRUEBAS SABER 11"/>
    <s v=". Primer Pago: 50% Una vez se FIRME Y SE DE EJECUCIÓN AL_x000a_CONTRATO, por un valor de TREINTA Y DOS MILLONES QUINIENTOS MIL PESOS MCTE_x000a_($32.500.000.oo). Segundo Pago: 50% una vez se culmine el proceso de diagnóstico de los_x000a_beneficiarios del contrato y la conferencia a los docentes frente al tema, equivalente a un valor de_x000a_TREINTA Y DOS MILLONES QUINIENTOS MIL PESOS MCTE ($32.500.0000.oo)"/>
    <s v="CONTRATO INTERADMINISTRATIVO"/>
    <x v="0"/>
  </r>
  <r>
    <x v="4"/>
    <x v="40"/>
    <s v="UNIVERSIDAD DISTRITAL FRANCISCO JOSÉ DE CALDAS - UD"/>
    <n v="6866"/>
    <s v="NO APLICA"/>
    <m/>
    <s v="ANGEL ROZO"/>
    <s v="NO APLICA"/>
    <m/>
    <n v="5"/>
    <n v="1"/>
    <n v="6"/>
    <m/>
    <d v="2024-11-06T00:00:00"/>
    <d v="2024-11-18T00:00:00"/>
    <n v="4.4712328767123282"/>
    <n v="136"/>
    <n v="0"/>
    <n v="0"/>
    <n v="247"/>
    <d v="2025-04-03T00:00:00"/>
    <s v="FACULTAD DE CIENCIAS Y EDUCACIÓN / UNIDAD DE EXTENSIÓN"/>
    <s v="FINALIZADO"/>
    <s v="PROYECTOS DE EDUCACIÓN CONTINUADA"/>
    <n v="15525000"/>
    <n v="0"/>
    <n v="0"/>
    <n v="0"/>
    <n v="15525000"/>
    <n v="1663392.857142857"/>
    <s v="FORTALECER LA CUALIFICACIÃ“N Y ACTUALIZACIÃ“N PEDAGÃ“GICA, DIDÃCTICA, CREATIVA Y ARTÃSTICA DE AGENTES, DOCENTES, ARTISTAS, GESTORES, LÃDERES SOCIALES, COMUNITARIOS, PROFESIONALES O ESTUDIANTES QUE LES GUSTE EL ARTE, ESTÃ‰N RELACIONADOS CON EL DESARROLLO DE PRÃCTICAS ARTÃSTICAS O EL TRABAJO ARTÃSTICO DESDE SUS LES ENFOQUES EN EL CONTEXTO SOCIAL, ESCOLAR O COMUNITARIO A NIVEL DISTRITAL Y/O NACIONAL, PARA AMPLIAR SU FORMACIÃ“N EN DIDÃCTICA Y PEDAGOGÃA COMUNITARIA DESDE LAS ARTES PARA APLICACIÃ“N EN EL AULA, TRABAJO EN EL TERRITORIO Y CONTEXTOS AFINES, A TRAVÃ‰S DEL DIPLOMADO SEMIPRESENCIAL ARTE EN COMUNIDAD TERRITORIO Y ESCUELA CON UNA INTENSIDAD DE 120 HORAS, DURANTE 2 MESES, FINALIZANDO CON ENTREGA DE CERTIFICADOS A LOS PARTICIPANTES."/>
    <s v="POR MATRICULAS"/>
    <s v="PROYECTOS PROPIOS"/>
    <x v="2"/>
  </r>
  <r>
    <x v="4"/>
    <x v="41"/>
    <s v="ADMINISTRADORA COLOMBIANA DE PENSIONES - COLPENSIONES"/>
    <n v="6870"/>
    <s v="NO APLICA"/>
    <m/>
    <s v="ALBERTINA VIOLA VERGARA"/>
    <s v="NO APLICA"/>
    <m/>
    <n v="5"/>
    <n v="3"/>
    <n v="8"/>
    <m/>
    <d v="2024-11-13T00:00:00"/>
    <d v="2024-11-22T00:00:00"/>
    <n v="5.9178082191780819"/>
    <n v="180"/>
    <n v="0"/>
    <n v="0"/>
    <n v="243"/>
    <d v="2025-05-21T00:00:00"/>
    <s v="OFICINA DE EXTENSIÓN - IDEXUD"/>
    <s v="FINALIZADO"/>
    <s v="CONSULTORÍAS"/>
    <n v="1500000000"/>
    <n v="0"/>
    <n v="0"/>
    <n v="0"/>
    <n v="1500000000"/>
    <n v="160714285.7142857"/>
    <s v="PRESTACIÃ“N DEL SERVICIO DE CONSULTORÃA ESPECIALIZADA QUE PERMITA FORTALECER LA GESTIÃ“N DEL CONOCIMIENTO MEDIANTE LA VERIFICACIÃ“N DE LOS PROCESOS Y LOS SERVICIOS TECNOLÃ“GICOS EXISTENTES AL TÃ‰RMINO DEL PLAN ESTRATÃ‰GICO DE TECNOLOGÃAS DE LA INFORMACIÃ“N 2019-2022 EN COLPENSIONES."/>
    <s v="PAGOS POR FASES:_x000a_5, 35, 35 y 25 %"/>
    <s v="CONTRATO INTERADMINISTRATIVO"/>
    <x v="4"/>
  </r>
  <r>
    <x v="4"/>
    <x v="42"/>
    <s v="CONCEJO DE GONZÁLEZ CONCEJO MUNICIPAL"/>
    <n v="6880"/>
    <s v="NO APLICA"/>
    <m/>
    <s v="NATALY MONTENEGRO"/>
    <m/>
    <m/>
    <n v="5"/>
    <n v="1"/>
    <n v="6"/>
    <m/>
    <d v="2024-11-19T00:00:00"/>
    <d v="2024-11-28T00:00:00"/>
    <n v="3.0246575342465754"/>
    <n v="29"/>
    <n v="0"/>
    <n v="63"/>
    <n v="300"/>
    <d v="2025-02-28T00:00:00"/>
    <s v="OFICINA DE EXTENSIÓN - IDEXUD"/>
    <s v="FINALIZADO"/>
    <s v="ASESORÍAS"/>
    <n v="9600000"/>
    <n v="0"/>
    <n v="0"/>
    <n v="0"/>
    <n v="9600000"/>
    <n v="1028571.4285714285"/>
    <s v="PRESTACIÓN DE SERVICIOS DE ASESORÍA TÉCNICA, JURÍDICA Y APOYO LOGISTO PARA EL DESARROLLO DEL PROCESO DE CONCURSO DE MÉRITOS PARA LA ELECCIÓN DEL PERSONERO MUNICIPAL DE GONZÁLEZ - CESAR, PARA EL PERIODO INSTITUCIONAL 2024 - 2028."/>
    <s v="UN UNICO PAGO DEL 100%"/>
    <s v="CONTRATO INTERADMINISTRATIVO"/>
    <x v="0"/>
  </r>
  <r>
    <x v="4"/>
    <x v="43"/>
    <s v="FUERZA AEROESPACIAL COLOMBIANA"/>
    <n v="6877"/>
    <s v="NO APLICA"/>
    <m/>
    <s v="NATALY MONTENEGRO"/>
    <s v="NO APLICA"/>
    <m/>
    <n v="3"/>
    <n v="3"/>
    <n v="6"/>
    <m/>
    <d v="2024-12-04T00:00:00"/>
    <d v="2024-12-06T00:00:00"/>
    <n v="11.802739726027397"/>
    <n v="359"/>
    <n v="0"/>
    <n v="0"/>
    <n v="229"/>
    <d v="2025-11-30T00:00:00"/>
    <s v="OFICINA DE EXTENSIÓN - IDEXUD"/>
    <s v="EN EJECUCIÓN"/>
    <s v="ASESORÍA"/>
    <n v="845530500"/>
    <n v="0"/>
    <n v="0"/>
    <n v="0"/>
    <n v="845530500"/>
    <n v="90592553.571428567"/>
    <s v="PRESTAR SERVICIOS DE PERSONAL PROFESIONAL Y DE APOYO A LA GESTION PARA EL GIMFA CACOM 4 EN ÃREAS ACADÃ‰MICAS, PSICORIENTACION E INSTRUCCIÃ“N MILITAR ESPECIAL, QUE FACILITEN EL PLANEAMIENTO Y DESARROLLO DE LAS ACTIVIDADES DURANTE EL PROCESO DE FORMACIÃ“N ESCOLAR"/>
    <s v="12 PAGOS REALIZADOS DE FORMA MENSUAL"/>
    <s v="CONTRATO INTERADMINISTRATIVO"/>
    <x v="3"/>
  </r>
  <r>
    <x v="4"/>
    <x v="44"/>
    <s v="UNIDAD ADMINISTRATIVA ESPECIAL DE SERVICIOS PÚBLICOS - UAESP"/>
    <n v="6887"/>
    <s v="NO APLICA"/>
    <m/>
    <s v="ANA CHAVARRO"/>
    <s v="NO APLICA"/>
    <s v="NO APLICA"/>
    <n v="5"/>
    <n v="1"/>
    <n v="6"/>
    <m/>
    <d v="2024-12-23T00:00:00"/>
    <d v="2024-12-27T00:00:00"/>
    <n v="2.9260273972602739"/>
    <n v="89"/>
    <n v="0"/>
    <n v="0"/>
    <n v="208"/>
    <d v="2025-03-26T00:00:00"/>
    <s v="OFICINA DE BIENESTAR UNIVERSITARIO"/>
    <s v="FINALIZADO"/>
    <s v="PROYECTOS DE EDUCACIÓN CONTINUADA"/>
    <n v="259168000"/>
    <n v="0"/>
    <n v="23140000"/>
    <n v="0"/>
    <n v="282308000"/>
    <n v="27767999.999999996"/>
    <s v="AUNAR RECURSOS HUMANOS, TÃ‰CNICOS, ADMINISTRATIVOS Y FINANCIEROS, ENTRE LA UNIDAD ADMINISTRATIVA DE SERVICIOS PÃšBLICOS -UAESP Y LA UNIVERSIDAD DISTRITAL FRANCISCO JOSÃ‰ DE CALDAS, PARA APOYAR LA CONTINUIDAD EN LOS PROGRAMAS DE EDUCACIÃ“N SUPERIOR, TECNOLÃ“GICA Y PROFESIONAL, A LOS HABITANTES DE LA ZONA DE INFLUENCIA DEL PARQUE DE INNOVACIÃ“N DOÃ‘A JUANA-PIDJ ESTABLECIDA EN LA LICENCIA AMBIENTAL."/>
    <s v="UN PRIMER DESEMBOLSO DURANTE EL PERIODO ACADÉMICO 2024-III, CORRESPONDIENTE AL BENEFICIO DE HASTA 89 ESTUDIANTES Y  ADICIONALMENTE EL 12% DE BENEFICIO INSTITUCIONAL, POR VALOR DE HASTA DOSCIENTOS CINCUENTA Y NUEVE  MILLONES CIENTO SESENTA Y OCHO MIL PESOS M/CTE ($259.168.000)"/>
    <s v="CONVENIO INTERADMINISTRATIVO"/>
    <x v="2"/>
  </r>
  <r>
    <x v="4"/>
    <x v="45"/>
    <s v="GOBERNACION DEL MAGDALENA"/>
    <n v="6871"/>
    <s v="ORDINARIO 017"/>
    <m/>
    <s v="ANNA SOFÍA MARÍN"/>
    <m/>
    <m/>
    <n v="5"/>
    <n v="3"/>
    <n v="8"/>
    <m/>
    <d v="2024-11-13T00:00:00"/>
    <d v="2024-11-20T00:00:00"/>
    <n v="6.2136986301369861"/>
    <n v="129"/>
    <n v="0"/>
    <n v="60"/>
    <n v="305"/>
    <d v="2025-05-28T00:00:00"/>
    <s v="OFICINA DE EXTENSIÓN - IDEXUD"/>
    <s v="FINALIZADO"/>
    <s v="ASESORÍAS"/>
    <n v="1078997482"/>
    <n v="0"/>
    <n v="0"/>
    <n v="0"/>
    <n v="1078997482"/>
    <n v="115606873.07142855"/>
    <s v="&quot;CONTRATO INTERADMINSITRATIVO PARA LA EJECUCION DE _x000a_SERVICIOS TÉCNICOS, ADMINISTRATIVOS Y FINANCIEROS EN LA PUESTA EN MARCHA DE LAS _x000a_ESCUELAS DE FORMACIÓN EN LIDERAZGO POLÍTICO Y SOCIAL DEL DEPARTAMENTO DEL _x000a_MAGDALENA&quot;"/>
    <s v="-"/>
    <s v="CONTRATO INTERADMINISTRATIVO"/>
    <x v="0"/>
  </r>
  <r>
    <x v="4"/>
    <x v="46"/>
    <s v="EMPRESA DE RENOVACIÓN Y DESARROLLO URBANO DE BOGOTÁ - RENOBO"/>
    <n v="6881"/>
    <s v="ORDINARIO 017"/>
    <m/>
    <s v="ALBERTINA VIOLA VERGARA"/>
    <s v="PROCESO ESTRUCTURADO Y CONTRATADO"/>
    <s v="PAOLA DÍAZ"/>
    <n v="5"/>
    <n v="3"/>
    <n v="8"/>
    <m/>
    <d v="2024-11-27T00:00:00"/>
    <d v="2024-12-27T00:00:00"/>
    <n v="6.9369863013698625"/>
    <n v="211"/>
    <n v="0"/>
    <n v="0"/>
    <n v="208"/>
    <d v="2025-07-26T00:00:00"/>
    <s v="OFICINA DE EXTENSIÓN - IDEXUD"/>
    <s v="EN EJECUCIÓN"/>
    <s v="INTERVENTORÍAS"/>
    <n v="1418446006"/>
    <n v="0"/>
    <n v="0"/>
    <n v="0"/>
    <n v="1418446006"/>
    <n v="151976357.78571427"/>
    <s v="REALIZAR LA EJECUCIÓN DE LAS OBRAS MEDIANTE EL SISTEMA DE ADMINISTRACIÓN DELEGADA DEL PROYECTO BRONX DISTRITO CREATIVO, UBICADO EN EL ÁREA DE MANEJO DIFERENCIADO UNO (AMD 1) DEL PLAN PARCIAL DE RENOVACIÓN URBANA VOTO NACIONAL - LA ESTANZUELA EN LA LOCALIDAD DE LOS MÁRTIRES, BARRIO VOTO NACIONAL, EN LA CIUDAD DE BOGOTA D.C., DE ACUERDO CON LOS ESTUDIOS Y DISEÑOS ELABORADOS PARA TAL FIN."/>
    <s v="ACTAS DE COBRO MENSUAL PARA EL 90% DEL PAGO"/>
    <s v="CONTRATO DE INTERVENTORÍA"/>
    <x v="0"/>
  </r>
  <r>
    <x v="4"/>
    <x v="47"/>
    <s v="FONDO DE DESARROLLO LOCAL DE CIUDAD BOLÍVAR"/>
    <n v="6886"/>
    <s v="ORDINARIO 017"/>
    <s v="ci1694cbolivar25ofex@udistrital.edu.co"/>
    <s v="CAROLINA NUÑEZ"/>
    <s v="FABIAN BERNATE"/>
    <m/>
    <n v="3"/>
    <n v="3"/>
    <n v="6"/>
    <m/>
    <d v="2024-12-24T00:00:00"/>
    <d v="2025-02-24T00:00:00"/>
    <n v="9.9287671232876704"/>
    <n v="302"/>
    <n v="0"/>
    <n v="0"/>
    <n v="149"/>
    <d v="2025-12-23T00:00:00"/>
    <s v="OFICINA DE EXTENSIÓN - IDEXUD"/>
    <s v="EN EJECUCIÓN"/>
    <s v="PROYECTOS DE EDUCACIÓN CONTINUADA"/>
    <n v="2827080133"/>
    <n v="0"/>
    <n v="0"/>
    <n v="0"/>
    <n v="2827080133"/>
    <n v="302901442.82142854"/>
    <s v="PRESTAR LOS SERVICIOS PARA PROMOVER LA CONSTRUCCIÓN DE CIUDADANÍA, EL DESARROLLO DE CAPACIDADES DE LAS MUJERES Y EL RECONOCIMIENTO DE LAS LABORES DE CUIDADO, MEDIANTE ACCIONES QUE CONTRIBUYAN AL BIENESTAR FÍSICO, MENTAL Y EMOCIONAL DE LAS BENEFICIARIAS, EN EL MARCO DE UN NUEVO CONTRATO SOCIAL Y AMBIENTAL POR LAS MUJERES DE LA LOCALIDAD DE CIUDAD BOLÍVAR Y EL PLAN DE DESARROLLO LOCAL 2021-2024"/>
    <s v="PRIMER PAGO  DEL 30% SEGUNDO AL NOVENO PAGO DEL 7.5% CADA UNO Y UN ULTIMO PAGO DEL 10%"/>
    <s v="CONTRATO INTERADMINISTRATIVO"/>
    <x v="0"/>
  </r>
  <r>
    <x v="4"/>
    <x v="48"/>
    <s v="GOBERNACIÓN DEL MAGDALENA"/>
    <n v="6879"/>
    <s v="ORDINARIO 019"/>
    <s v="ci1704magdalena24ofex@udistrital.edu.co"/>
    <s v="ANNA SOFÍA MARÍN"/>
    <s v="CELINA CÁRDENAS"/>
    <s v="ANGELA ALARCON"/>
    <n v="5"/>
    <s v=""/>
    <n v="6"/>
    <m/>
    <d v="2024-12-09T00:00:00"/>
    <d v="2025-02-10T00:00:00"/>
    <n v="4.5041095890410956"/>
    <n v="107"/>
    <n v="0"/>
    <n v="30"/>
    <n v="193"/>
    <d v="2025-06-27T00:00:00"/>
    <s v="OFICINA DE EXTENSIÓN - IDEXUD"/>
    <s v="LIQUIDADO"/>
    <s v="CONSULTORÍAS"/>
    <n v="0"/>
    <n v="0"/>
    <n v="0"/>
    <n v="0"/>
    <n v="0"/>
    <n v="0"/>
    <s v="CONTRATO INTERADMINSITRATIVO PARA LA ELABORACIÓN DE ESTUDIOS DE REFORMULACIÓN, FACTIBILIDAD Y DISEÑOS DEL TREN DE PASAJEROS Y CARGA EN EL DEPARTAMENTO DEL MAGDALENA."/>
    <s v="UN PAGO ANTICIPADO DEL 50% Y UN PAGO FINAL POR EL 50% RESTANTE"/>
    <s v="CONTRATO INTERADMINISTRATIVO"/>
    <x v="0"/>
  </r>
  <r>
    <x v="4"/>
    <x v="49"/>
    <s v="FONDO DE DESARROLLO LOCAL DE CIUDAD BOLÍVAR"/>
    <n v="6891"/>
    <s v="ORDINARIO 019"/>
    <s v="ci1703cbolivar25ofex@udistrital.edu.co"/>
    <s v="CAROLINA NUÑEZ"/>
    <s v="FABIAN BERNATE"/>
    <s v="ANGELA ALARCON"/>
    <n v="3"/>
    <n v="3"/>
    <n v="6"/>
    <m/>
    <d v="2024-12-26T00:00:00"/>
    <d v="2025-02-03T00:00:00"/>
    <n v="7.9232876712328766"/>
    <n v="241"/>
    <n v="0"/>
    <n v="0"/>
    <n v="170"/>
    <d v="2025-10-02T00:00:00"/>
    <s v="OFICINA DE EXTENSIÓN - IDEXUD"/>
    <s v="EN EJECUCIÓN"/>
    <s v="PROYECTOS ESPECIALES"/>
    <n v="2438185998"/>
    <n v="0"/>
    <n v="0"/>
    <n v="0"/>
    <n v="2438185998"/>
    <n v="261234214.07142854"/>
    <s v="&quot;PRESTAR LOS SERVICIOS PARA REALIZAR_x000a_FORMACIÓN A LA COMUNIDAD Y FORTALECIMIENTO A LAS ORGANIZACIONES SOCIALES,_x000a_COMUNITARIAS E INSTANCIAS DE PARTICIPACIÓN CIUDADANA Y PARA LA PROMOCIÓN,_x000a_FORTALECIMIENTO Y GENERACIÓN DE OPORTUNIDADES DE ACCESO DE JUSTICIA, LA PROMOCIÓN DE LA CONVIVENCIA CIUDADANA Y LA RESOLUCIÓN DE CONFLICTOS, EN EL_x000a_MARCO DEL PLAN DE DESARROLLO LOCAL 2021-2024 DE LA LOCALIDAD DE CIUDAD BOLÍVAR&quot;"/>
    <s v="PRIMER PAGO DE $731455799 CORRESPONDE 30%  DEL VALOR DEL APORTE POR LA PREVIA ENTREGA DE PLAN DE TRABAJO, CRONOGRAMA, EQUIPO HUMANO A CONTRATAR, FORMATOS DE SEGUIMIENTO, METODOLOGIA. EL SEGUNDO PAGO POR LA SUMA DE $1462911599 EQUIVALE AL 60% POR PAGOS MENSUALES DEL $243818600. UN ULTIMO PAGO DE 243818600 CORRESPONDIENTE AL 10%  POR ENTREGA DE INFORME FINAL "/>
    <s v="CONTRATO INTERADMINISTRATIVO"/>
    <x v="0"/>
  </r>
  <r>
    <x v="4"/>
    <x v="50"/>
    <s v="FONDO DE DESARROLLO LOCAL DE KENNEDY"/>
    <n v="6888"/>
    <s v="ORDINARIO 019"/>
    <s v="ci1134kennedy25ofex@udistrital.edu.co"/>
    <s v="CAROLINA NUÑEZ"/>
    <s v="CELINA CÁRDENAS"/>
    <m/>
    <n v="3"/>
    <n v="3"/>
    <n v="6"/>
    <m/>
    <d v="2024-12-26T00:00:00"/>
    <d v="2025-02-05T00:00:00"/>
    <n v="9.9287671232876704"/>
    <n v="302"/>
    <n v="0"/>
    <n v="0"/>
    <n v="168"/>
    <d v="2025-12-04T00:00:00"/>
    <s v="OFICINA DE EXTENSIÓN - IDEXUD"/>
    <s v="EN EJECUCIÓN"/>
    <s v="ASISTENCIA TÉCNICA Y/O TECNOLÓGICA"/>
    <n v="2400000000"/>
    <n v="0"/>
    <n v="0"/>
    <n v="0"/>
    <n v="2400000000"/>
    <n v="257142857.1428571"/>
    <s v="PRESTAR LOS SERVICIOS PROFESIONALES, TÉCNICOS, ADMINISTRATIVOS, FINANCIEROS Y LOGÍSTICOS PARA LA EJECUCIÓN DE ACCIONES QUE VINCULEN A LA COMUNIDAD EN PROCESOS DE CAPACITACIÓN Y FORTALECIMIENTO DE LA PARTICIPACIÓN CIUDADANA EN LA LOCALIDAD DE KENNEDY"/>
    <s v="REALIZARÁ LOS PAGOS SEGÚN EL AVANCE FINANCIERO, EL CRONOGRAMA Y EL PLAN DE TRABAJO, PREVIA PRESENTACIÓN DE INFORMES TÉCNICOS, FINANCIEROS Y DE ACTIVIDADES CON SOPORTES, FACTURA LEGAL, CERTIFICACIÓN DE CUMPLIMIENTO, ACREDITACIÓN DE PAGOS AL SISTEMA DE SEGURIDAD SOCIAL, Y ACTA DE LIQUIDACIÓN (PARA EL ÚLTIMO PAGO), SUJETOS A LA PROGRAMACIÓN DEL PAC."/>
    <s v="CONTRATO INTERADMINISTRATIVO"/>
    <x v="0"/>
  </r>
  <r>
    <x v="5"/>
    <x v="51"/>
    <s v="ASAMBLEA DEPARTAMENTAL DEL CESAR"/>
    <n v="6906"/>
    <s v="EXTRAORDINARIO 002"/>
    <s v="secretariocesar25ofex@udistrital.edu.co"/>
    <s v="NATALY MONTENEGRO"/>
    <s v="CELINA CÁRDENAS"/>
    <s v="ANGELA ALARCON"/>
    <n v="5"/>
    <n v="1"/>
    <n v="6"/>
    <m/>
    <d v="2025-03-17T00:00:00"/>
    <d v="2025-03-31T00:00:00"/>
    <n v="1.9726027397260273"/>
    <n v="60"/>
    <n v="0"/>
    <n v="0"/>
    <n v="114"/>
    <d v="2025-05-30T00:00:00"/>
    <s v="OFICINA DE EXTENSIÓN - IDEXUD"/>
    <s v="FINALIZADO"/>
    <s v="ASESORÍAS"/>
    <n v="18000000"/>
    <n v="0"/>
    <n v="0"/>
    <n v="0"/>
    <n v="18000000"/>
    <n v="1928571.4285714284"/>
    <s v="PRESTAR LOS SERVICIOS DE ASESORIA, ACOMPAÑAMIENTO, APOYO TECNICO Y APLICACIÓN DE PRUEBAS DE CONOCIMIENTOS EN EL PROCESO DE CONCOVATORÍA PÚBLICA PARA PROVEER EL CARGO DE SECRETARIO GENERAL PARA LA ASAMBLEA DEPARTAMENTAL DEL CESAR, VIGENCIA 2025"/>
    <s v="UN PRIMER PAGO EQUIVALENTE AL 50% DEL VALOR DEL CONTRATO, UNA VEZ PUBLICADO EL LISTADO PARCIAL DE ADMINITIDOS Y NO ADMITIDOS"/>
    <s v="CONTRATO INTERADMINISTRATIVO"/>
    <x v="0"/>
  </r>
  <r>
    <x v="5"/>
    <x v="52"/>
    <s v="MINISTERIO DE EDUCACIÓN NACIONAL - MEN"/>
    <n v="6908"/>
    <s v="EXTRAORDINARIO 002"/>
    <s v="ci5385mineducacion25ofex@udistrital.edu.co"/>
    <s v="ALBERTINA VIOLA VERGARA"/>
    <s v="FABIAN BERNATE"/>
    <s v="SEBASTIÁN URIBE"/>
    <n v="3"/>
    <n v="3"/>
    <n v="6"/>
    <m/>
    <d v="2025-03-21T00:00:00"/>
    <d v="2025-03-31T00:00:00"/>
    <n v="9.0410958904109577"/>
    <n v="275"/>
    <n v="0"/>
    <n v="0"/>
    <n v="114"/>
    <d v="2025-12-31T00:00:00"/>
    <s v="FACULTAD DE INGENIERÍA / UNIDAD DE EXTENSIÓN"/>
    <s v="EN EJECUCIÓN"/>
    <s v="ASESORÍAS"/>
    <n v="1991969000"/>
    <n v="0"/>
    <n v="0"/>
    <n v="0"/>
    <n v="1991969000"/>
    <n v="213425249.99999997"/>
    <s v="PRESTACIÓN DE SERVICIOS PARA APOYAR LA SUPERVISIÓN TÉCNICA, ADMINISTRATIVA, FINANCIERA Y JURÍDICA DE LOS CONTRATOS QUE SE EJECUTEN PARA LA OPERACIÓN GLOBAL DE LOS SERVICIOS TIC DEL MINISTERIO DE EDUCACIÓN NACIONAL Y FÁBRICA DE SOFTWARE"/>
    <s v="10 PAGOS POR ENTREGABLES"/>
    <s v="CONTRATO INTERADMINISTRATIVO"/>
    <x v="0"/>
  </r>
  <r>
    <x v="5"/>
    <x v="53"/>
    <s v="POLICÍA NACIONAL - DIRECCIÓN DE EDUCACIÓN POLICIAL - DIEPO"/>
    <n v="6909"/>
    <s v="EXTRAORDINARIO 002"/>
    <s v="ci0024diplomados25ofex@udistrital.edu.co"/>
    <s v="NATALY MONTENEGRO"/>
    <s v="JUAN DAVID"/>
    <s v="JEFFERSON PARRA"/>
    <n v="3"/>
    <n v="3"/>
    <n v="6"/>
    <m/>
    <d v="2025-03-21T00:00:00"/>
    <d v="2025-03-28T00:00:00"/>
    <n v="8.1205479452054785"/>
    <n v="247"/>
    <n v="0"/>
    <n v="0"/>
    <n v="117"/>
    <d v="2025-11-30T00:00:00"/>
    <s v="OFICINA DE EXTENSIÓN - IDEXUD"/>
    <s v="EN EJECUCIÓN"/>
    <s v="PROYECTOS DE EDUCACIÓN CONTINUADA"/>
    <n v="696050000"/>
    <n v="0"/>
    <n v="0"/>
    <n v="0"/>
    <n v="696050000"/>
    <n v="74576785.714285702"/>
    <s v="PRESTACIÓN DE SERVICIOS PROFESIONALES DE CAPACITACIÓN PARA EL DESARROLLO DE DIPLOMADOS, CURSOS Y SEMINARIOS PARA UNOS FUNCIONARIOS DE LA DIRECCIÓN DE EDUCACIÓN POLICIAL Y ESCUELAS DE POLICÍA"/>
    <s v="PAGOS PARCIALES CONTRA PRESTACIÓN A CADA DIPLOMADO"/>
    <s v="CONTRATO INTERADMINISTRATIVO"/>
    <x v="0"/>
  </r>
  <r>
    <x v="5"/>
    <x v="54"/>
    <s v="BANCO MUNDIAL"/>
    <n v="6916"/>
    <s v="EXTRAORDINARIO 002"/>
    <s v="ci296bancomundial25ofex@udistrital.edu.co"/>
    <s v="ALBERTINA VIOLA VERGARA"/>
    <s v="FABIAN BERNATE"/>
    <s v="PAOLA DÍAZ"/>
    <n v="3"/>
    <n v="1"/>
    <n v="4"/>
    <m/>
    <d v="2025-03-27T00:00:00"/>
    <d v="2025-04-30T00:00:00"/>
    <n v="8.0219178082191771"/>
    <n v="244"/>
    <n v="0"/>
    <n v="0"/>
    <n v="84"/>
    <d v="2025-12-30T00:00:00"/>
    <s v="FACULTAD DE INGENIERÍA / UNIDAD DE EXTENSIÓN"/>
    <s v="EN EJECUCIÓN"/>
    <s v="PROYECTOS DE EDUCACIÓN CONTINUADA"/>
    <n v="175000000"/>
    <n v="0"/>
    <n v="0"/>
    <n v="0"/>
    <n v="175000000"/>
    <n v="18750000"/>
    <s v="BRINDAR UN DIPLOMADO EN GESTION PRACTICA DEL SUELO Y REGISTRO CATASTRAL MULTIPROPOSITO A 40 SERVIDORES PUBLICOS Y PERSONAL MUNICIPAL INVOLUCRADO EN EL PROGRAMA, ASI COMO A LAS ENTIDADES SOCIAS DE CIUDATA, CON EL OBJETIVO DE FORTALECER LAS CAPACIDADES DE LOS ACTORES EN ESTAS AREAS"/>
    <s v="PAGO POR PORCENTAJES:_x000a_1- 20%_x000a_2- 30%_x000a_3- 30%_x000a_4- 20%"/>
    <s v="CONTRATO INTERADMINISTRATIVO"/>
    <x v="0"/>
  </r>
  <r>
    <x v="5"/>
    <x v="55"/>
    <s v="POLICÍA NACIONAL - DIRECCIÓN DE EDUCACIÓN POLICIAL - DIEPO"/>
    <n v="6919"/>
    <s v="EXTRAORDINARIO 002"/>
    <s v="gerenteanh58325ofex@udistrital.edu.co"/>
    <s v="NATALY MONTENEGRO"/>
    <s v="JUAN DAVID"/>
    <s v="CATALINA ACERO"/>
    <n v="3"/>
    <n v="1"/>
    <n v="4"/>
    <m/>
    <d v="2025-04-30T00:00:00"/>
    <d v="2025-05-22T00:00:00"/>
    <n v="7.0027397260273974"/>
    <n v="213"/>
    <n v="0"/>
    <n v="0"/>
    <n v="62"/>
    <d v="2025-12-21T00:00:00"/>
    <s v="OFICINA DE EXTENSIÓN - IDEXUD"/>
    <s v="EN EJECUCIÓN"/>
    <s v="PROYECTOS DE EDUCACIÓN CONTINUADA"/>
    <n v="318000000"/>
    <n v="0"/>
    <n v="0"/>
    <n v="0"/>
    <n v="318000000"/>
    <n v="34071428.571428567"/>
    <s v="PRESTACIÓN DE SERVICIOS PROFESIONALES DE CAPACITACIÓN PARA EL DESARROLLO DEL SEMINARIO EN MANEJO DE EQUIPOS PARA LA DETECCIÓN DE ETANOL EXPIRADO PARA FUNCIONARIOS DE LA POLICÍA NACIONAL"/>
    <s v="DOS PAGOS EN CONTRAPRESTACIÓN, CADA UNO POR VALOR DEL 50% DEL VALOR DEL CONTRATO"/>
    <s v="CONTRATO INTERADMINISTRATIVO"/>
    <x v="0"/>
  </r>
  <r>
    <x v="5"/>
    <x v="56"/>
    <s v="SECRETARÍA DISTRITAL DE HACIENDA"/>
    <n v="6911"/>
    <s v="EXTRAORDINARIO 003"/>
    <s v="ci366hacienda25ofex@udistrital.edu.co"/>
    <s v="ALBERTINA VIOLA VERGARA"/>
    <s v="FABIAN BERNATE"/>
    <s v="TATIANA DÍAZ"/>
    <n v="5"/>
    <n v="3"/>
    <n v="8"/>
    <m/>
    <d v="2025-04-02T00:00:00"/>
    <d v="2025-04-09T00:00:00"/>
    <n v="5.0301369863013701"/>
    <n v="153"/>
    <n v="0"/>
    <n v="0"/>
    <n v="105"/>
    <d v="2025-09-09T00:00:00"/>
    <s v="FACULTAD DE INGENIERÍA / UNIDAD DE EXTENSIÓN"/>
    <s v="EN EJECUCIÓN"/>
    <s v="ASISTENCIA TÉCNICA Y/O TECNOLÓGICA"/>
    <n v="618838000"/>
    <n v="0"/>
    <n v="61000000"/>
    <n v="0"/>
    <n v="679838000"/>
    <n v="66304071.428571425"/>
    <s v="AUNAR ESFUERZOS PARA LA ASISTENCIA TÉCNICA Y APOYO A LA GESTIÓN DOCUMENTAL DE LA SECRETARÍA DISTRITAL DE HACIENDA."/>
    <s v="PAGOS POR PORCENTAJES:_x000a_1- 21%_x000a_2- 20%_x000a_3- 20%_x000a_4- 20%_x000a_5- 19%"/>
    <s v="CONVENIO INTERADMINISTRATIVO"/>
    <x v="0"/>
  </r>
  <r>
    <x v="5"/>
    <x v="57"/>
    <s v="GOBERNACIÓN DEL MAGDALENA"/>
    <n v="6912"/>
    <s v="EXTRAORDINARIO 003"/>
    <s v="ci0720gmagdalena25ofex@udistrital.edu.co"/>
    <s v="ANNA SOFÍA MARÍN"/>
    <s v="JUAN DAVID"/>
    <s v="CATALINA ACERO"/>
    <n v="5"/>
    <n v="5"/>
    <n v="10"/>
    <m/>
    <d v="2025-04-08T00:00:00"/>
    <d v="2025-04-23T00:00:00"/>
    <n v="6.2794520547945201"/>
    <n v="191"/>
    <n v="0"/>
    <n v="0"/>
    <n v="91"/>
    <d v="2025-10-31T00:00:00"/>
    <s v="OFICINA DE EXTENSIÓN - IDEXUD"/>
    <s v="EN EJECUCIÓN"/>
    <s v="INTERVENTORÍAS"/>
    <n v="6216503808.54"/>
    <n v="0"/>
    <n v="0"/>
    <n v="0"/>
    <n v="6216503808.54"/>
    <n v="666053979.4864285"/>
    <s v="INTERVENTORIA TÉCNICA, ADMINISTRATIVA, FINANCIERA Y JURÍDICA DEL PROGRAMA DE ALIMENTACION ESCOLAR, PAE PARA EL CAMBIO DE LOS 28 MUNICIPIOS NO CERTIFICADOS DE LA SUBREGIÓN SUR Y CENTRO, SUBREGIÓN NORTE Y RIO DEL DEPARTAMENTO DEL MAGDALENA VIGENCIA 2025"/>
    <s v="1- 30%_x000a_DEMÁS PAGOS POR ACTAS SEGÚN ENTREGABLES"/>
    <s v="CONTRATO INTERADMINISTRATIVO"/>
    <x v="0"/>
  </r>
  <r>
    <x v="5"/>
    <x v="58"/>
    <s v="AGENCIA NACIONAL DE SEGURIDAD VIAL - ANSV"/>
    <n v="6913"/>
    <s v="EXTRAORDINARIO 003"/>
    <s v="ci036ANSV25ofex@udistrital.edu.co"/>
    <s v="ALBERTINA VIOLA VERGARA"/>
    <s v="FABIAN BERNATE"/>
    <s v="ANGELA ALARCON"/>
    <n v="3"/>
    <n v="5"/>
    <n v="8"/>
    <m/>
    <d v="2025-04-10T00:00:00"/>
    <m/>
    <n v="12"/>
    <n v="365"/>
    <n v="0"/>
    <n v="0"/>
    <s v="0"/>
    <s v=""/>
    <s v="OFICINA DE EXTENSIÓN - IDEXUD"/>
    <s v="SUSCRITO"/>
    <s v="PROYECTOS ESPECIALES"/>
    <n v="6850084165"/>
    <n v="0"/>
    <n v="0"/>
    <n v="0"/>
    <n v="6850084165"/>
    <n v="733937589.10714269"/>
    <s v="PRESTACIÓN DE SERVICIOS PARA FORTALECER LA GESTIÓN DEL CONTROL DEL TRÁNSITO Y TRANSPORTE, EN EL ÁREA DE ACCIÓN DE CUMPLIMIENTO DE LAS NORMAS DE TRÁNSITO EN MATERIA DE SEGURIDAD VIAL, CON EL APOYO EN LA IMPLEMENTACIÓN DE ESTRATEGIAS QUE CONTRIBUYAN A INCENTIVAR EL CUMPLIMIENTO DE LAS NORMAS DE TRÁNSITO Y TRANSPORTE, ATENDIENDO LAS PARTICULARIDADES Y DINÁMICAS FUNCIONALES DE CADA UNA DE LAS OCHO REGIONES DEL PAÍS"/>
    <s v="PAGOS POR ENTREGABLES:_x000a_6 PAGOS"/>
    <s v="CONTRATO INTERADMINISTRATIVO"/>
    <x v="0"/>
  </r>
  <r>
    <x v="5"/>
    <x v="59"/>
    <s v="GOBERNACIÓN DE CUNDINAMARCA"/>
    <n v="6910"/>
    <s v="EXTRAORDINARIO 004"/>
    <s v="ci087gcundinamarca25ofex@udistrital.edu.co"/>
    <s v="ALBERTINA VIOLA VERGARA"/>
    <s v="CELINA CÁRDENAS"/>
    <s v="PAOLA DÍAZ"/>
    <n v="3"/>
    <n v="3"/>
    <n v="6"/>
    <m/>
    <d v="2025-03-23T00:00:00"/>
    <d v="2025-04-08T00:00:00"/>
    <n v="7.0027397260273974"/>
    <n v="213"/>
    <n v="0"/>
    <n v="0"/>
    <n v="106"/>
    <d v="2025-11-07T00:00:00"/>
    <s v="OFICINA DE EXTENSIÓN - IDEXUD"/>
    <s v="EN EJECUCIÓN"/>
    <s v="INTERVENTORÍAS"/>
    <n v="1332000000"/>
    <n v="0"/>
    <n v="0"/>
    <n v="0"/>
    <n v="1332000000"/>
    <n v="142714285.7142857"/>
    <s v="Realizar la interventoría jurídica, técnica, administrativa, contable y financiera al convenio interadministrativo STD-CD-CVI-070-2025, que tiene por objeto “Aunar esfuerzos administrativos, logísticos, operativos, técnicos y financieros, para el desarrollo y ejecución del convenio interadministrativo con objeto “IMPLEMENTACIÓN DE INFRAESTRUCTURA TECNOLÓGICA PARA EL FORTALECIMIENTO DE LA CONECTIVIDAD, SERVICIOS TIC Y CIERRE DE BRECHAS DIGITALES EN EL DEPARTAMENTO DE CUNDINAMARCA”"/>
    <s v="PAGOS MENSUALES DE:_x000a_1- 21,8%_x000a_2- 21,8%_x000a_3-4-5-6-7- 10%"/>
    <s v="CONTRATO INTERADMINISTRATIVO"/>
    <x v="0"/>
  </r>
  <r>
    <x v="5"/>
    <x v="60"/>
    <s v="UNIVERSIDAD TECNOLÓGICA DE PEREIRA"/>
    <n v="6923"/>
    <s v="EXTRAORDINARIO 005"/>
    <s v="ci932utp25ofex@udistrital.edu.co"/>
    <s v="ANNA SOFÍA MARÍN"/>
    <s v="JUAN DAVID"/>
    <s v="NATHALY MARÍN"/>
    <n v="5"/>
    <n v="1"/>
    <n v="6"/>
    <m/>
    <d v="2025-05-27T00:00:00"/>
    <d v="2025-06-03T00:00:00"/>
    <n v="3.9780821917808216"/>
    <n v="121"/>
    <n v="0"/>
    <n v="0"/>
    <n v="50"/>
    <d v="2025-10-02T00:00:00"/>
    <s v="FACULTAD DE CIENCIAS Y EDUCACIÓN / UNIDAD DE EXTENSIÓN"/>
    <s v="EN EJECUCIÓN"/>
    <s v="ASESORÍAS"/>
    <n v="24192000"/>
    <n v="0"/>
    <n v="0"/>
    <n v="0"/>
    <n v="24192000"/>
    <n v="2591999.9999999995"/>
    <s v="PRESTAR SERVICIOS DE ASESORÍA Y FORMACIÓN PARA LA CONSTRUCCIÓN DE LOS DOCUMENTOS DE SOLICITUD DE CREACIÓN DEL REGISTRO CALIFICADO Y DEL PROYECTO EDUCATIVO DEL DOCTORADO EN ENSEÑANZA DE LAS CIENCIAS, LA TECNOLOGÍA Y LA INNOVACIÓN (DECTI) DE LA UNIVERSIDAD TECNOLÓGICA DE PEREIRA"/>
    <s v="DOS PAGOS POR LA MITAD DE PRECIO SEGÚN ENTREGABLES"/>
    <s v="CONTRATO INTERADMINISTRATIVO"/>
    <x v="0"/>
  </r>
  <r>
    <x v="5"/>
    <x v="61"/>
    <s v="CONCEJO MUNICIPAL DE PASTO"/>
    <n v="6925"/>
    <s v="EXTRAORDINARIO 007"/>
    <s v="contralorpasto25ofex@udistrital.edu.co"/>
    <s v="NATALY MONTENEGRO"/>
    <s v="FABIAN BERNATE"/>
    <s v="ANGELA ALARCON"/>
    <n v="5"/>
    <n v="1"/>
    <n v="6"/>
    <m/>
    <d v="2025-06-13T00:00:00"/>
    <d v="2025-06-18T00:00:00"/>
    <n v="3.0246575342465754"/>
    <n v="92"/>
    <n v="0"/>
    <n v="0"/>
    <n v="35"/>
    <d v="2025-09-18T00:00:00"/>
    <s v="OFICINA DE EXTENSIÓN - IDEXUD"/>
    <s v="EN EJECUCIÓN"/>
    <s v="CONSULTORÍAS"/>
    <n v="50000000"/>
    <n v="0"/>
    <n v="0"/>
    <n v="0"/>
    <n v="50000000"/>
    <n v="5357142.8571428563"/>
    <s v="LA UNIVERSIDAD, en su condition de consultor, ADELANTARA EL PROCESO DE CONVOCATORIA PUBLICA PREVIO A LA ELECCION DE CONTRALOR (A)_x000a_MUNICIPAL DE PASTO PARA EL PERIODO 2026 A 2029, CON EL OBJETO DE  DISENAR,_x000a_EJECUTAR, EVALUAR Y CONSOLIDAR LOS RESULTADOS DE DICHA CONVOCATORIA, PARA ENTREGAR A LA MESA DIRECTIVA DEL CONTRATANTE, la LISTA CON EL PUNTAJE FINAL CONSOLIDADO DE LOS ASPIRANTES QUE CUMPLAN LOS REQUISITOS PARA CONTRALOR (A) MUNICIPAL DE PASTO."/>
    <s v="PAGO POR PORCENTAJES:_x000a_1- 30%_x000a_2- 40%_x000a_3- 30%"/>
    <s v="CONTRATO INTERADMINISTRATIVO"/>
    <x v="0"/>
  </r>
  <r>
    <x v="5"/>
    <x v="62"/>
    <s v="MINISTERIO DE COMERCIO, INDUSTRIA Y TURISMO - MINCIT"/>
    <n v="6926"/>
    <s v="EXTRAORDINARIO 008"/>
    <s v="mincit29625ofex@udistrital.edu.co"/>
    <s v="ANA CHAVARRO"/>
    <s v="CELINA CARDENAS"/>
    <s v="PAOLA DÍAZ"/>
    <n v="5"/>
    <n v="1"/>
    <n v="6"/>
    <m/>
    <d v="2025-06-17T00:00:00"/>
    <m/>
    <n v="6.4109589041095889"/>
    <n v="195"/>
    <n v="0"/>
    <n v="0"/>
    <s v="0"/>
    <s v=""/>
    <s v="INSTITUTO DE LENGUAS - ILUD"/>
    <s v="SUSCRITO"/>
    <s v="PROYECTOS DE EDUCACIÓN CONTINUADA"/>
    <n v="179800000"/>
    <n v="0"/>
    <n v="0"/>
    <n v="0"/>
    <n v="179800000"/>
    <n v="19264285.714285713"/>
    <s v="EJECUTAR PROGRAMAS DE FORMACIÓN EN IDIOMAS CON EL FIN DE DESARROLLAR Y FORTALECER COMPETENCIAS EN UNA SEGUNDA LENGUA, DIRIGIDO LOS FUNCIONARIOS DEL MINISTERIO Y SU NÚCLEO FAMILIAR"/>
    <s v="PAGOS BIMESTRALES DE CONFORMIDAD CON LOS CURSOS REALIZADOS Y CULMINADOS DURANTE EL PERIODO DE EJECUCIÓN"/>
    <s v="CONTRATO INTERADMINISTRATIVO"/>
    <x v="0"/>
  </r>
  <r>
    <x v="5"/>
    <x v="63"/>
    <s v="POLICÍA NACIONAL - DIRECCIÓN DE BIENESTAR SOCIAL Y FAMILIAR - DIBIE"/>
    <n v="6901"/>
    <s v="EXTRAORDINARIO 001"/>
    <s v="dibie2025ofex@udistrital.edu.co"/>
    <s v="NATALY MONTENEGRO"/>
    <s v="FABIAN BERNATE"/>
    <s v="JEFFERSON PARRA"/>
    <n v="3"/>
    <n v="5"/>
    <n v="8"/>
    <m/>
    <d v="2025-01-29T00:00:00"/>
    <d v="2025-01-30T00:00:00"/>
    <n v="10.158904109589042"/>
    <n v="309"/>
    <n v="0"/>
    <n v="0"/>
    <n v="174"/>
    <d v="2025-12-05T00:00:00"/>
    <s v="OFICINA DE EXTENSIÓN - IDEXUD"/>
    <s v="EN EJECUCIÓN"/>
    <s v="PROYECTOS DE EDUCACIÓN CONTINUADA"/>
    <n v="19056054896.799999"/>
    <n v="0"/>
    <n v="0"/>
    <n v="0"/>
    <n v="19056054896.799999"/>
    <n v="2041720167.5142853"/>
    <s v="PRESTACIÓN DEL SERVICIO DE EDUCACIÓN PARA EL DESARROLLO DE ACTIVIDADES EDUCATIVAS EN LAS DIFERENTES ÁREAS BÁSICAS Y COMPETENCIAS DE LOS COLEGIOS DE LA POLICÍA NACIONAL - DIRECCIÓN DE BIENESTAR SOCIAL Y FAMILIA EN TODO EL TERRITORIO NACIONAL."/>
    <s v="PAGOS PARCIALES CONTRAPRESTACIÓN DEL SERVICIO DEL OBJETO CONTRACTUAL, REALIZANDO CORTE AL DÍA 15 DE CADA MES"/>
    <s v="CONTRATO INTERADMINISTRATIVO"/>
    <x v="0"/>
  </r>
  <r>
    <x v="5"/>
    <x v="64"/>
    <s v="UNIVERSIDAD DISTRITAL FRANCISCO JOSÉ DE CALDAS - UD"/>
    <n v="6907"/>
    <s v="EXTRAORDINARIO 016 - 2024"/>
    <s v="p8224asab25ofex@udistrital.edu.co"/>
    <s v="ANGEL ROZO"/>
    <s v="CELINA CARDENAS"/>
    <s v="DAVID CRESPO"/>
    <n v="5"/>
    <n v="1"/>
    <n v="6"/>
    <m/>
    <d v="2025-03-03T00:00:00"/>
    <d v="2025-03-06T00:00:00"/>
    <n v="6.0164383561643833"/>
    <n v="183"/>
    <n v="0"/>
    <n v="0"/>
    <n v="139"/>
    <d v="2025-09-05T00:00:00"/>
    <s v="FACULTAD DE ARTES - ASAB / UNIDAD DE EXTENSIÓN"/>
    <s v="EN EJECUCIÓN"/>
    <s v="PROYECTOS DE EDUCACIÓN CONTINUADA"/>
    <n v="48569820"/>
    <n v="-2847000"/>
    <n v="0"/>
    <n v="0"/>
    <n v="45722820"/>
    <n v="4898873.5714285709"/>
    <s v="OFRECER A LA CIUDAD Y AL PAÍS UN ESPACIO PARA EL ACERCAMIENTO AL ARTE DANZARIO COMO PROFESIÓN, CON EL FIN DE SENSIBILIZAR A JÓVENES Y ADULTOS SOBRE DIVERSAS POSIBILIDADES CREATIVAS RELACIONADAS CON EL CUERPO Y EL MOVIMIENTO "/>
    <s v="POR MATRICULAS"/>
    <s v="PROYECTOS PROPIOS"/>
    <x v="6"/>
  </r>
  <r>
    <x v="5"/>
    <x v="65"/>
    <s v="UNIVERSIDAD DISTRITAL FRANCISCO JOSÉ DE CALDAS"/>
    <n v="6902"/>
    <s v="NO APLICA"/>
    <m/>
    <s v="ANA CHAVARRO"/>
    <s v="NO APLICA"/>
    <s v="JUAN NAVAS"/>
    <n v="3"/>
    <n v="5"/>
    <n v="8"/>
    <m/>
    <d v="2025-01-01T00:00:00"/>
    <d v="2025-01-01T00:00:00"/>
    <n v="11.967123287671232"/>
    <n v="364"/>
    <n v="0"/>
    <n v="0"/>
    <n v="203"/>
    <d v="2025-12-31T00:00:00"/>
    <s v="INSTITUTO DE LENGUAS - ILUD"/>
    <s v="EN EJECUCIÓN"/>
    <s v="PROYECTOS DE EDUCACIÓN CONTINUADA"/>
    <n v="6323000000"/>
    <n v="0"/>
    <n v="0"/>
    <n v="0"/>
    <n v="6323000000"/>
    <n v="727440000"/>
    <s v="FOMENTAR EL DESARROLLO DE LAS HABILIDADES LINGÜÍSTICAS (ESCUCHA, HABLA, LECTURA Y ESCRITURA), ASÍ COMO LA COMPETENCIA GRAMATICAL EN EL MARCO DEL PROGRAMA PARA EL APRENDIZAJE DE LA LENGUA EXTRANJERA INGLÉS DIRIGIDO A DOCENTES DE LAS INSTITUCIONES EDUCATIVAS DISTRITALES DE LA CIUDAD DE BOGOTÁ D.C., CON MIRAS A CERTIFICARSE EN A2 O B1 DEL IDIOMA INGLÉS"/>
    <s v="POR MATRICULAS"/>
    <s v="PROYECTOS PROPIOS"/>
    <x v="6"/>
  </r>
  <r>
    <x v="5"/>
    <x v="66"/>
    <s v="UNIVERSIDAD DISTRITAL FRANCISCO JOSÉ DE CALDAS"/>
    <n v="6917"/>
    <s v="NO APLICA"/>
    <s v="tecnodiplomados25ofex@udistrital.edu.co"/>
    <s v="ANGEL ROZO"/>
    <s v="JUAN DAVID"/>
    <s v="JUAN NAVAS"/>
    <n v="1"/>
    <n v="1"/>
    <n v="2"/>
    <m/>
    <d v="2025-02-28T00:00:00"/>
    <d v="2025-02-28T00:00:00"/>
    <n v="17.917808219178081"/>
    <n v="545"/>
    <n v="0"/>
    <n v="0"/>
    <n v="145"/>
    <d v="2026-08-27T00:00:00"/>
    <s v="UNIDAD DE EXTENSIÓN FACULTAD TECNOLÓGICA"/>
    <s v="EN EJECUCIÓN"/>
    <s v="PROYECTOS DE EDUCACIÓN CONTINUADA"/>
    <n v="62384875"/>
    <n v="89858226"/>
    <n v="0"/>
    <n v="0"/>
    <n v="152243101"/>
    <n v="16311760.821428571"/>
    <s v="DESARROLLAR DIPLOMADOS EN LOS CUALES LOS PARTICIPANTES ADQUIERAN O ACTUALICEN LOS CONOCIMIENTOS BÁSICOS NECESARIOS PARA PARTICIPAR EN EL DESARROLLO DE LOS PROCESOS, LA MEJORA CONTINUA Y EL CUMPLIMIENTO DE LOS OBJETIVOS EN SUS LUGARES DE TRABAJO"/>
    <s v="POR MATRÍCULAS"/>
    <s v="PROYECTOS PROPIOS"/>
    <x v="6"/>
  </r>
  <r>
    <x v="5"/>
    <x v="67"/>
    <s v="UNIVERSIDAD DISTRITAL FRANCISCO JOSÉ DE CALDAS"/>
    <n v="6905"/>
    <s v="ORDINARIO 001"/>
    <s v="preuniversitarios_25ofex@udistrital.edu.co"/>
    <s v="ALBERTINA VIOLA VERGARA"/>
    <s v="CELINA CÁRDENAS"/>
    <s v="DAVID CRESPO"/>
    <n v="5"/>
    <n v="1"/>
    <n v="6"/>
    <m/>
    <d v="2025-03-03T00:00:00"/>
    <d v="2025-03-05T00:00:00"/>
    <n v="1.9726027397260273"/>
    <n v="60"/>
    <n v="0"/>
    <n v="0"/>
    <n v="140"/>
    <d v="2025-05-04T00:00:00"/>
    <s v="FACULTAD DE INGENIERÍA / UNIDAD DE EXTENSIÓN"/>
    <s v="FINALIZADO"/>
    <s v="PROYECTOS DE EDUCACIÓN CONTINUADA"/>
    <n v="10800000"/>
    <n v="0"/>
    <n v="0"/>
    <n v="0"/>
    <n v="10800000"/>
    <n v="1157142.857142857"/>
    <s v="PREUNIVERSITARIO PARA INGENIEROS 2025- OFERTAR PREUNIVERSITARIO PARA ASPIRANTES A CARRERAS DE INGENIERÍA Y OTRAS AFINES EN UNIVERSIDADES PÚBLICAS Y PRIVADAS"/>
    <s v="POR MATRÍCULAS"/>
    <s v="PROYECTOS PROPIOS"/>
    <x v="6"/>
  </r>
  <r>
    <x v="5"/>
    <x v="68"/>
    <s v="AGENCIA NACIONAL DE SEGURIDAD VIAL - ANSV"/>
    <n v="6915"/>
    <s v="ORDINARIO 003"/>
    <s v="ci035ansv25ofex@udistrital.edu.co"/>
    <s v="ALBERTINA VIOLA VERGARA"/>
    <s v="JUAN DAVID"/>
    <s v="SEBASTIÁN URIBE"/>
    <n v="3"/>
    <n v="3"/>
    <n v="6"/>
    <m/>
    <d v="2025-04-10T00:00:00"/>
    <d v="2025-05-14T00:00:00"/>
    <n v="7.0027397260273974"/>
    <n v="213"/>
    <n v="0"/>
    <n v="0"/>
    <n v="70"/>
    <d v="2025-12-13T00:00:00"/>
    <s v="OFICINA DE EXTENSIÓN - IDEXUD"/>
    <s v="EN EJECUCIÓN"/>
    <s v="PROYECTOS ESPECIALES"/>
    <n v="1562512000"/>
    <n v="0"/>
    <n v="0"/>
    <n v="0"/>
    <n v="1562512000"/>
    <n v="167411999.99999997"/>
    <s v="DESARROLLAR UN MODELO DE LINEAMIENTOS Y MECANISMOS DE FINANCIACIÓN APLICABLES A PROYECTOS DE SEGURIDAD VIAL COMO GUÍA PARA LAS ENTIDADES TERRITORIALES DEL PAÍS Y ORGANIZAR ESPACIOS DE CAPACITACIÓN Y FOROS REGIONALES CON RUEDA DE NEGOCIOS PARA SOCIALIZAR LA GUÍA METODOLÓGICA A LAS ENTIDADES DESTINATARIAS"/>
    <s v="PAGO POR PORCENTAJES:_x000a_1- 5%_x000a_2- 25%_x000a_3- 10%_x000a_4- 30%_x000a_5- 15%_x000a_6- 10%_x000a_7- 5%"/>
    <s v="CONTRATO INTERADMINISTRATIVO"/>
    <x v="0"/>
  </r>
  <r>
    <x v="5"/>
    <x v="69"/>
    <s v="CORPORACIÓN AUTÓNOMA REGIONAL DE LOS VALLES DEL SINÚ Y DEL SAN_x000a_JORGE – CVS"/>
    <n v="6914"/>
    <s v="ORDINARIO 003"/>
    <s v="ci004carsinu25ofex@udistrital.edu.co"/>
    <s v="ANGEL ROZO"/>
    <s v="CELINA CARDENAS"/>
    <s v="PAOLA DÍAZ"/>
    <n v="3"/>
    <n v="3"/>
    <n v="6"/>
    <m/>
    <d v="2025-04-11T00:00:00"/>
    <d v="2025-04-24T00:00:00"/>
    <n v="7.0027397260273974"/>
    <n v="213"/>
    <n v="0"/>
    <n v="0"/>
    <n v="90"/>
    <d v="2025-11-23T00:00:00"/>
    <s v="OFICINA DE EXTENSIÓN - IDEXUD"/>
    <s v="EN EJECUCIÓN"/>
    <s v="PROYECTOS ESPECIALES"/>
    <n v="1443523270"/>
    <n v="0"/>
    <n v="144352327"/>
    <n v="0"/>
    <n v="1587875597"/>
    <n v="154663207.5"/>
    <s v="FORTALECER EL EJERCICIO DE LA AUTORIDAD AMBIENTAL DE LA CAR-CVS, MEDIANTE ACCIONES DE EVALUACIÓN, SEGUIMIENTO Y TRÁMITES A LICENCIAS, PERMISOS, CONCESIONES Y AUTORIZACIONES AMBIENTALES QUE PREVEAN EL USO, APROVECHAMIENTO Y/O MOVILIZACIÓN DE LOS RECURSOS NATURALES RENOVABLES Y, EL CONTROL DE ACTIVIDADES ILEGALES QUE INCIDAN EN LA PÉRDIDA Y DEGRADACIÓN DE LOS ECOSISTEMAS Y SU BIODIVERSIDAD ASOCIADA, EN JURISDICCIÓN DEL DEPARTAMENTO DE CÓRDOBA"/>
    <s v="PAGOS POR PORCENTAJES:_x000a_1- 40%_x000a_2- 30%_x000a_3- 20%_x000a_4- 10%"/>
    <s v="CONVENIO INTERADMINISTRATIVO"/>
    <x v="0"/>
  </r>
  <r>
    <x v="5"/>
    <x v="70"/>
    <s v="_x0009_ALCALDIA MUNICIPAL DE GUASCA"/>
    <n v="6918"/>
    <s v="ORDINARIO 003"/>
    <s v="ci180guasca25ofex@udistrital.edu.co"/>
    <s v="KAREN GONZALEZ"/>
    <s v="FABIAN BERNATE"/>
    <s v="PAOLA DÍAZ"/>
    <n v="5"/>
    <n v="1"/>
    <n v="6"/>
    <m/>
    <d v="2025-04-25T00:00:00"/>
    <d v="2025-04-30T00:00:00"/>
    <n v="4.0109589041095886"/>
    <n v="122"/>
    <n v="0"/>
    <n v="0"/>
    <n v="84"/>
    <d v="2025-08-30T00:00:00"/>
    <s v="FACULTAD DE CIENCIAS MATEMÁTICAS Y NATURALES / UNIDAD DE EXTENSIÓN"/>
    <s v="EN EJECUCIÓN"/>
    <s v="PROYECTOS DE EDUCACIÓN CONTINUADA"/>
    <n v="76000000"/>
    <n v="0"/>
    <n v="0"/>
    <n v="0"/>
    <n v="76000000"/>
    <n v="8142857.1428571418"/>
    <s v="_x0009_PRESTACIÓN DE SERVICIOS PROFESIONALES PARA FORMACIÓN Y CAPACITACIÓN A LOS ESTUDIANTES DE LAS INSTITUCIONES EDUCATIVAS DEL MUNICIPIO PARA LA PRESENTACIÓN DE LA PRUEBA SABRE 11- 2025, EN EJECUCIÓN DEL PROYECTO DE &quot;BENEFICIAR AL 100 % DE LOS ESTUDIANTES DE GRADO ONCE DE LAS IED CON EL PROGRAMA DE PREICFES"/>
    <s v="PAGO POR PORCENTAJES:_x000a_1- 60%_x000a_2- 35%_x000a_3- 5%"/>
    <s v="CONTRATO INTERADMINISTRATIVO"/>
    <x v="0"/>
  </r>
  <r>
    <x v="5"/>
    <x v="71"/>
    <s v="MUNICIPIO DE LA CALERA CUNDINAMARCA"/>
    <n v="6922"/>
    <s v="ORDINARIO 003"/>
    <s v="ci307lacalera_25ofex@udistrital.edu.co"/>
    <s v="ANNA SOFÍA MARÍN"/>
    <s v="CELINA CARDENAS"/>
    <s v="PAOLA DÍAZ"/>
    <n v="5"/>
    <n v="1"/>
    <n v="6"/>
    <m/>
    <d v="2025-05-29T00:00:00"/>
    <d v="2025-06-11T00:00:00"/>
    <n v="5.9835616438356158"/>
    <n v="182"/>
    <n v="0"/>
    <n v="0"/>
    <n v="42"/>
    <d v="2025-12-10T00:00:00"/>
    <s v="FACULTAD DE CIENCIAS Y EDUCACIÓN / UNIDAD DE EXTENSIÓN"/>
    <s v="EN EJECUCIÓN"/>
    <s v="PROYECTOS DE EDUCACIÓN CONTINUADA"/>
    <n v="70000000"/>
    <n v="0"/>
    <n v="0"/>
    <n v="0"/>
    <n v="70000000"/>
    <n v="7499999.9999999991"/>
    <s v="PRESTAR SERVICIOS PROFESIONALES PARA REFORZAR LOS CONOCIMIENTOS A LOS ESTUDIANTES DE LOS GRADOS NOVENO 9° Y DÉCIMO 10°, AL IGUAL QUE, EL APOYO PEDAGÓGICO EN LA PREPARACIÓN DE ESTUDIANTES DE GRADO UNDÉCIMO 11° DE TRES (3) INSTITUCIONES EDUCATIVAS OFICIALES DEL MUNICIPIO DE LA CALERA, EN LA PRESENTACIÓN DE LAS PRUEBAS SABER 11, VIGENCIA 2025, SEGÚN PLAN DE TRABAJO ADJUNTO."/>
    <s v="PAGOS POR PORCENTAJES:_x000a_1- 50%_x000a_2- 25%_x000a_3- 25% "/>
    <s v="CONTRATO INTERADMINISTRATIVO"/>
    <x v="0"/>
  </r>
  <r>
    <x v="5"/>
    <x v="72"/>
    <s v="ALCALDÍA MUNICIPAL DE JUNÍN"/>
    <n v="6920"/>
    <s v="ORDINARIO 004"/>
    <s v="ci170junin_25ofex@udistrital.edu.co"/>
    <s v="ANNA SOFÍA MARÍN"/>
    <s v="CELINA CARDENAS"/>
    <s v="PAOLA DÍAZ"/>
    <n v="3"/>
    <n v="1"/>
    <n v="4"/>
    <m/>
    <d v="2025-05-14T00:00:00"/>
    <d v="2025-06-12T00:00:00"/>
    <n v="8.0219178082191771"/>
    <n v="244"/>
    <n v="14"/>
    <n v="0"/>
    <n v="27"/>
    <d v="2026-02-25T00:00:00"/>
    <s v="OFICINA DE EXTENSIÓN - IDEXUD"/>
    <s v="EN EJECUCIÓN"/>
    <s v="INTERVENTORÍAS"/>
    <n v="204472820"/>
    <n v="0"/>
    <n v="0"/>
    <n v="0"/>
    <n v="204472820"/>
    <n v="21907802.142857138"/>
    <s v="CONTRATO INTERADMINISTRATIVO PARA LA INTERVENTORÍA TÉCNICA, ADMINISTRATIVA, AMBIENTAL, FINANCIERA, CONTABLE, JURÍDICA, SOCIAL Y DE SEGURIDAD Y SALUD EN EL TRABAJO PARA LA OBRA CUYO OBJETO ES: REPOSICIÓN Y MEJORAMIENTO DE LAS REDES SANITARIAS, AGUA POTABLE Y MEJORAMIENTO DE VÍAS URBANAS EN EL MUNICIPIO DE JUNIN – CUNDINAMARCA"/>
    <s v="PAGO POR MESES PROPORCIONALES A LOS 8 MESES Y UN 10% CON LA ENTREGA FINAL DE PRODUCTOS"/>
    <s v="CONTRATO INTERADMINISTRATIVO"/>
    <x v="0"/>
  </r>
  <r>
    <x v="5"/>
    <x v="73"/>
    <s v="SUPERINTENDENCIA DEL SUBSIDIO FAMILIAR - SUPERSUBSIDIO"/>
    <n v="6921"/>
    <s v="ORDINARIO 004"/>
    <s v="ci180guasca25ofex@udistrital.edu.co"/>
    <s v="ALBERTINA VIOLA VERGARA"/>
    <s v="FABIAN BERNATE"/>
    <s v="NATHALY MARÍN"/>
    <n v="3"/>
    <n v="3"/>
    <n v="6"/>
    <m/>
    <d v="2025-05-22T00:00:00"/>
    <d v="2025-05-28T00:00:00"/>
    <n v="7.1342465753424653"/>
    <n v="217"/>
    <n v="0"/>
    <n v="0"/>
    <n v="56"/>
    <d v="2025-12-31T00:00:00"/>
    <s v="OFICINA DE EXTENSIÓN - IDEXUD"/>
    <s v="EN EJECUCIÓN"/>
    <s v="PROYECTOS DE EDUCACIÓN CONTINUADA"/>
    <n v="531500000"/>
    <n v="0"/>
    <n v="0"/>
    <n v="0"/>
    <n v="531500000"/>
    <n v="56946428.571428567"/>
    <s v="PRESTAR SERVICIOS EN LA EJECUCIÓN DE LOS PROGRAMAS DE FORMACIÓN Y CAPACITACIÓN INSTITUCIONAL (PIFC) Y EL PLAN DE GESTION AMBIENTAL EN EL MARCO DE MIPG, PARA LOS SERVIDORES PÚBLICOS DE LA SUPERINTENDENCIA DEL SUBSIDIO FAMILIAR (ID: GGTH-173)"/>
    <s v="PAGOS MENSUALES DE ACUERDO CON LAS ACTIVIDADES REALMENTE EJECUTADAS"/>
    <s v="CONTRATO INTERADMINISTRATIVO"/>
    <x v="0"/>
  </r>
  <r>
    <x v="5"/>
    <x v="74"/>
    <s v="UNIVERSIDAD DEL VALLE"/>
    <n v="6924"/>
    <s v="ORDINARIO 005"/>
    <s v="ci820univalle25ofex@udistrital.edu.co"/>
    <s v="ANNA SOFÍA MARÍN"/>
    <s v="JUAN DAVID"/>
    <s v="JEFFERSON PARRA"/>
    <n v="5"/>
    <n v="3"/>
    <n v="8"/>
    <m/>
    <d v="2025-06-09T00:00:00"/>
    <d v="2025-06-24T00:00:00"/>
    <n v="5.8849315068493144"/>
    <n v="179"/>
    <n v="0"/>
    <n v="0"/>
    <n v="29"/>
    <d v="2025-12-20T00:00:00"/>
    <s v="OFICINA DE EXTENSIÓN - IDEXUD"/>
    <s v="EN EJECUCIÓN"/>
    <s v="CONSULTORÍAS"/>
    <n v="1554017120"/>
    <n v="0"/>
    <n v="0"/>
    <n v="0"/>
    <n v="1554017120"/>
    <n v="166501834.28571427"/>
    <s v="REALIZAR EL DIAGNÓSTICO INTEGRAL DE LA INFRAESTRUCTURA EXISTENTE PARA DESARROLLAR BAJO LA METODOLOGÍA BIM EL DISEÑO DEL PLAN DE MANTENIMIENTO Y SOSTENIBILIDAD DE LA SEDE SUAREZ CAUCA DE LA UNIVERSIDAD DEL VALLE"/>
    <s v="PAGO POR PORCENTAJES:_x000a_1- 25% _x000a_2-35% _x000a_3-35% _x000a_4-5%"/>
    <s v="CONTRATO INTERADMINISTRATIVO"/>
    <x v="0"/>
  </r>
  <r>
    <x v="5"/>
    <x v="75"/>
    <s v="PERSONERÍA DE BOGOTÁ D.C."/>
    <n v="6927"/>
    <s v="ORDINARIO 007"/>
    <s v="ci630personeria25ofex@udistrital.edu.co"/>
    <s v="ALBERTINA VIOLA VERGARA"/>
    <s v="CELINA CARDENAS"/>
    <s v="JEFFERSON PARRA"/>
    <n v="5"/>
    <n v="3"/>
    <n v="8"/>
    <m/>
    <d v="2025-06-25T00:00:00"/>
    <d v="2025-07-03T00:00:00"/>
    <n v="5.9178082191780819"/>
    <n v="180"/>
    <n v="0"/>
    <n v="0"/>
    <n v="20"/>
    <d v="2025-12-30T00:00:00"/>
    <s v="OFICINA DE EXTENSIÓN - IDEXUD"/>
    <s v="EN EJECUCIÓN"/>
    <s v="ASESORÍAS"/>
    <n v="944690000"/>
    <n v="0"/>
    <n v="0"/>
    <n v="0"/>
    <n v="944690000"/>
    <n v="101216785.7142857"/>
    <s v="PRESTACIÓN DE SERVICIOS PARA EL DESARROLLO DE ACCIONES INTEGRALES ORIENTADAS AL FORTALECIMIENTO INSTITUCIONAL DE LA PERSONERÍA DE BOGOTÁ D.C., EN EL MARCO DE LA GESTIÓN ESTRATEGICA INSTITUCIONAL 2025."/>
    <s v="PAGO POR PORCENTAJES:_x000a_1- 30%_x000a_2- 30%_x000a_3- 30%_x000a_4- 10%"/>
    <s v="CONTRATO INTERADMINISTRATIVO"/>
    <x v="0"/>
  </r>
  <r>
    <x v="5"/>
    <x v="76"/>
    <s v="SUPERINTENDENCIA NACIONAL DE SALUD - SUPERSALUD"/>
    <n v="6928"/>
    <s v="ORDINARIO 007"/>
    <s v="ci136supersalud25ofex@udistrital.edu.co"/>
    <s v="ANNA SOFÍA MARÍN"/>
    <s v="JUAN DAVID"/>
    <s v="ANGELA ALARCON"/>
    <n v="5"/>
    <n v="1"/>
    <n v="6"/>
    <m/>
    <d v="2025-06-26T00:00:00"/>
    <d v="2025-07-04T00:00:00"/>
    <n v="4.4383561643835616"/>
    <n v="134"/>
    <n v="0"/>
    <n v="1"/>
    <n v="20"/>
    <d v="2025-11-16T00:00:00"/>
    <s v="OFICINA DE EXTENSIÓN - IDEXUD"/>
    <s v="EN EJECUCIÓN"/>
    <s v="PROYECTOS DE EDUCACIÓN CONTINUADA"/>
    <n v="495604000"/>
    <n v="0"/>
    <n v="0"/>
    <n v="0"/>
    <n v="495604000"/>
    <n v="53100428.571428567"/>
    <s v="PRESTAR LOS SERVICIOS DE FORMACIÓN Y CAPACITACIÓN A LOS FUNCIONARIOS DE LA SUPERINTENDENCIA NACIONAL DE SALUD PARA FORTALECER SUS COMPETENCIAS, DE ACUERDO CON LO IDENTIFICADO EN EL PLAN INSTITUCIONAL DE CAPACITACIÓN PARA LA VIGENCIA 2025"/>
    <s v="PAGOS MENSUALES VENCIDOS"/>
    <s v="CONTRATO INTERADMINISTRATIVO"/>
    <x v="0"/>
  </r>
  <r>
    <x v="5"/>
    <x v="77"/>
    <s v="GOBERNACIÓN DE CUNDINAMARCA"/>
    <m/>
    <s v="ORDINARIO 004"/>
    <m/>
    <m/>
    <m/>
    <m/>
    <s v=""/>
    <n v="1"/>
    <s v=""/>
    <m/>
    <m/>
    <m/>
    <s v=""/>
    <m/>
    <n v="0"/>
    <n v="0"/>
    <s v=""/>
    <s v=""/>
    <s v="INSTITUTO DE LENGUAS - ILUD"/>
    <s v="SUSCRITO"/>
    <s v="ASISTENCIA TÉCNICA Y/O TECNOLÓGICA"/>
    <n v="42257500"/>
    <n v="0"/>
    <n v="0"/>
    <n v="0"/>
    <n v="42257500"/>
    <n v="4527589.2857142854"/>
    <s v="PRESTACIÓN DE SERVICIOS PARA LA EJECUCIÓN DEL PROGRAMA DE FORTALECIMIENTO DE COMPETENCIAS TRANSVERSALES POR NIVEL DE CARGO, PARA LOS SERVIDORES PÚBLICOS DEL SECTOR CENTRAL DE LA GOBERNACIÓN DE CUNDINAMARCA"/>
    <m/>
    <m/>
    <x v="7"/>
  </r>
  <r>
    <x v="5"/>
    <x v="78"/>
    <s v="ALCALDÍA MUNICIPAL DE ZIPAQUIRÁ"/>
    <n v="6931"/>
    <s v="ORDINARIO 008"/>
    <s v="ci553zipaquira25ofex@udistrital.edu.co"/>
    <s v="NATALY MONTENEGRO"/>
    <s v="CELINA CARDENAS"/>
    <s v="CATALINA ACERO"/>
    <n v="5"/>
    <n v="1"/>
    <n v="6"/>
    <m/>
    <d v="2025-07-11T00:00:00"/>
    <m/>
    <n v="5.5561643835616437"/>
    <n v="169"/>
    <n v="0"/>
    <n v="0"/>
    <s v="0"/>
    <s v=""/>
    <s v="OFICINA DE EXTENSIÓN - IDEXUD"/>
    <s v="SUSCRITO"/>
    <s v="ASISTENCIA TÉCNICA Y/O TECNOLÓGICA"/>
    <n v="490000000"/>
    <n v="0"/>
    <n v="0"/>
    <n v="0"/>
    <n v="490000000"/>
    <n v="52499999.999999993"/>
    <s v="REALIZAR EL ESTUDIO TÉCNICO DEL REDISEÑO INSTITUCIONAL DE LA ALCALDÍA DE ZIPAQUIRÁ EN EL MARCO DE LAS NORMAS VIGENTES"/>
    <s v="3 PAGOS DE ACUERDO A CON EL CUMPLIMIENTO DE CADA FASE Y CONFORME A LOS PRODUCTOS EFECTIVAMENTE ENTREGADOS..."/>
    <s v="CONTRATO INTERADMINISTRATIVO"/>
    <x v="0"/>
  </r>
  <r>
    <x v="5"/>
    <x v="79"/>
    <s v="REGIÓN ADMINISTRATIVA Y DE PLANEACIÓN ESPECIAL RAP-E REGIÓN CENTRAL"/>
    <n v="6929"/>
    <s v="ORDINARIO 006"/>
    <s v="ci67rape25ofex@udistrital.edu.co"/>
    <s v="ALBERTINA VIOLA VERGARA"/>
    <s v="FABIAN BERNATE"/>
    <s v="ANGELA ALARCON"/>
    <n v="5"/>
    <n v="1"/>
    <n v="6"/>
    <m/>
    <d v="2025-07-07T00:00:00"/>
    <d v="2025-07-16T00:00:00"/>
    <n v="5.5232876712328762"/>
    <n v="168"/>
    <n v="0"/>
    <n v="0"/>
    <n v="7"/>
    <d v="2025-12-31T00:00:00"/>
    <s v="FACULTAD DE INGENIERÍA / UNIDAD DE EXTENSIÓN"/>
    <s v="EN EJECUCIÓN"/>
    <s v="PROYECTOS ESPECIALES"/>
    <n v="374100000"/>
    <n v="0"/>
    <n v="41566667"/>
    <n v="0"/>
    <n v="415666667"/>
    <n v="40082142.857142851"/>
    <s v="AUNAR ESFUERZOS FÍSICOS, TÉCNICOS, ADMINISTRATIVOS Y FINANCIEROS PARA FORTALECER LAS CAPACIDADES LOGÍSTICAS DEL TERRITORIO Y LA PROYECCIÓN, PROMOCIÓN Y TRANSFERENCIA DE CONOCIMIENTO DE CUATRO (4) CORREDORES LOGÍSTICOS REGIONALES - CLR EN LOS DEPARTAMENTOS ASOCIADOS A LA RAP-E REGIÓN CENTRAL."/>
    <s v="PAGO POR PORCENTAJES:_x000a_1- 40%_x000a_2- 40%_x000a_3- 10%_x000a_4- 10%_x000a_"/>
    <s v="CONVENIO INTERADMINISTRATIVO"/>
    <x v="0"/>
  </r>
  <r>
    <x v="5"/>
    <x v="80"/>
    <s v="MUNICIPIO DE SOACHA"/>
    <n v="6930"/>
    <s v="ORDINARIO 007"/>
    <s v="ci943soacha25ofex@udistrital.edu.co"/>
    <s v="ANNA SOFÍA MARÍN"/>
    <s v="JUAN DAVID"/>
    <s v="DAVID CRESPO"/>
    <n v="5"/>
    <n v="1"/>
    <n v="6"/>
    <m/>
    <d v="2025-07-10T00:00:00"/>
    <d v="2025-07-11T00:00:00"/>
    <n v="4.0109589041095886"/>
    <n v="122"/>
    <n v="0"/>
    <n v="0"/>
    <n v="12"/>
    <d v="2025-11-10T00:00:00"/>
    <s v="OFICINA DE EXTENSIÓN - IDEXUD"/>
    <s v="EN EJECUCIÓN"/>
    <s v="PROYECTOS DE EDUCACIÓN CONTINUADA"/>
    <n v="275000000"/>
    <n v="0"/>
    <n v="70000000"/>
    <n v="0"/>
    <n v="345000000"/>
    <n v="29464285.714285713"/>
    <s v="AUNAR ESFUERZOS PARA LA REALIZACIÓN DE CURSOS PREPARATORIOS PARA LA TRANSICIÓN DE ESTUDIANTES DE LA MEDIA A EDUCACIÓN SUPERIOR DE LAS INSTITUCIONES EDUCATIVAS PÚBLICAS EN LA CIUDAD DE SOACHA 2025SE0259."/>
    <s v="PAGO POR PORCENTAJES:_x000a_1- 40%_x000a_2- 40%_x000a_3- 20%"/>
    <s v="CONVENIO INTERADMINISTRATIVO"/>
    <x v="0"/>
  </r>
  <r>
    <x v="5"/>
    <x v="81"/>
    <s v="UNIDAD ADMINISTRATIVA ESPECIAL DE SERVICIOS PÚBLICOS - UAESP"/>
    <n v="6932"/>
    <s v="ORDINARIO 008"/>
    <m/>
    <m/>
    <m/>
    <m/>
    <n v="5"/>
    <n v="1"/>
    <n v="6"/>
    <m/>
    <d v="2025-07-18T00:00:00"/>
    <m/>
    <n v="2.9917808219178079"/>
    <n v="91"/>
    <n v="0"/>
    <n v="0"/>
    <s v="0"/>
    <s v=""/>
    <s v="OFICINA DE BIENESTAR UNIVERSITARIO"/>
    <s v="SUSCRITO"/>
    <s v="PROYECTOS DE EDUCACIÓN CONTINUADA"/>
    <n v="207261600"/>
    <n v="0"/>
    <n v="18505500"/>
    <n v="0"/>
    <n v="225767100"/>
    <n v="22206599.999999996"/>
    <s v="SDF-020 AUNAR RECURSOS HUMANOS, TÉCNICOS, ADMINISTRATIVOS Y FINANCIEROS, ENTRE LA UNIDAD ADMINISTRATIVA DE SERVICIOS PÚBLICOS -UAESP Y LA UNIVERSIDAD DISTRITAL FRANCISCO JOSÉ DE CALDAS, PARA APOYAR LA CONTINUIDAD EN LOS PROGRAMAS DE EDUCACIÓN SUPERIOR, TECNOLÓGICA Y PROFESIONAL, A LOS HABITANTES DE LA ZONA DE INFLUENCIA DEL PARQUE DE INNOVACIÓN DOÑA JUANA PIDJ ESTABLECIDA EN LA LICENCIA AMBIENTAL."/>
    <s v="UN PRIMER DESEMBOLSO PARA EL PERIODO ACADÉMICO 2025-I POR EL VALOR DE $207.261.600"/>
    <s v="CONVENIO INTERADMINISTRATIVO"/>
    <x v="0"/>
  </r>
  <r>
    <x v="5"/>
    <x v="82"/>
    <s v="TATTOO DC ACADEMY S.A.S."/>
    <m/>
    <s v="ORDINARIO 009"/>
    <m/>
    <m/>
    <m/>
    <m/>
    <n v="5"/>
    <n v="1"/>
    <n v="6"/>
    <m/>
    <d v="2025-07-21T00:00:00"/>
    <m/>
    <n v="5.5232876712328762"/>
    <n v="168"/>
    <n v="0"/>
    <n v="0"/>
    <s v="0"/>
    <s v=""/>
    <s v="OFICINA DE EXTENSIÓN - IDEXUD"/>
    <s v="SUSCRITO"/>
    <s v="PROYECTOS DE EDUCACIÓN CONTINUADA"/>
    <n v="205400000"/>
    <n v="0"/>
    <n v="0"/>
    <n v="0"/>
    <n v="205400000"/>
    <n v="22007142.857142854"/>
    <s v="DESARROLLAR E IMPLEMENTAR UN PROGRAMA DE FORMACIÓN ESPECIALIZADO EN TÉCNICAS DE TATUAJE, BIOSEGURIDAD, FISIOPATOLOGÍA APLICADA Y BODY PIERCING, MEDIANTE CURSOS Y DIPLOMADOS EN MODALIDAD SINCRÓNICA Y ASINCRÓNICA, QUE PERMITAN A LOS PARTICIPANTES ADQUIRIR COMPETENCIAS TEÓRICO-PRÁCTICAS EN CONTEXTOS PRESENCIALES Y VIRTUALES, CON ACCESO A CONTENIDOS ACTUALIZADOS, TALLERES PRÁCTICOS Y SESIONES DE ACOMPAÑAMIENTO EN VIVO."/>
    <s v="CINCO PAGOS MENSUALES DE ACUERDO A LOS HITOS DEL AVANCE Y CUMPLIMIENTO ESTABLECIDOS PARA LA EJECUCIÓN DEL PROGRAMA ACADÉMICO"/>
    <s v="CONTRATO PRESTACIÓN DE SERVICIOS"/>
    <x v="0"/>
  </r>
  <r>
    <x v="5"/>
    <x v="83"/>
    <s v="FONDO UNICO DE LAS TECNOLOGÍAS DE LA INFORMACIÓN - MINTIC"/>
    <m/>
    <s v="ORDINARIO 008"/>
    <m/>
    <m/>
    <m/>
    <m/>
    <n v="5"/>
    <n v="5"/>
    <n v="10"/>
    <m/>
    <m/>
    <m/>
    <n v="4.4712328767123282"/>
    <n v="136"/>
    <n v="0"/>
    <n v="0"/>
    <s v="0"/>
    <s v=""/>
    <s v="OFICINA DE EXTENSIÓN - IDEXUD"/>
    <s v="SUSCRITO"/>
    <s v="ASISTENCIA TÉCNICA Y/O TECNOLÓGICA"/>
    <n v="10000000000"/>
    <n v="0"/>
    <n v="1329166667"/>
    <n v="0"/>
    <n v="11329166667"/>
    <n v="1071428571.4285713"/>
    <s v="33100051811 - AUNAR ESFUERZOS TÉCNICOS, ADMINISTRATIVOS Y FINANCIEROS QUE PERMITAN FORTALECER LAS COMPETENCIAS DIGITALES PARA LA CREACIÓN DE CONTENIDOS Y LA MONETIZACIÓN DE REDES SOCIALES, MEDIANTE PROCESOS DE FORMACIÓN Y EL USO DE HERRAMIENTAS PEDAGÓGICAS INNOVADORAS, CON EL FIN DE CONTRIBUIR AL FORTALECIMIENTO DE LA ECONOMÍA DIGITAL POPULAR Y A LA APROPIACIÓN TECNOLÓGICA CON ENFOQUE INCLUSIVO"/>
    <s v="PAGO POR PORCENTAJES:_x000a_1- 40%_x000a_2- 40%_x000a_3- 20%"/>
    <s v="CONVENIO INTERADMINISTRATIVO"/>
    <x v="0"/>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r>
    <x v="6"/>
    <x v="84"/>
    <m/>
    <m/>
    <m/>
    <m/>
    <m/>
    <m/>
    <m/>
    <s v=""/>
    <s v=""/>
    <s v=""/>
    <m/>
    <m/>
    <m/>
    <s v=""/>
    <m/>
    <m/>
    <m/>
    <s v=""/>
    <s v=""/>
    <m/>
    <s v="SUSCRITO"/>
    <m/>
    <m/>
    <m/>
    <m/>
    <m/>
    <n v="0"/>
    <n v="0"/>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424C29-F378-4E7C-8D63-EA7B7A915472}" name="TablaDinámica1" cacheId="1"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3:E11" firstHeaderRow="0" firstDataRow="1" firstDataCol="1"/>
  <pivotFields count="34">
    <pivotField axis="axisRow" compact="0" outline="0" showAll="0" defaultSubtotal="0">
      <items count="7">
        <item x="0"/>
        <item x="1"/>
        <item x="2"/>
        <item x="3"/>
        <item x="4"/>
        <item x="5"/>
        <item x="6"/>
      </items>
    </pivotField>
    <pivotField compact="0" outline="0" showAll="0" defaultSubtotal="0">
      <items count="85">
        <item x="56"/>
        <item x="54"/>
        <item x="70"/>
        <item x="26"/>
        <item x="2"/>
        <item x="4"/>
        <item x="32"/>
        <item x="11"/>
        <item x="13"/>
        <item x="5"/>
        <item x="30"/>
        <item x="63"/>
        <item x="43"/>
        <item x="41"/>
        <item x="37"/>
        <item x="27"/>
        <item x="46"/>
        <item x="29"/>
        <item x="24"/>
        <item x="38"/>
        <item x="20"/>
        <item x="21"/>
        <item x="53"/>
        <item x="55"/>
        <item x="10"/>
        <item x="6"/>
        <item x="68"/>
        <item x="58"/>
        <item x="51"/>
        <item x="72"/>
        <item x="57"/>
        <item x="45"/>
        <item x="48"/>
        <item x="14"/>
        <item x="50"/>
        <item x="16"/>
        <item x="18"/>
        <item x="23"/>
        <item x="47"/>
        <item x="49"/>
        <item x="39"/>
        <item x="12"/>
        <item x="1"/>
        <item x="3"/>
        <item x="52"/>
        <item x="8"/>
        <item x="69"/>
        <item x="33"/>
        <item x="28"/>
        <item x="35"/>
        <item x="34"/>
        <item x="31"/>
        <item x="64"/>
        <item x="40"/>
        <item x="67"/>
        <item x="36"/>
        <item x="25"/>
        <item x="66"/>
        <item x="19"/>
        <item x="17"/>
        <item x="9"/>
        <item x="7"/>
        <item x="22"/>
        <item x="15"/>
        <item x="65"/>
        <item x="42"/>
        <item x="73"/>
        <item x="59"/>
        <item x="0"/>
        <item x="44"/>
        <item x="84"/>
        <item x="60"/>
        <item x="71"/>
        <item x="74"/>
        <item sd="0" x="61"/>
        <item x="62"/>
        <item x="75"/>
        <item x="76"/>
        <item x="77"/>
        <item x="78"/>
        <item x="79"/>
        <item x="80"/>
        <item x="81"/>
        <item x="82"/>
        <item x="8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numFmtId="165" outline="0" showAll="0"/>
    <pivotField compact="0" numFmtId="164" outline="0" showAll="0"/>
    <pivotField compact="0" outline="0" showAll="0"/>
    <pivotField compact="0" outline="0" showAll="0"/>
    <pivotField compact="0" outline="0" showAll="0"/>
    <pivotField compact="0" outline="0" showAll="0">
      <items count="9">
        <item x="3"/>
        <item x="4"/>
        <item x="0"/>
        <item x="1"/>
        <item x="6"/>
        <item x="2"/>
        <item x="5"/>
        <item x="7"/>
        <item t="default"/>
      </items>
    </pivotField>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Suma de APORTE ENTIDAD" fld="24" baseField="0" baseItem="0"/>
    <dataField name="Suma de ADICIÓN APORTE ENTIDAD 2025" fld="25" baseField="0" baseItem="0"/>
    <dataField name="Suma de ADICIÓN CONTRAPARTIDA 2025" fld="27" baseField="0" baseItem="0"/>
    <dataField name="Suma de VALOR TOTAL" fld="28" baseField="0" baseItem="0" numFmtId="165"/>
  </dataFields>
  <formats count="5">
    <format dxfId="4">
      <pivotArea outline="0" fieldPosition="0">
        <references count="2">
          <reference field="4294967294" count="1" selected="0">
            <x v="1"/>
          </reference>
          <reference field="0" count="1" selected="0">
            <x v="1"/>
          </reference>
        </references>
      </pivotArea>
    </format>
    <format dxfId="3">
      <pivotArea outline="0" fieldPosition="0">
        <references count="2">
          <reference field="4294967294" count="1" selected="0">
            <x v="1"/>
          </reference>
          <reference field="0" count="1" selected="0">
            <x v="4"/>
          </reference>
        </references>
      </pivotArea>
    </format>
    <format dxfId="2">
      <pivotArea outline="0" fieldPosition="0">
        <references count="2">
          <reference field="4294967294" count="1" selected="0">
            <x v="1"/>
          </reference>
          <reference field="0" count="1" selected="0">
            <x v="5"/>
          </reference>
        </references>
      </pivotArea>
    </format>
    <format dxfId="1">
      <pivotArea outline="0" fieldPosition="0">
        <references count="2">
          <reference field="4294967294" count="1" selected="0">
            <x v="2"/>
          </reference>
          <reference field="0" count="1" selected="0">
            <x v="4"/>
          </reference>
        </references>
      </pivotArea>
    </format>
    <format dxfId="0">
      <pivotArea outline="0" fieldPosition="0">
        <references count="2">
          <reference field="4294967294" count="1" selected="0">
            <x v="3"/>
          </reference>
          <reference field="0" count="1" selected="0">
            <x v="5"/>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B86992-9434-4586-ADEC-F499FEF7B60F}" name="Tabla156" displayName="Tabla156" ref="A1:M149" totalsRowShown="0" headerRowDxfId="494" dataDxfId="493">
  <autoFilter ref="A1:M149" xr:uid="{D82F1B1D-1169-4A3B-BFB2-6E3C65ED90BE}"/>
  <sortState xmlns:xlrd2="http://schemas.microsoft.com/office/spreadsheetml/2017/richdata2" ref="A2:M149">
    <sortCondition ref="A1:A149"/>
  </sortState>
  <tableColumns count="13">
    <tableColumn id="1" xr3:uid="{F1466CDC-F810-40A6-BE24-43CD959D418B}" name="FECHA DE ENVÍO" dataDxfId="492"/>
    <tableColumn id="16" xr3:uid="{C04AB8F9-EA33-4103-9466-4A50F72AE053}" name="MES" dataDxfId="491">
      <calculatedColumnFormula>TEXT(A2,"MMM")</calculatedColumnFormula>
    </tableColumn>
    <tableColumn id="2" xr3:uid="{791A20E9-658D-4FB6-B8AE-EAE314A98013}" name="ASIGNADO A" dataDxfId="490"/>
    <tableColumn id="15" xr3:uid="{26DECC77-5066-45EE-A981-F4BCC0D888B4}" name="NÚMERO RADICADO COTIZACIÓN" dataDxfId="489"/>
    <tableColumn id="11" xr3:uid="{49614695-9B5A-4905-B7BB-BCF838227801}" name="DEPENDENCIA EJECUTORA" dataDxfId="488"/>
    <tableColumn id="13" xr3:uid="{D08BF101-8942-4D37-845A-5C5970CE0D5E}" name="ENTIDAD" dataDxfId="487"/>
    <tableColumn id="3" xr3:uid="{FCD27AC6-13D8-438E-84DD-3305701FC701}" name="OBJETO" dataDxfId="486"/>
    <tableColumn id="4" xr3:uid="{CCAE72CD-0E87-488B-B252-4D6B90395B34}" name="APORTE ENTIDAD" dataDxfId="485"/>
    <tableColumn id="5" xr3:uid="{B1B67256-0FA1-4144-B1F9-E03C8E11765B}" name="COFINANCIACIÓN UD" dataDxfId="484"/>
    <tableColumn id="6" xr3:uid="{4EC65C23-4852-479A-B07A-324A3AF069D0}" name="VALOR TOTAL" dataDxfId="483"/>
    <tableColumn id="12" xr3:uid="{D3DF15E4-74CF-48BA-8571-07AF24056DEE}" name="DURACIÓN" dataDxfId="482"/>
    <tableColumn id="7" xr3:uid="{01C8F5F6-1F3B-4A80-94D8-0EBC861EF4A5}" name="FORMA DE PAGO" dataDxfId="481"/>
    <tableColumn id="10" xr3:uid="{04D09CCF-EEE1-461B-B0BB-5050590A50B2}" name="OBSERVACIONES" dataDxfId="480"/>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8C9A0D-B9FE-427D-95E1-8ABE76AFDFCE}" name="Tabla15" displayName="Tabla15" ref="A1:L160" totalsRowShown="0" headerRowDxfId="477" dataDxfId="476">
  <autoFilter ref="A1:L160" xr:uid="{D82F1B1D-1169-4A3B-BFB2-6E3C65ED90BE}"/>
  <sortState xmlns:xlrd2="http://schemas.microsoft.com/office/spreadsheetml/2017/richdata2" ref="A2:L158">
    <sortCondition ref="A1:A158"/>
  </sortState>
  <tableColumns count="12">
    <tableColumn id="2" xr3:uid="{B510712F-AE73-4D6F-80CB-548D652B57BA}" name="FECHA DE APROBACIÓN" dataDxfId="475"/>
    <tableColumn id="11" xr3:uid="{5956E376-383B-4AC0-A878-8A88DB66F1CF}" name="Mes" dataDxfId="474"/>
    <tableColumn id="13" xr3:uid="{738D5994-F4ED-4980-A160-F01B67757B87}" name="APROBACIÓN CCE" dataDxfId="473"/>
    <tableColumn id="14" xr3:uid="{BD37F06B-5F34-4C1B-918E-0152BA6F60AE}" name="DEPENDENCIA EJECUTORA" dataDxfId="472"/>
    <tableColumn id="3" xr3:uid="{B25A6DF8-3876-40FF-B4A1-DE0CA3F147B5}" name="ENTIDAD" dataDxfId="471"/>
    <tableColumn id="4" xr3:uid="{0E6E9D8E-4340-4092-9314-38011C89E795}" name="TÍTULO DE LA PROPUESTA" dataDxfId="470"/>
    <tableColumn id="5" xr3:uid="{B431D39B-6E35-4F4F-A7AA-DE880756B2CE}" name="OBJETO" dataDxfId="469"/>
    <tableColumn id="6" xr3:uid="{858C13C7-7877-4BEB-A7A3-AAAD078FA3E3}" name="APORTE ENTIDAD" dataDxfId="468"/>
    <tableColumn id="7" xr3:uid="{E4278611-0EB9-405E-A3C5-A478186DDEF3}" name="COFINANCIACIÓN UD" dataDxfId="467"/>
    <tableColumn id="8" xr3:uid="{E36924AA-433F-4484-A15B-CDB063D9971D}" name="VALOR TOTAL" dataDxfId="466">
      <calculatedColumnFormula>H2+I2</calculatedColumnFormula>
    </tableColumn>
    <tableColumn id="10" xr3:uid="{6B568463-0719-4241-BAE9-7688DFB511D2}" name="DURACIÓN" dataDxfId="465"/>
    <tableColumn id="9" xr3:uid="{FD75B7C5-B5D2-4ED3-9F7A-A2897F16F4AC}" name="OBSERVACIONES" dataDxfId="464"/>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839CB2-CDEE-4DC8-AB23-F70F37D536A3}" name="Tabla2" displayName="Tabla2" ref="A2:BO123" totalsRowCount="1" headerRowDxfId="457" dataDxfId="455" headerRowBorderDxfId="456" tableBorderDxfId="454">
  <autoFilter ref="A2:BO122" xr:uid="{A4839CB2-CDEE-4DC8-AB23-F70F37D536A3}"/>
  <sortState xmlns:xlrd2="http://schemas.microsoft.com/office/spreadsheetml/2017/richdata2" ref="A3:BO122">
    <sortCondition ref="H2:H122"/>
  </sortState>
  <tableColumns count="67">
    <tableColumn id="1" xr3:uid="{37668ED5-E60D-485D-AD0B-1D105EF9077C}" name="AÑO" dataDxfId="453" totalsRowDxfId="452"/>
    <tableColumn id="55" xr3:uid="{6D642900-C525-4872-952B-A625EE46BC52}" name="CONSECUTIVO SIEXUD" dataDxfId="451" totalsRowDxfId="450"/>
    <tableColumn id="2" xr3:uid="{B351B128-E98D-4522-AEA9-1696988E2F55}" name="COMITÉ DE APROBACIÓN" dataDxfId="449" totalsRowDxfId="448"/>
    <tableColumn id="60" xr3:uid="{3E057392-B2EE-4693-A240-23CD299A14AD}" name="AB0GADO ASIGNADO AL PROYECTO" dataDxfId="447" totalsRowDxfId="446"/>
    <tableColumn id="56" xr3:uid="{71534D9C-6CA8-4DB4-9C58-7C0EFCAA6425}" name="PERSONA ENCARGADA DE LA INICIACION" dataDxfId="445" totalsRowDxfId="444"/>
    <tableColumn id="3" xr3:uid="{426F7146-9917-4CAA-AA91-6C4E610B12B6}" name="PERSONA ENCARGADA DEL SEGUIMIENTO" dataDxfId="443" totalsRowDxfId="442"/>
    <tableColumn id="4" xr3:uid="{CB0CD471-8576-4E98-8855-07AA596B0DDD}" name="FECHA ULTIMO SEGUIMIENTO PMO" dataDxfId="441" totalsRowDxfId="440"/>
    <tableColumn id="5" xr3:uid="{1D1A13DB-36D8-4C5A-B659-2962344EB819}" name="FECHA DE SUSCRIPCIÓN" dataDxfId="439" totalsRowDxfId="438"/>
    <tableColumn id="6" xr3:uid="{12969156-C981-49AD-A979-0DF68F641D61}" name="FECHA DE INICIO" dataDxfId="437" totalsRowDxfId="436"/>
    <tableColumn id="7" xr3:uid="{E44CBB4C-A453-41EC-B353-F0A60DFC337E}" name="FECHA DE FINALIZACIÓN" dataDxfId="435" totalsRowDxfId="434"/>
    <tableColumn id="8" xr3:uid="{714D6D4B-401B-45C9-BA32-446A2DD3699B}" name="# CONTRATO2" dataDxfId="433" totalsRowDxfId="432"/>
    <tableColumn id="9" xr3:uid="{8C6ABD37-38BB-4E3B-AEAF-1792C417C9A2}" name="DEPENDENCIA EJECUTORA" dataDxfId="431" totalsRowDxfId="430"/>
    <tableColumn id="10" xr3:uid="{C4D907BB-FCF9-45EA-B613-C5BB44A760B3}" name="ESTADO" dataDxfId="429" totalsRowDxfId="428">
      <calculatedColumnFormula>IF(J3="", "SUSCRITO", IF(J3&lt;=TODAY(), "FINALIZADO", "EN EJECUCIÓN"))</calculatedColumnFormula>
    </tableColumn>
    <tableColumn id="11" xr3:uid="{33EB91A0-28C3-4780-AC4C-05F488FAB31A}" name="MODALIDAD" dataDxfId="427" totalsRowDxfId="426"/>
    <tableColumn id="12" xr3:uid="{03DBC57E-92AC-477C-852B-E074BC7C9DA5}" name="ENTIDAD" dataDxfId="425" totalsRowDxfId="424"/>
    <tableColumn id="13" xr3:uid="{F49C87CF-2D11-4630-B341-E72A52205795}" name="OBJETO" dataDxfId="423" totalsRowDxfId="422"/>
    <tableColumn id="14" xr3:uid="{67BE1E77-EBDE-42CA-9F46-3AAC6D510B15}" name="APORTE ENTIDAD" dataDxfId="421" totalsRowDxfId="420"/>
    <tableColumn id="15" xr3:uid="{F6C38178-FA04-45C6-96DF-D51FF43ABCAD}" name="CONTRAPARTIDA" dataDxfId="419" totalsRowDxfId="418"/>
    <tableColumn id="16" xr3:uid="{DC5CEE68-22D6-4728-A145-BACCAC50F750}" name="VALOR TOTAL" dataDxfId="417" totalsRowDxfId="416"/>
    <tableColumn id="17" xr3:uid="{58CF4E6B-4CE9-418B-91BA-55725FFA64E9}" name="BENEFICIO INSTITUCIONAL" dataDxfId="415" totalsRowDxfId="414"/>
    <tableColumn id="18" xr3:uid="{CD8D1277-ED24-4A4C-89AC-8F0BDE43A4FB}" name="FORMA DE PAGO" dataDxfId="413" totalsRowDxfId="412"/>
    <tableColumn id="19" xr3:uid="{5B3A8690-3487-4775-B2D0-7558DA8292FE}" name="DURACIÓN" dataDxfId="411" totalsRowDxfId="410"/>
    <tableColumn id="20" xr3:uid="{DB42426E-C46E-4738-B934-9C43E47F98B1}" name="TIPO DE PROYECTO" dataDxfId="409" totalsRowDxfId="408"/>
    <tableColumn id="21" xr3:uid="{873AF342-D452-4558-98EC-E7FB818F699C}" name="MODALIDAD DE CONTRATACIÓN" dataDxfId="407" totalsRowDxfId="406"/>
    <tableColumn id="22" xr3:uid="{56B9EDDE-F614-4B03-A0C9-46B6788C5F37}" name="INVITACIÓN" dataDxfId="405" totalsRowDxfId="404"/>
    <tableColumn id="23" xr3:uid="{1F7B994B-D34E-4A79-AE67-68620F5E0A43}" name="ESTUDIOS PREVIOS" dataDxfId="403" totalsRowDxfId="402"/>
    <tableColumn id="24" xr3:uid="{1F1D3FB4-0DC0-434E-AF7D-035C306F5DDD}" name="ANEXO TÉCNICO" dataDxfId="401" totalsRowDxfId="400"/>
    <tableColumn id="25" xr3:uid="{D0846834-E768-4AA4-B1A8-015C1A33AFFE}" name="OTROS ANEXOS" dataDxfId="399" totalsRowDxfId="398"/>
    <tableColumn id="26" xr3:uid="{D3186072-7B70-4589-BD66-A30C16A137D6}" name="AVAL DE FACULTAD" dataDxfId="397" totalsRowDxfId="396"/>
    <tableColumn id="27" xr3:uid="{2201F222-5EE7-4E84-886F-DEC8A7309372}" name="PROPUESTA" dataDxfId="395" totalsRowDxfId="394"/>
    <tableColumn id="28" xr3:uid="{E38B971E-2C85-4489-B645-324A076071E5}" name="CONTRATO " dataDxfId="393" totalsRowDxfId="392"/>
    <tableColumn id="29" xr3:uid="{5A9F2ECA-E0AD-41D6-8F0F-9FCA1CA21E21}" name="CONTRATO ELECTRONICO SECOP II" dataDxfId="391" totalsRowDxfId="390"/>
    <tableColumn id="30" xr3:uid="{D10738A8-87A9-40D0-9FBB-18C92998FEDF}" name="CREACIÓN FINANCIERA" dataDxfId="389" totalsRowDxfId="388"/>
    <tableColumn id="31" xr3:uid="{0CC8F9A0-03BD-431A-9C17-7E797A970F65}" name="PRESUPUESTO" dataDxfId="387" totalsRowDxfId="386"/>
    <tableColumn id="32" xr3:uid="{8D27182A-9320-4DE6-982B-F57EBE84B410}" name="ACTA DE INICIO" dataDxfId="385" totalsRowDxfId="384"/>
    <tableColumn id="33" xr3:uid="{8C67E34B-77DD-47A1-AF82-BE8F34599F45}" name="OBSERVACIONES" dataDxfId="383" totalsRowDxfId="382"/>
    <tableColumn id="67" xr3:uid="{F82EB10B-78D1-4C13-BB21-CF9C21A48711}" name="Ok check" dataDxfId="381" totalsRowDxfId="380">
      <calculatedColumnFormula array="1">SUMPRODUCT((Y3:AI3&lt;&gt;"Pendiente")*(Y3:AI3&lt;&gt;""))</calculatedColumnFormula>
    </tableColumn>
    <tableColumn id="68" xr3:uid="{EB11E277-6C3A-4AEA-92AA-81D09A1446BA}" name="cantidad requerida" dataDxfId="379" totalsRowDxfId="378">
      <calculatedColumnFormula>COUNTA(Tabla2[[#This Row],[INVITACIÓN]:[ACTA DE INICIO]])</calculatedColumnFormula>
    </tableColumn>
    <tableColumn id="69" xr3:uid="{29D26FC4-B427-4146-9854-07902153DA5F}" name="porcentaje check" dataDxfId="377" totalsRowDxfId="376">
      <calculatedColumnFormula>AK3/AL3</calculatedColumnFormula>
    </tableColumn>
    <tableColumn id="50" xr3:uid="{D93A79B4-DE4D-403D-BC3F-AE7003101DD1}" name="(1)SOLICITUD DE  APERTURA FIRNANCIERA Y PRESUPUESTO 1 (FECHA) " dataDxfId="375" totalsRowDxfId="374"/>
    <tableColumn id="57" xr3:uid="{35FD39C7-E62E-4862-BA56-841002E863EC}" name="(2) SOLICITUD CORREO INSTITUCIONAL(FECHA) Y CORREO INSTITUCIONAL" dataDxfId="373" totalsRowDxfId="372"/>
    <tableColumn id="34" xr3:uid="{415547D6-010A-4E72-9230-18F77D54B9A9}" name="(3) SOLICITUD DE CDPS (FECHA)" dataDxfId="371" totalsRowDxfId="370"/>
    <tableColumn id="35" xr3:uid="{1C57733B-C920-4EA1-BE06-D6B49F89D08A}" name="(4) DEFINICIÓN DE EQUIPO (FECHA)" dataDxfId="369" totalsRowDxfId="368"/>
    <tableColumn id="36" xr3:uid="{0DF89E9A-3124-457F-B5B3-D00162B4EE0E}" name="(5) COORDINADOR / DIRECTOR (NOMBRE)" dataDxfId="367" totalsRowDxfId="366"/>
    <tableColumn id="51" xr3:uid="{51540ACE-7C26-4D48-BDEC-65020C75CA50}" name="(6) SUPERVISOR (NOMBRE)" dataDxfId="365" totalsRowDxfId="364"/>
    <tableColumn id="37" xr3:uid="{90C439D1-E62C-4837-B712-B53410C4401D}" name="(7) ADMINISTRATIVO NOMBRE" dataDxfId="363" totalsRowDxfId="362"/>
    <tableColumn id="58" xr3:uid="{5683570E-E1B0-4C9A-8059-64C68AD00D0C}" name="(8)FECHA CURSO DE SUPERVISIÓN" dataDxfId="361" totalsRowDxfId="360"/>
    <tableColumn id="38" xr3:uid="{22236CF9-921C-48BC-A75D-D3FA0FA9888F}" name="(9) SOLICITUD DE SUPERVISIÓN (FECHA)" dataDxfId="359" totalsRowDxfId="358"/>
    <tableColumn id="39" xr3:uid="{5D485B0D-787A-433A-A639-B6896DEE2BAD}" name="(10) RESOLUCIÓN DE SUPERVISIÓN ( FECHA Y NÚMERO DE SUPERVISIÓN)" dataDxfId="357" totalsRowDxfId="356"/>
    <tableColumn id="54" xr3:uid="{DB45AC92-4679-43C4-AD25-D468441E6763}" name="(11) CONTRUCCIÓN ESTUDIOS PREVIOS" dataDxfId="355" totalsRowDxfId="354"/>
    <tableColumn id="40" xr3:uid="{404DA1B2-E06D-4D3C-B7D7-F8956372BD8D}" name="(12) SOLICITUD DE DOCUMENTOS COORDINADOR Y/O DIRECTOR" dataDxfId="353" totalsRowDxfId="352"/>
    <tableColumn id="41" xr3:uid="{AB5601E2-1633-4873-BA55-3BAC8A69D988}" name="(13) SOLICITUD DE DOCUMENTOS ADMINISTRATIVO" dataDxfId="351" totalsRowDxfId="350"/>
    <tableColumn id="42" xr3:uid="{B39A0233-3679-4A8E-A3CD-0C1C1619357B}" name="(14) FECHA DE CONTRATACIÓN DIRECTOR Y/O COORDINADOR" dataDxfId="349" totalsRowDxfId="348"/>
    <tableColumn id="52" xr3:uid="{8A000586-6978-4793-A174-7458B94A6FCF}" name="(15) FECHA DE CONTRATACIÓN ADMINISTRATIVO" dataDxfId="347" totalsRowDxfId="346"/>
    <tableColumn id="53" xr3:uid="{B443FBC2-5C0E-479B-994F-ACB0938E1988}" name="(16) FECHA REUNIÓN DE EMPALME (DIRECTOR Y/O COORDINADOR, SUPERVISOR, ADMINISTRATIVO Y MIEMBRO DE LA PMO DE SEGUIMIENTO)" dataDxfId="345" totalsRowDxfId="344"/>
    <tableColumn id="65" xr3:uid="{D7A409E1-7B10-435C-9B43-3914D1FAB939}" name="NUMERO OK" dataDxfId="343" totalsRowDxfId="342">
      <calculatedColumnFormula>COUNTA(Tabla2[[#This Row],[(1)SOLICITUD DE  APERTURA FIRNANCIERA Y PRESUPUESTO 1 (FECHA) ]:[(15) FECHA DE CONTRATACIÓN ADMINISTRATIVO]])</calculatedColumnFormula>
    </tableColumn>
    <tableColumn id="66" xr3:uid="{5EC8D97E-44FD-4A9F-81C0-9DB049DF5080}" name="porcentaje cumplmiento" dataDxfId="341" totalsRowDxfId="340">
      <calculatedColumnFormula>Tabla2[[#This Row],[NUMERO OK]]/15</calculatedColumnFormula>
    </tableColumn>
    <tableColumn id="74" xr3:uid="{CBEE58B9-9F44-4212-98CC-EEAFF01DE4E3}" name="alerta contractualL" dataDxfId="339" totalsRowDxfId="338">
      <calculatedColumnFormula>IF(ISBLANK(I3),"N/A",
   IF(TODAY()-I3&lt;=15,
      IF(BE3=100%,"EnTiempos","EnProceso"),
      IF(BE3&lt;80%,"RiesgoAlto",
         IF(BE3&lt;100%,"RiesgoMedio","Cumplido")
      )
   )
)</calculatedColumnFormula>
    </tableColumn>
    <tableColumn id="59" xr3:uid="{4A17FB62-A56F-42A6-99C1-BAA3854E9F80}" name="OBSERVACIONES POR ALERTA CONTRACTUAL" dataDxfId="337" totalsRowDxfId="336"/>
    <tableColumn id="43" xr3:uid="{AF1556C0-6241-43E7-8362-FD3D6B6A7DA6}" name="REQUERIMIENTOS PROYECTOS" dataDxfId="335" totalsRowDxfId="334"/>
    <tableColumn id="64" xr3:uid="{6729F12E-DB5E-4A21-86D9-171CCE499D91}" name="(17) SOLICITUD PLAN INTEGRAL PROYECTO2" dataDxfId="333" totalsRowDxfId="332"/>
    <tableColumn id="44" xr3:uid="{91CFAA75-9AD1-4F0E-93BE-BAAF9ACC2780}" name="(18) SOLICITUD DE INFORME MENSUAL" dataDxfId="331" totalsRowDxfId="330"/>
    <tableColumn id="45" xr3:uid="{2149E1A5-A2D6-459C-B64D-0E85B3408BA7}" name="(19) FECHA DEL NUEVO SEGUIMIENTO" dataDxfId="329" totalsRowDxfId="328"/>
    <tableColumn id="46" xr3:uid="{5BC3E117-A8C7-4D9E-B4D9-1A66E98D60B8}" name="Columna1" dataDxfId="327" totalsRowDxfId="326"/>
    <tableColumn id="47" xr3:uid="{377C27FD-EDA2-4B7A-9448-BEF75AE3D2E2}" name="Columna2" dataDxfId="325" totalsRowDxfId="324"/>
    <tableColumn id="48" xr3:uid="{EEA54000-5B93-4A51-A0D7-0A065C6B902E}" name="% estructura del proyecto disponible" dataDxfId="323" totalsRowDxfId="322"/>
    <tableColumn id="49" xr3:uid="{8CA786D1-897B-41F1-B4D4-2531F2443FD4}" name="Observaciones " dataDxfId="321" totalsRowDxfId="3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3FAE87-6788-4833-875B-999223E67469}" name="Tabla256" displayName="Tabla256" ref="A2:BQ123" totalsRowCount="1" headerRowDxfId="313" dataDxfId="311" headerRowBorderDxfId="312" tableBorderDxfId="310">
  <autoFilter ref="A2:BQ122" xr:uid="{A4839CB2-CDEE-4DC8-AB23-F70F37D536A3}"/>
  <sortState xmlns:xlrd2="http://schemas.microsoft.com/office/spreadsheetml/2017/richdata2" ref="A3:BQ122">
    <sortCondition ref="H2:H122"/>
  </sortState>
  <tableColumns count="69">
    <tableColumn id="1" xr3:uid="{B4B32864-9ADF-4D5B-9023-4C4C253DEC36}" name="AÑO" dataDxfId="309" totalsRowDxfId="308"/>
    <tableColumn id="55" xr3:uid="{DB18BCFA-0F0A-44E1-9D2D-A24F570D3F34}" name="NÚMERO INTERNO SIEXUD" dataDxfId="307" totalsRowDxfId="306"/>
    <tableColumn id="2" xr3:uid="{58D6DB0F-E34B-4993-923E-C695283F6596}" name="COMITÉ DE APROBACIÓN" dataDxfId="305" totalsRowDxfId="304"/>
    <tableColumn id="60" xr3:uid="{67D8F380-C904-4913-BC8C-BEAAD41AEEA3}" name="AB0GADO ASIGNADO AL PROYECTO" dataDxfId="303" totalsRowDxfId="302"/>
    <tableColumn id="56" xr3:uid="{0C07DC25-DDCA-43E9-B178-CC806ECFC811}" name="PERSONA ENCARGADA DE LA INICIACION" dataDxfId="301" totalsRowDxfId="300"/>
    <tableColumn id="3" xr3:uid="{E8FFF517-264B-41B8-B03B-E878A8D7BE5C}" name="PERSONA ENCARGADA DEL SEGUIMIENTO" dataDxfId="299" totalsRowDxfId="298"/>
    <tableColumn id="4" xr3:uid="{829D3AF5-F7BE-4C7D-AF14-110C984F513B}" name="FECHA ULTIMO SEGUIMIENTO PMO" dataDxfId="297" totalsRowDxfId="296"/>
    <tableColumn id="5" xr3:uid="{3472C89F-D09E-45BF-B220-7CEC55FFDA22}" name="FECHA DE SUSCRIPCIÓN" dataDxfId="295" totalsRowDxfId="294"/>
    <tableColumn id="6" xr3:uid="{9E320E27-206E-4B23-82CB-3AA84B120D74}" name="FECHA DE INICIO" dataDxfId="293" totalsRowDxfId="292"/>
    <tableColumn id="7" xr3:uid="{5339EC22-AB56-4AF5-A7EA-1FA53EE4F4B9}" name="FECHA DE FINALIZACIÓN" dataDxfId="291" totalsRowDxfId="290"/>
    <tableColumn id="8" xr3:uid="{D8BB85AE-0127-4761-AE73-D8B032816B76}" name="# CONTRATO" dataDxfId="289" totalsRowDxfId="288"/>
    <tableColumn id="9" xr3:uid="{4FEA451F-83A6-452F-B7B8-C2726A02E5EC}" name="DEPENDENCIA EJECUTORA" dataDxfId="287" totalsRowDxfId="286"/>
    <tableColumn id="10" xr3:uid="{CC746310-CBBD-4A5C-91B6-49D30EF6AB94}" name="ESTADO" dataDxfId="285" totalsRowDxfId="284">
      <calculatedColumnFormula>IF(J3="", "SUSCRITO", IF(J3&lt;=TODAY(), "FINALIZADO", "EN EJECUCIÓN"))</calculatedColumnFormula>
    </tableColumn>
    <tableColumn id="11" xr3:uid="{13ABD65D-F4E5-4251-AEDC-E7DEBB0BD792}" name="MODALIDAD" dataDxfId="283" totalsRowDxfId="282"/>
    <tableColumn id="12" xr3:uid="{06F10649-70D8-4D8B-82B7-A8A1F8C0FDAB}" name="ENTIDAD" dataDxfId="281" totalsRowDxfId="280"/>
    <tableColumn id="14" xr3:uid="{ED0CEB3D-6083-4DC9-950A-B2E112974DDE}" name="APORTE ENTIDAD" dataDxfId="279" totalsRowDxfId="278"/>
    <tableColumn id="61" xr3:uid="{5480A669-6A75-4890-9483-DDDBA29B431E}" name="ADICIÓN APORTE ENTIDAD" dataDxfId="277" totalsRowDxfId="276"/>
    <tableColumn id="15" xr3:uid="{74E2C2C9-1A2A-463E-912C-B06B180EEAEE}" name="CONTRAPARTIDA" dataDxfId="275" totalsRowDxfId="274"/>
    <tableColumn id="62" xr3:uid="{3E8AD4BD-074D-4308-8AB8-222B4CCF9E00}" name="ADICIÓN CONTRAPARTIDA" dataDxfId="273" totalsRowDxfId="272"/>
    <tableColumn id="16" xr3:uid="{89D2C7D6-27AD-45C6-BF07-83DAF8C68C7B}" name="VALOR TOTAL" dataDxfId="271" totalsRowDxfId="270">
      <calculatedColumnFormula>P3+R3</calculatedColumnFormula>
    </tableColumn>
    <tableColumn id="17" xr3:uid="{7D669A9D-D381-49C2-AFEC-A9A7E551965F}" name="BENEFICIO INSTITUCIONAL" totalsRowFunction="sum" dataDxfId="269" totalsRowDxfId="268"/>
    <tableColumn id="63" xr3:uid="{C8E215B2-DD4B-49B1-ABDA-1A12D539EA30}" name="OBJETO2" dataDxfId="267" totalsRowDxfId="266"/>
    <tableColumn id="18" xr3:uid="{7DA3D240-4D9F-42D3-ABDA-3019573FF9B0}" name="FORMA DE PAGO" dataDxfId="265" totalsRowDxfId="264"/>
    <tableColumn id="19" xr3:uid="{FF025D46-E4E1-491B-B843-13D1D1BC6BD8}" name="DURACIÓN" dataDxfId="263" totalsRowDxfId="262"/>
    <tableColumn id="20" xr3:uid="{0524F73C-A465-4DD8-96CD-5E395D98E02F}" name="TIPO DE PROYECTO" dataDxfId="261" totalsRowDxfId="260"/>
    <tableColumn id="21" xr3:uid="{44D57A0F-0AA8-4C72-8E62-C11F8793AAFF}" name="MODALIDAD DE CONTRATACIÓN" dataDxfId="259" totalsRowDxfId="258"/>
    <tableColumn id="22" xr3:uid="{91B7DEE2-C662-4408-A6A0-2951A88C0285}" name="INVITACIÓN" dataDxfId="257" totalsRowDxfId="256"/>
    <tableColumn id="23" xr3:uid="{0BCF6D07-078C-4C08-8469-8F48885203BE}" name="ESTUDIOS PREVIOS" dataDxfId="255" totalsRowDxfId="254"/>
    <tableColumn id="24" xr3:uid="{EECAB709-A631-4FD5-A402-FE0BD6FE5CFB}" name="ANEXO TÉCNICO" dataDxfId="253" totalsRowDxfId="252"/>
    <tableColumn id="25" xr3:uid="{577EA18F-E240-46C0-ADC1-757534D6D168}" name="OTROS ANEXOS" dataDxfId="251" totalsRowDxfId="250"/>
    <tableColumn id="26" xr3:uid="{87684E56-CAEF-4982-B366-9A9331356348}" name="AVAL DE FACULTAD" dataDxfId="249" totalsRowDxfId="248"/>
    <tableColumn id="27" xr3:uid="{F60C45F6-525F-4E40-B77E-81C62A9CAE2C}" name="PROPUESTA" dataDxfId="247" totalsRowDxfId="246"/>
    <tableColumn id="28" xr3:uid="{38A804A0-CD8B-48D6-AD50-6B30A6D2061A}" name="CONTRATO " dataDxfId="245" totalsRowDxfId="244"/>
    <tableColumn id="29" xr3:uid="{B34B7BFD-E136-4D87-8BAD-52D8EED3106B}" name="CONTRATO ELECTRONICO SECOP II" dataDxfId="243" totalsRowDxfId="242"/>
    <tableColumn id="30" xr3:uid="{326F4B8C-2D5B-4F2A-A786-44F8F4A51A68}" name="CREACIÓN FINANCIERA" dataDxfId="241" totalsRowDxfId="240"/>
    <tableColumn id="31" xr3:uid="{2C0E3A77-18C5-4029-9111-0BA589E60F50}" name="PRESUPUESTO" dataDxfId="239" totalsRowDxfId="238"/>
    <tableColumn id="32" xr3:uid="{F155A72B-009D-4FD5-8BAE-097A8CA8B6C6}" name="ACTA DE INICIO" dataDxfId="237" totalsRowDxfId="236"/>
    <tableColumn id="33" xr3:uid="{A1BBBD3E-5055-4A8E-94E9-B570688B6E8B}" name="OBSERVACIONES" dataDxfId="235" totalsRowDxfId="234"/>
    <tableColumn id="67" xr3:uid="{96DD6A1A-94BB-4515-9D5A-BACFC3BD343E}" name="Ok check" dataDxfId="233" totalsRowDxfId="232">
      <calculatedColumnFormula array="1">SUMPRODUCT((AA3:AK3&lt;&gt;"Pendiente")*(AA3:AK3&lt;&gt;""))</calculatedColumnFormula>
    </tableColumn>
    <tableColumn id="68" xr3:uid="{B80596BC-CC4E-446D-AB55-1408F15C746B}" name="cantidad requerida" dataDxfId="231" totalsRowDxfId="230">
      <calculatedColumnFormula>COUNTA(Tabla256[[#This Row],[INVITACIÓN]:[ACTA DE INICIO]])</calculatedColumnFormula>
    </tableColumn>
    <tableColumn id="69" xr3:uid="{0FFA03D1-72CE-49E0-80EF-D73696BE8EAC}" name="porcentaje check" dataDxfId="229" totalsRowDxfId="228">
      <calculatedColumnFormula>AM3/AN3</calculatedColumnFormula>
    </tableColumn>
    <tableColumn id="50" xr3:uid="{A5A1401F-A63A-47A6-A1D9-4528EA046363}" name="(1)SOLICITUD DE  APERTURA FIRNANCIERA Y PRESUPUESTO 1 (FECHA) " dataDxfId="227" totalsRowDxfId="226"/>
    <tableColumn id="57" xr3:uid="{120953D4-36F2-4A9C-8699-5A8640B691A6}" name="(2) SOLICITUD CORREO INSTITUCIONAL(FECHA) Y CORREO INSTITUCIONAL" dataDxfId="225" totalsRowDxfId="224"/>
    <tableColumn id="34" xr3:uid="{F1E423CB-22C1-4B7B-A859-99D06B2F2AB4}" name="(3) SOLICITUD DE CDPS (FECHA)" dataDxfId="223" totalsRowDxfId="222"/>
    <tableColumn id="35" xr3:uid="{C7EA3CA7-58B4-40EB-BF19-A79C91E37956}" name="(4) DEFINICIÓN DE EQUIPO (FECHA)" dataDxfId="221" totalsRowDxfId="220"/>
    <tableColumn id="36" xr3:uid="{4D51C0C5-9FA1-4448-95CD-16F998159977}" name="(5) COORDINADOR / DIRECTOR (NOMBRE)" dataDxfId="219" totalsRowDxfId="218"/>
    <tableColumn id="51" xr3:uid="{9C6E7AFE-DD0B-42C5-A8D0-9F8385B9B0D3}" name="(6) SUPERVISOR (NOMBRE)" dataDxfId="217" totalsRowDxfId="216"/>
    <tableColumn id="37" xr3:uid="{EA85D1A8-FD18-4097-9DDA-3ACBB282C0E7}" name="(7) ADMINISTRATIVO NOMBRE" dataDxfId="215" totalsRowDxfId="214"/>
    <tableColumn id="58" xr3:uid="{AC91B7A1-6263-4B66-9373-CB9B65BF80B6}" name="(8)FECHA CURSO DE SUPERVISIÓN" dataDxfId="213" totalsRowDxfId="212"/>
    <tableColumn id="38" xr3:uid="{0D6F5547-4C1C-443E-9FF6-75AAD654E9BE}" name="(9) SOLICITUD DE SUPERVISIÓN (FECHA)" dataDxfId="211" totalsRowDxfId="210"/>
    <tableColumn id="39" xr3:uid="{12782354-4A32-4F18-85CA-CF2C2CE4D4E5}" name="(10) RESOLUCIÓN DE SUPERVISIÓN ( FECHA Y NÚMERO DE SUPERVISIÓN)" dataDxfId="209" totalsRowDxfId="208"/>
    <tableColumn id="54" xr3:uid="{25E8C374-4611-42BB-8272-166C00BB81FF}" name="(11) CONTRUCCIÓN ESTUDIOS PREVIOS" dataDxfId="207" totalsRowDxfId="206"/>
    <tableColumn id="40" xr3:uid="{00BA5A44-0E79-4DB7-8E65-6B07B0A21968}" name="(12) SOLICITUD DE DOCUMENTOS COORDINADOR Y/O DIRECTOR" dataDxfId="205" totalsRowDxfId="204"/>
    <tableColumn id="41" xr3:uid="{A7DE1BE8-9560-46E6-9496-C6344AF4C4D0}" name="(13) SOLICITUD DE DOCUMENTOS ADMINISTRATIVO" dataDxfId="203" totalsRowDxfId="202"/>
    <tableColumn id="42" xr3:uid="{3A4B4CAF-8079-4C25-991D-F6393C4E8824}" name="(14) FECHA DE CONTRATACIÓN DIRECTOR Y/O COORDINADOR" dataDxfId="201" totalsRowDxfId="200"/>
    <tableColumn id="52" xr3:uid="{9A024A7A-F9F7-4B22-B287-FAAAD02A59AC}" name="(15) FECHA DE CONTRATACIÓN ADMINISTRATIVO" dataDxfId="199" totalsRowDxfId="198"/>
    <tableColumn id="53" xr3:uid="{7B4FA372-51C9-4F05-BFFF-95D8FA54CA1B}" name="(16) FECHA REUNIÓN DE EMPALME (DIRECTOR Y/O COORDINADOR, SUPERVISOR, ADMINISTRATIVO Y MIEMBRO DE LA PMO DE SEGUIMIENTO)" dataDxfId="197" totalsRowDxfId="196"/>
    <tableColumn id="65" xr3:uid="{CD2C45E2-487F-4E9A-B135-3CA38F04514B}" name="NUMERO OK" dataDxfId="195" totalsRowDxfId="194">
      <calculatedColumnFormula>COUNTA(Tabla256[[#This Row],[(1)SOLICITUD DE  APERTURA FIRNANCIERA Y PRESUPUESTO 1 (FECHA) ]:[(15) FECHA DE CONTRATACIÓN ADMINISTRATIVO]])</calculatedColumnFormula>
    </tableColumn>
    <tableColumn id="66" xr3:uid="{46D615C4-0929-4122-AA4B-16BEDC8EC8A0}" name="porcentaje cumplmiento" dataDxfId="193" totalsRowDxfId="192">
      <calculatedColumnFormula>Tabla256[[#This Row],[NUMERO OK]]/15</calculatedColumnFormula>
    </tableColumn>
    <tableColumn id="74" xr3:uid="{EFA34FFA-2CD5-4E23-9114-4FDB5E359538}" name="alerta contractualL" dataDxfId="191" totalsRowDxfId="190">
      <calculatedColumnFormula>IF(ISBLANK(I3),"N/A",
   IF(TODAY()-I3&lt;=15,
      IF(BG3=100%,"EnTiempos","EnProceso"),
      IF(BG3&lt;80%,"RiesgoAlto",
         IF(BG3&lt;100%,"RiesgoMedio","Cumplido")
      )
   )
)</calculatedColumnFormula>
    </tableColumn>
    <tableColumn id="59" xr3:uid="{7FCC5203-D0CB-48D6-ABCA-2ED12935FE38}" name="OBSERVACIONES POR ALERTA CONTRACTUAL" dataDxfId="189" totalsRowDxfId="188"/>
    <tableColumn id="43" xr3:uid="{95502FD3-9ADD-46C7-8A5C-14F94F15B523}" name="REQUERIMIENTOS PROYECTOS" dataDxfId="187" totalsRowDxfId="186"/>
    <tableColumn id="64" xr3:uid="{C98D0AE9-89FE-43EE-95D0-501A40E91397}" name="(17) SOLICITUD PLAN INTEGRAL PROYECTO2" dataDxfId="185" totalsRowDxfId="184"/>
    <tableColumn id="44" xr3:uid="{9177B1E5-7713-4752-8B10-2D4794CAE849}" name="(18) SOLICITUD DE INFORME MENSUAL" dataDxfId="183" totalsRowDxfId="182"/>
    <tableColumn id="45" xr3:uid="{3CDA905B-A4FE-4655-8540-4E12C27A7B27}" name="(19) FECHA DEL NUEVO SEGUIMIENTO" dataDxfId="181" totalsRowDxfId="180"/>
    <tableColumn id="46" xr3:uid="{BA6209A1-5F5A-4C92-A221-F34BED8B7C83}" name="Columna1" dataDxfId="179" totalsRowDxfId="178"/>
    <tableColumn id="47" xr3:uid="{AF38CEF1-8A2F-45AE-89ED-C2D7D1FE18B7}" name="Columna2" dataDxfId="177" totalsRowDxfId="176"/>
    <tableColumn id="48" xr3:uid="{A318C1AD-FC72-4180-9FA4-09303F196194}" name="% estructura del proyecto disponible" dataDxfId="175" totalsRowDxfId="174"/>
    <tableColumn id="49" xr3:uid="{DB0B6AD6-2642-40CC-82F6-4C343EA6896F}" name="Observaciones " dataDxfId="173" totalsRowDxfId="17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1424B5-B9D9-4CFB-B5FD-E6F9E957073B}" name="Tabla25" displayName="Tabla25" ref="A2:BZ122" totalsRowShown="0" headerRowDxfId="164" dataDxfId="162" headerRowBorderDxfId="163" tableBorderDxfId="161">
  <autoFilter ref="A2:BZ122" xr:uid="{A4839CB2-CDEE-4DC8-AB23-F70F37D536A3}"/>
  <sortState xmlns:xlrd2="http://schemas.microsoft.com/office/spreadsheetml/2017/richdata2" ref="A3:BZ122">
    <sortCondition ref="A2:A122"/>
  </sortState>
  <tableColumns count="78">
    <tableColumn id="1" xr3:uid="{579F3B7A-56BD-40F8-B9B4-583998C3244F}" name="AÑO" dataDxfId="160" totalsRowDxfId="159"/>
    <tableColumn id="19" xr3:uid="{D0CDBB76-8BA5-46AD-BC51-FB66FE5CBE00}" name="# CONTRATO" dataDxfId="158" totalsRowDxfId="157"/>
    <tableColumn id="12" xr3:uid="{0ED7EAFA-6F1C-4D60-8017-B2CEDDFCB100}" name="ENTIDAD" dataDxfId="156" totalsRowDxfId="155"/>
    <tableColumn id="71" xr3:uid="{3FC6A6D4-FDD4-4502-B986-C24F3CF90206}" name="NÚMERO INTERNO SIEXUD" dataDxfId="154" totalsRowDxfId="153"/>
    <tableColumn id="79" xr3:uid="{454CE7B8-DF07-492A-A46F-31718A9344FA}" name="CODIGO CONTABLE" dataDxfId="152" totalsRowDxfId="151"/>
    <tableColumn id="2" xr3:uid="{26C500C0-8B53-4014-A672-4F4477A4CE23}" name="COMITÉ DE APROBACIÓN" dataDxfId="150" totalsRowDxfId="149"/>
    <tableColumn id="75" xr3:uid="{770A71E0-B2F4-48D2-8551-88E368BE8D9A}" name="CORREO PRINCIPAL DEL PROYECTO" dataDxfId="148" totalsRowDxfId="147"/>
    <tableColumn id="60" xr3:uid="{C9A1E46D-6B98-4429-826C-D46CCB8E587D}" name="AB0GADO ASIGNADO AL PROYECTO" dataDxfId="146" totalsRowDxfId="145"/>
    <tableColumn id="56" xr3:uid="{C1307A61-8143-47BB-A58A-5F714EDEFDC8}" name="PERSONA ENCARGADA DE LA INICIACION" dataDxfId="144" totalsRowDxfId="143"/>
    <tableColumn id="3" xr3:uid="{71F22485-0ACF-4CA5-8E7F-5E2003FEE329}" name="PERSONA ENCARGADA DEL SEGUIMIENTO" dataDxfId="142" totalsRowDxfId="141"/>
    <tableColumn id="73" xr3:uid="{8EBD08F6-4A66-447E-8A4D-50ABA93D0A2C}" name="RELEVANCIA TIEMPO" dataDxfId="140" totalsRowDxfId="139">
      <calculatedColumnFormula>IF(Q3="","",(IF(Q3&lt;=7,5,IF(Q3&lt;=12,3,1))))</calculatedColumnFormula>
    </tableColumn>
    <tableColumn id="55" xr3:uid="{BDC4E9E4-0DC7-46DC-A989-7250DC99F971}" name="RELEVANCIA MONTO" dataDxfId="138" totalsRowDxfId="137">
      <calculatedColumnFormula>IF(AD3=0,"",IF(AD3&lt;=500000000,1,IF(AD3&lt;=2847000000,3,5)))</calculatedColumnFormula>
    </tableColumn>
    <tableColumn id="8" xr3:uid="{22CB8E16-D4EB-42EF-B38C-446367925C72}" name="PRIORIZACIÓN POR RELEVANCIA" dataDxfId="136" totalsRowDxfId="135">
      <calculatedColumnFormula>IF(K3="","",IF(Q3&lt;=7,5,IF(Q3&lt;=12,3,1))+IF(AD3&lt;=500000000,1,IF(AD3&lt;=2847000000,3,5)))</calculatedColumnFormula>
    </tableColumn>
    <tableColumn id="4" xr3:uid="{3CC688C0-1C8B-4B29-8E62-51E082B6AE6D}" name="FECHA ULTIMO SEGUIMIENTO PMO" dataDxfId="134" totalsRowDxfId="133"/>
    <tableColumn id="5" xr3:uid="{A82E8456-DFF4-4BDE-B336-AC65400800D3}" name="FECHA DE SUSCRIPCIÓN" dataDxfId="132" totalsRowDxfId="131"/>
    <tableColumn id="6" xr3:uid="{A0EA8472-FB5D-432B-A7EC-B8510BDA97AB}" name="FECHA DE INICIO" dataDxfId="130" totalsRowDxfId="129"/>
    <tableColumn id="72" xr3:uid="{F72D8B18-6D38-489F-B705-545D758DBE11}" name="TIEMPO TOTAL _x000a_(MESES)" dataDxfId="128" totalsRowDxfId="127">
      <calculatedColumnFormula>IF(R3="", "",((R3+T3)/(365/12)))</calculatedColumnFormula>
    </tableColumn>
    <tableColumn id="13" xr3:uid="{35288CDA-C371-466E-BE20-CD9ABCA1B4D2}" name="TIEMPO INICIAL_x000a_(DÍAS)" dataDxfId="126" totalsRowDxfId="125"/>
    <tableColumn id="76" xr3:uid="{A9CD5FE5-7ADE-45D9-966E-2D1251881BC0}" name="SUSPENSIÓN_x000a_(DÍAS)" dataDxfId="124" totalsRowDxfId="123"/>
    <tableColumn id="70" xr3:uid="{97703E0D-81CE-4BAB-8028-7E52E37C528C}" name="PRÓRROGA_x000a_(DÍAS)" dataDxfId="122" totalsRowDxfId="121">
      <calculatedColumnFormula>V3-P3</calculatedColumnFormula>
    </tableColumn>
    <tableColumn id="78" xr3:uid="{55C0EDA8-9CAB-4B2F-B4DA-6F21D45DB058}" name="DÍAS EJECUTADOS" dataDxfId="120" totalsRowDxfId="119">
      <calculatedColumnFormula>IF(R3="","",IF(P3="","0",TODAY()-P3-S3+T3))</calculatedColumnFormula>
    </tableColumn>
    <tableColumn id="7" xr3:uid="{A077201B-080E-4EAA-AE1E-EA4A36A093BC}" name="FECHA DE FINALIZACIÓN" dataDxfId="118" totalsRowDxfId="117">
      <calculatedColumnFormula>IF(P3="", "",P3+R3+T3+S3)</calculatedColumnFormula>
    </tableColumn>
    <tableColumn id="9" xr3:uid="{EC7D1695-C6FD-4C4A-B965-115BBB582403}" name="DEPENDENCIA EJECUTORA" dataDxfId="116" totalsRowDxfId="115"/>
    <tableColumn id="10" xr3:uid="{F0DAFCED-8B88-42C1-80B9-2E1E168D76EB}" name="ESTADO" dataDxfId="114" totalsRowDxfId="113">
      <calculatedColumnFormula>IF(V3="", "SUSCRITO", IF(V3&lt;=TODAY(), "FINALIZADO", "EN EJECUCIÓN"))</calculatedColumnFormula>
    </tableColumn>
    <tableColumn id="11" xr3:uid="{C3499F3B-637B-49A3-91A9-069226F80F0F}" name="MODALIDAD" dataDxfId="112" totalsRowDxfId="111"/>
    <tableColumn id="14" xr3:uid="{2FC52F3B-A24A-4874-94AC-D6D7092ABAE0}" name="APORTE ENTIDAD" dataDxfId="110" totalsRowDxfId="109"/>
    <tableColumn id="61" xr3:uid="{B9F95643-A19D-439A-ABAF-854DFD9F112D}" name="ADICIÓN APORTE ENTIDAD 2025" dataDxfId="108" totalsRowDxfId="107"/>
    <tableColumn id="15" xr3:uid="{73BFD941-4964-4E7C-A782-907967DBCB95}" name="CONTRAPARTIDA" dataDxfId="106" totalsRowDxfId="105"/>
    <tableColumn id="62" xr3:uid="{CABB886E-5D03-4AA6-B8D0-301341E41B3E}" name="ADICIÓN CONTRAPARTIDA 2025" dataDxfId="104" totalsRowDxfId="103"/>
    <tableColumn id="16" xr3:uid="{679B06E3-B63F-46CB-B973-1A4B82795BF0}" name="VALOR TOTAL" dataDxfId="102" totalsRowDxfId="101">
      <calculatedColumnFormula>Z3+AB3+AA3+AC3</calculatedColumnFormula>
    </tableColumn>
    <tableColumn id="17" xr3:uid="{DF472196-6202-4C91-B2D8-AB3CEF733878}" name="BENEFICIO INSTITUCIONAL" dataDxfId="100" totalsRowDxfId="99"/>
    <tableColumn id="63" xr3:uid="{99946559-1B70-49C5-8B89-6FC81D22CEE8}" name="OBJETO" dataDxfId="98" totalsRowDxfId="97"/>
    <tableColumn id="18" xr3:uid="{5F436CC5-6AF3-4C6C-AE09-57ADDBD752CF}" name="FORMA DE PAGO" dataDxfId="96" totalsRowDxfId="95"/>
    <tableColumn id="20" xr3:uid="{F3E29098-53CD-4E78-A4C4-0AD3F61F3494}" name="TIPO DE PROYECTO" dataDxfId="94" totalsRowDxfId="93"/>
    <tableColumn id="21" xr3:uid="{32959182-0F63-4E36-95A7-B2E5277D2CDB}" name="MODALIDAD DE CONTRATACIÓN" dataDxfId="92" totalsRowDxfId="91"/>
    <tableColumn id="22" xr3:uid="{D5C7EA2B-1970-4278-96FC-F50E44C80F9F}" name="INVITACIÓN" dataDxfId="90" totalsRowDxfId="89"/>
    <tableColumn id="23" xr3:uid="{C53D0F91-327B-4058-90AB-86585AC3553F}" name="ESTUDIOS PREVIOS" dataDxfId="88" totalsRowDxfId="87"/>
    <tableColumn id="24" xr3:uid="{AE60CA29-3729-42B8-BF43-71C270C5F924}" name="ANEXO TÉCNICO" dataDxfId="86" totalsRowDxfId="85"/>
    <tableColumn id="25" xr3:uid="{3447647B-68F3-4816-A693-E00C35996DF6}" name="MATRÍZ DE RIESGO" dataDxfId="84" totalsRowDxfId="83"/>
    <tableColumn id="26" xr3:uid="{3922ED81-09E1-4844-B815-59D0F5AFD5A7}" name="AVAL DE FACULTAD" dataDxfId="82" totalsRowDxfId="81"/>
    <tableColumn id="27" xr3:uid="{850C129C-23A9-4726-9FCF-03F599174F38}" name="PROPUESTA" dataDxfId="80" totalsRowDxfId="79"/>
    <tableColumn id="28" xr3:uid="{BCE2CC18-839B-4FEC-939A-F2688FAEFB88}" name="CONTRATO " dataDxfId="78" totalsRowDxfId="77"/>
    <tableColumn id="29" xr3:uid="{8A658962-F98F-434E-AF07-AD33CB3C256B}" name="CONTRATO ELECTRONICO SECOP II" dataDxfId="76" totalsRowDxfId="75"/>
    <tableColumn id="30" xr3:uid="{20157FA3-8A6B-41BD-AD48-969272DB925B}" name="CREACIÓN FINANCIERA" dataDxfId="74" totalsRowDxfId="73"/>
    <tableColumn id="31" xr3:uid="{5B740FAB-8D96-408E-A97B-10450CA4D207}" name="PRESUPUESTO" dataDxfId="72" totalsRowDxfId="71"/>
    <tableColumn id="32" xr3:uid="{6301BFA5-DFA1-411B-AD17-4A8161434743}" name="ACTA DE INICIO" dataDxfId="70" totalsRowDxfId="69"/>
    <tableColumn id="33" xr3:uid="{5555D9B0-B7C5-415F-9FFD-F696A57F6C28}" name="OBSERVACIONES" dataDxfId="68" totalsRowDxfId="67"/>
    <tableColumn id="67" xr3:uid="{50FC0918-D96E-4F7D-B3A1-475CE7842389}" name="Ok check" dataDxfId="66" totalsRowDxfId="65">
      <calculatedColumnFormula array="1">SUMPRODUCT((AJ3:AT3&lt;&gt;"Pendiente")*(AJ3:AT3&lt;&gt;""))</calculatedColumnFormula>
    </tableColumn>
    <tableColumn id="68" xr3:uid="{5FEE140C-EA52-47F5-AC7D-5ED76CF4DEDF}" name="cantidad requerida" dataDxfId="64" totalsRowDxfId="63">
      <calculatedColumnFormula>COUNTA(Tabla25[[#This Row],[INVITACIÓN]:[ACTA DE INICIO]])</calculatedColumnFormula>
    </tableColumn>
    <tableColumn id="69" xr3:uid="{6A6A9AD4-FD8E-452C-A236-1D45A6D7975D}" name="porcentaje check" dataDxfId="62" totalsRowDxfId="61">
      <calculatedColumnFormula>AV3/AW3</calculatedColumnFormula>
    </tableColumn>
    <tableColumn id="50" xr3:uid="{00ACA777-E414-426D-95BC-8DB1D338B8AA}" name="(1)SOLICITUD DE  APERTURA FIRNANCIERA Y PRESUPUESTO 1 (FECHA) " dataDxfId="60" totalsRowDxfId="59"/>
    <tableColumn id="57" xr3:uid="{333E4790-A2A6-42ED-86D7-4BA2C63738D4}" name="(2) SOLICITUD CORREO INSTITUCIONAL(FECHA) Y CORREO INSTITUCIONAL" dataDxfId="58" totalsRowDxfId="57"/>
    <tableColumn id="34" xr3:uid="{B0A06745-F563-4321-9D29-D8911D68FDC1}" name="(3) SOLICITUD DE CDPS (FECHA)" dataDxfId="56" totalsRowDxfId="55"/>
    <tableColumn id="35" xr3:uid="{3BAC2A91-CB5C-45CF-A13D-242F2E11399C}" name="(4) DEFINICIÓN DE EQUIPO (FECHA)" dataDxfId="54" totalsRowDxfId="53"/>
    <tableColumn id="36" xr3:uid="{0595FF69-EDFF-42C3-8879-24AB2B33D1D2}" name="(5) COORDINADOR / DIRECTOR (NOMBRE)" dataDxfId="52" totalsRowDxfId="51"/>
    <tableColumn id="51" xr3:uid="{D94D233A-6863-4A7A-A3E4-393DD983831C}" name="(6) SUPERVISOR (NOMBRE)" dataDxfId="50" totalsRowDxfId="49"/>
    <tableColumn id="37" xr3:uid="{E3B1017E-84C9-4C5B-8C9C-CC9778AFCD11}" name="(7) ADMINISTRATIVO NOMBRE" dataDxfId="48" totalsRowDxfId="47"/>
    <tableColumn id="58" xr3:uid="{1DA9C6D5-01DA-4BFD-954A-516C9B9AF2F7}" name="(8)FECHA CURSO DE SUPERVISIÓN" dataDxfId="46" totalsRowDxfId="45"/>
    <tableColumn id="38" xr3:uid="{6BBE9420-B25D-4EB2-999B-FF588FE7194E}" name="(9) SOLICITUD DE SUPERVISIÓN (FECHA)" dataDxfId="44" totalsRowDxfId="43"/>
    <tableColumn id="39" xr3:uid="{3837229B-A775-48E6-8826-305CAB5E3720}" name="(10) RESOLUCIÓN DE SUPERVISIÓN ( FECHA Y NÚMERO DE SUPERVISIÓN)" dataDxfId="42" totalsRowDxfId="41"/>
    <tableColumn id="54" xr3:uid="{0B70F150-4145-448B-83F4-2039EAA72CD6}" name="(11) CONTRUCCIÓN ESTUDIOS PREVIOS" dataDxfId="40" totalsRowDxfId="39"/>
    <tableColumn id="40" xr3:uid="{98FFE876-0A0D-4D6A-A248-854CDA2CBD0A}" name="(12) SOLICITUD DE DOCUMENTOS COORDINADOR Y/O DIRECTOR" dataDxfId="38" totalsRowDxfId="37"/>
    <tableColumn id="41" xr3:uid="{70056D94-EF22-4442-B55C-673D85C4BAF1}" name="(13) SOLICITUD DE DOCUMENTOS ADMINISTRATIVO" dataDxfId="36" totalsRowDxfId="35"/>
    <tableColumn id="42" xr3:uid="{163663AA-7C80-4C6F-B00A-E420F8A5C0B6}" name="(14) FECHA DE CONTRATACIÓN DIRECTOR Y/O COORDINADOR" dataDxfId="34" totalsRowDxfId="33"/>
    <tableColumn id="52" xr3:uid="{59ADD385-66C9-459E-986D-5DE120BECF91}" name="(15) FECHA DE CONTRATACIÓN ADMINISTRATIVO" dataDxfId="32" totalsRowDxfId="31"/>
    <tableColumn id="53" xr3:uid="{F8483CA9-90EC-487E-A52C-6C3FE8B5CB92}" name="(16) FECHA REUNIÓN DE EMPALME (DIRECTOR Y/O COORDINADOR, SUPERVISOR, ADMINISTRATIVO Y MIEMBRO DE LA PMO DE SEGUIMIENTO)" dataDxfId="30" totalsRowDxfId="29"/>
    <tableColumn id="65" xr3:uid="{8B4A036E-B746-4BED-9B65-47A817438B98}" name="NUMERO OK" dataDxfId="28" totalsRowDxfId="27">
      <calculatedColumnFormula>COUNTA(Tabla25[[#This Row],[(1)SOLICITUD DE  APERTURA FIRNANCIERA Y PRESUPUESTO 1 (FECHA) ]:[(15) FECHA DE CONTRATACIÓN ADMINISTRATIVO]])</calculatedColumnFormula>
    </tableColumn>
    <tableColumn id="66" xr3:uid="{7522D74B-FAED-4AF1-BCF0-212FCF3EC51F}" name="porcentaje cumplmiento" dataDxfId="26" totalsRowDxfId="25">
      <calculatedColumnFormula>Tabla25[[#This Row],[NUMERO OK]]/15</calculatedColumnFormula>
    </tableColumn>
    <tableColumn id="74" xr3:uid="{EA522517-FFDD-4488-9E0B-D11AAEDC143A}" name="alerta contractualL" dataDxfId="24" totalsRowDxfId="23">
      <calculatedColumnFormula>IF(ISBLANK(P3),"N/A",
   IF(TODAY()-P3&lt;=15,
      IF(BP3=100%,"EnTiempos","EnProceso"),
      IF(BP3&lt;80%,"RiesgoAlto",
         IF(BP3&lt;100%,"RiesgoMedio","Cumplido")
      )
   )
)</calculatedColumnFormula>
    </tableColumn>
    <tableColumn id="59" xr3:uid="{DDD60508-E5F7-4D73-AEAA-DC2900D63372}" name="OBSERVACIONES POR ALERTA CONTRACTUAL" dataDxfId="22" totalsRowDxfId="21"/>
    <tableColumn id="43" xr3:uid="{500752F5-4579-427E-B64C-6582932A9D34}" name="REQUERIMIENTOS PROYECTOS" dataDxfId="20" totalsRowDxfId="19"/>
    <tableColumn id="64" xr3:uid="{122C958A-6CC4-4BEE-82DB-DFD6D9636CF8}" name="(17) SOLICITUD PLAN INTEGRAL PROYECTO2" dataDxfId="18" totalsRowDxfId="17"/>
    <tableColumn id="44" xr3:uid="{FD0DE698-94F0-4B07-840D-1857E1C9D142}" name="(18) SOLICITUD DE INFORME MENSUAL" dataDxfId="16" totalsRowDxfId="15"/>
    <tableColumn id="45" xr3:uid="{9E145A39-8D4B-4106-B596-4BEDBECDC7A6}" name="(19) FECHA DEL NUEVO SEGUIMIENTO" dataDxfId="14" totalsRowDxfId="13"/>
    <tableColumn id="46" xr3:uid="{E45D9ED2-4F8F-4845-8613-535E27C8F104}" name="Columna1" dataDxfId="12" totalsRowDxfId="11"/>
    <tableColumn id="47" xr3:uid="{C27AEFFC-BCD6-4E26-BA15-8C81E21476B0}" name="Columna2" dataDxfId="10" totalsRowDxfId="9"/>
    <tableColumn id="48" xr3:uid="{65403FEA-D279-4167-8141-F739F633C326}" name="% estructura del proyecto disponible" dataDxfId="8" totalsRowDxfId="7"/>
    <tableColumn id="49" xr3:uid="{25CAAD11-66DE-47DC-A5F8-24B7AC1E689A}" name="Observaciones " dataDxfId="6"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hyperlink" Target="mailto:ci1134kennedy25ofex@udistrital.edu.co" TargetMode="External"/><Relationship Id="rId18" Type="http://schemas.openxmlformats.org/officeDocument/2006/relationships/hyperlink" Target="mailto:gerenteanh58325ofex@udistrital.edu.co" TargetMode="External"/><Relationship Id="rId26" Type="http://schemas.openxmlformats.org/officeDocument/2006/relationships/hyperlink" Target="mailto:p8224asab25ofex@udistrital.edu.co" TargetMode="External"/><Relationship Id="rId39" Type="http://schemas.openxmlformats.org/officeDocument/2006/relationships/hyperlink" Target="mailto:ci67rape25ofex@udistrital.edu.co" TargetMode="External"/><Relationship Id="rId21" Type="http://schemas.openxmlformats.org/officeDocument/2006/relationships/hyperlink" Target="mailto:ci036ANSV25ofex@udistrital.edu.co" TargetMode="External"/><Relationship Id="rId34" Type="http://schemas.openxmlformats.org/officeDocument/2006/relationships/hyperlink" Target="mailto:ci820univalle25ofex@udistrital.edu.co" TargetMode="External"/><Relationship Id="rId42" Type="http://schemas.openxmlformats.org/officeDocument/2006/relationships/hyperlink" Target="mailto:Dilof125ofex@udistrital.edu.co" TargetMode="External"/><Relationship Id="rId47" Type="http://schemas.openxmlformats.org/officeDocument/2006/relationships/vmlDrawing" Target="../drawings/vmlDrawing3.vml"/><Relationship Id="rId7" Type="http://schemas.openxmlformats.org/officeDocument/2006/relationships/hyperlink" Target="mailto:sancristobal1161.cge@udistrital.edu.co" TargetMode="External"/><Relationship Id="rId2" Type="http://schemas.openxmlformats.org/officeDocument/2006/relationships/hyperlink" Target="mailto:ci721fontibon25ofex@udistrital.edu.co" TargetMode="External"/><Relationship Id="rId16" Type="http://schemas.openxmlformats.org/officeDocument/2006/relationships/hyperlink" Target="mailto:ci0024diplomados25ofex@udistrital.edu.co" TargetMode="External"/><Relationship Id="rId29" Type="http://schemas.openxmlformats.org/officeDocument/2006/relationships/hyperlink" Target="mailto:ci035ansv25ofex@udistrital.edu.co" TargetMode="External"/><Relationship Id="rId11" Type="http://schemas.openxmlformats.org/officeDocument/2006/relationships/hyperlink" Target="mailto:ci1704magdalena24ofex@udistrital.edu.co" TargetMode="External"/><Relationship Id="rId24" Type="http://schemas.openxmlformats.org/officeDocument/2006/relationships/hyperlink" Target="mailto:mincit29625ofex@udistrital.edu.co" TargetMode="External"/><Relationship Id="rId32" Type="http://schemas.openxmlformats.org/officeDocument/2006/relationships/hyperlink" Target="mailto:ci307lacalera_25ofex@udistrital.edu.co" TargetMode="External"/><Relationship Id="rId37" Type="http://schemas.openxmlformats.org/officeDocument/2006/relationships/hyperlink" Target="mailto:ci553zipaquira25ofex@udistrital.edu.co" TargetMode="External"/><Relationship Id="rId40" Type="http://schemas.openxmlformats.org/officeDocument/2006/relationships/hyperlink" Target="mailto:ci932utp25ofex@udistrital.edu.co" TargetMode="External"/><Relationship Id="rId45" Type="http://schemas.openxmlformats.org/officeDocument/2006/relationships/hyperlink" Target="mailto:ci01tattoo25ofex@udistrital.edu.co" TargetMode="External"/><Relationship Id="rId5" Type="http://schemas.openxmlformats.org/officeDocument/2006/relationships/hyperlink" Target="mailto:gerenteanh58325ofex@udistrital.edu.co" TargetMode="External"/><Relationship Id="rId15" Type="http://schemas.openxmlformats.org/officeDocument/2006/relationships/hyperlink" Target="mailto:ci5385mineducacion25ofex@udistrital.edu.co" TargetMode="External"/><Relationship Id="rId23" Type="http://schemas.openxmlformats.org/officeDocument/2006/relationships/hyperlink" Target="mailto:contralorpasto25ofex@udistrital.edu.co" TargetMode="External"/><Relationship Id="rId28" Type="http://schemas.openxmlformats.org/officeDocument/2006/relationships/hyperlink" Target="mailto:preuniversitarios_25ofex@udistrital.edu.co" TargetMode="External"/><Relationship Id="rId36" Type="http://schemas.openxmlformats.org/officeDocument/2006/relationships/hyperlink" Target="mailto:ci136supersalud25ofex@udistrital.edu.co" TargetMode="External"/><Relationship Id="rId49" Type="http://schemas.openxmlformats.org/officeDocument/2006/relationships/comments" Target="../comments3.xml"/><Relationship Id="rId10" Type="http://schemas.openxmlformats.org/officeDocument/2006/relationships/hyperlink" Target="mailto:ci1694cbolivar25ofex@udistrital.edu.co" TargetMode="External"/><Relationship Id="rId19" Type="http://schemas.openxmlformats.org/officeDocument/2006/relationships/hyperlink" Target="mailto:ci366hacienda25ofex@udistrital.edu.co" TargetMode="External"/><Relationship Id="rId31" Type="http://schemas.openxmlformats.org/officeDocument/2006/relationships/hyperlink" Target="mailto:ci180guasca25ofex@udistrital.edu.co" TargetMode="External"/><Relationship Id="rId44" Type="http://schemas.openxmlformats.org/officeDocument/2006/relationships/hyperlink" Target="mailto:ssf211_25ofex@udistrital.edu.co" TargetMode="External"/><Relationship Id="rId4" Type="http://schemas.openxmlformats.org/officeDocument/2006/relationships/hyperlink" Target="mailto:i515fdlbu24ofex@udistrital.edu.co" TargetMode="External"/><Relationship Id="rId9" Type="http://schemas.openxmlformats.org/officeDocument/2006/relationships/hyperlink" Target="mailto:candelaria414.cge@udistrital.edu.co" TargetMode="External"/><Relationship Id="rId14" Type="http://schemas.openxmlformats.org/officeDocument/2006/relationships/hyperlink" Target="mailto:secretariocesar25ofex@udistrital.edu.co" TargetMode="External"/><Relationship Id="rId22" Type="http://schemas.openxmlformats.org/officeDocument/2006/relationships/hyperlink" Target="mailto:ci087gcundinamarca25ofex@udistrital.edu.co" TargetMode="External"/><Relationship Id="rId27" Type="http://schemas.openxmlformats.org/officeDocument/2006/relationships/hyperlink" Target="mailto:tecnodiplomados25ofex@udistrital.edu.co" TargetMode="External"/><Relationship Id="rId30" Type="http://schemas.openxmlformats.org/officeDocument/2006/relationships/hyperlink" Target="mailto:ci004carsinu25ofex@udistrital.edu.co" TargetMode="External"/><Relationship Id="rId35" Type="http://schemas.openxmlformats.org/officeDocument/2006/relationships/hyperlink" Target="mailto:ci630personeria25ofex@udistrital.edu.co" TargetMode="External"/><Relationship Id="rId43" Type="http://schemas.openxmlformats.org/officeDocument/2006/relationships/hyperlink" Target="mailto:Dilof225ofex@udistrital.edu.co" TargetMode="External"/><Relationship Id="rId48" Type="http://schemas.openxmlformats.org/officeDocument/2006/relationships/table" Target="../tables/table5.xml"/><Relationship Id="rId8" Type="http://schemas.openxmlformats.org/officeDocument/2006/relationships/hyperlink" Target="mailto:ci1160kennedy25ofex@udistrital.edu.co" TargetMode="External"/><Relationship Id="rId3" Type="http://schemas.openxmlformats.org/officeDocument/2006/relationships/hyperlink" Target="mailto:ci721fontibon25ofex@udistrital.edu.co" TargetMode="External"/><Relationship Id="rId12" Type="http://schemas.openxmlformats.org/officeDocument/2006/relationships/hyperlink" Target="mailto:ci1703cbolivar25ofex@udistrital.edu.co" TargetMode="External"/><Relationship Id="rId17" Type="http://schemas.openxmlformats.org/officeDocument/2006/relationships/hyperlink" Target="mailto:ci296bancomundial25ofex@udistrital.edu.co" TargetMode="External"/><Relationship Id="rId25" Type="http://schemas.openxmlformats.org/officeDocument/2006/relationships/hyperlink" Target="mailto:dibie2025ofex@udistrital.edu.co" TargetMode="External"/><Relationship Id="rId33" Type="http://schemas.openxmlformats.org/officeDocument/2006/relationships/hyperlink" Target="mailto:ci170junin_25ofex@udistrital.edu.co" TargetMode="External"/><Relationship Id="rId38" Type="http://schemas.openxmlformats.org/officeDocument/2006/relationships/hyperlink" Target="mailto:ci943soacha25ofex@udistrital.edu.co" TargetMode="External"/><Relationship Id="rId46" Type="http://schemas.openxmlformats.org/officeDocument/2006/relationships/printerSettings" Target="../printerSettings/printerSettings3.bin"/><Relationship Id="rId20" Type="http://schemas.openxmlformats.org/officeDocument/2006/relationships/hyperlink" Target="mailto:ci0720gmagdalena25ofex@udistrital.edu.co" TargetMode="External"/><Relationship Id="rId41" Type="http://schemas.openxmlformats.org/officeDocument/2006/relationships/hyperlink" Target="mailto:ci593idpc25ofex@udistrital.edu.co" TargetMode="External"/><Relationship Id="rId1" Type="http://schemas.openxmlformats.org/officeDocument/2006/relationships/hyperlink" Target="mailto:ci1135kennedy25ofex@udistrital.edu.co" TargetMode="External"/><Relationship Id="rId6" Type="http://schemas.openxmlformats.org/officeDocument/2006/relationships/hyperlink" Target="mailto:localidadbosa25ofex@udistrital.edu.co"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012E8-0E3C-45C0-88FF-8668E8A03C78}">
  <dimension ref="A2:N50"/>
  <sheetViews>
    <sheetView topLeftCell="B10" workbookViewId="0">
      <selection activeCell="D24" sqref="D24"/>
    </sheetView>
  </sheetViews>
  <sheetFormatPr baseColWidth="10" defaultColWidth="11.375" defaultRowHeight="14.25"/>
  <cols>
    <col min="1" max="1" width="34.375" bestFit="1" customWidth="1"/>
    <col min="2" max="2" width="34.375" customWidth="1"/>
    <col min="4" max="4" width="19.25" bestFit="1" customWidth="1"/>
    <col min="5" max="5" width="20.75" bestFit="1" customWidth="1"/>
    <col min="6" max="6" width="77.125" bestFit="1" customWidth="1"/>
    <col min="7" max="7" width="19.375" bestFit="1" customWidth="1"/>
    <col min="8" max="8" width="16.75" bestFit="1" customWidth="1"/>
    <col min="9" max="9" width="38.125" customWidth="1"/>
    <col min="10" max="10" width="17" customWidth="1"/>
    <col min="11" max="11" width="37.75" bestFit="1" customWidth="1"/>
    <col min="12" max="12" width="34.125" bestFit="1" customWidth="1"/>
    <col min="14" max="14" width="41.375" customWidth="1"/>
  </cols>
  <sheetData>
    <row r="2" spans="1:14">
      <c r="A2" s="1" t="s">
        <v>0</v>
      </c>
      <c r="B2" s="1" t="s">
        <v>1</v>
      </c>
      <c r="C2" s="1" t="s">
        <v>2</v>
      </c>
      <c r="D2" s="1" t="s">
        <v>3</v>
      </c>
      <c r="E2" s="1" t="s">
        <v>4</v>
      </c>
      <c r="F2" s="1" t="s">
        <v>5</v>
      </c>
      <c r="G2" s="1" t="s">
        <v>6</v>
      </c>
      <c r="H2" s="1" t="s">
        <v>7</v>
      </c>
      <c r="I2" s="1" t="s">
        <v>8</v>
      </c>
      <c r="J2" s="1" t="s">
        <v>9</v>
      </c>
      <c r="K2" s="1" t="s">
        <v>10</v>
      </c>
      <c r="L2" s="1" t="s">
        <v>11</v>
      </c>
      <c r="M2" s="1" t="s">
        <v>12</v>
      </c>
      <c r="N2" s="41" t="s">
        <v>13</v>
      </c>
    </row>
    <row r="3" spans="1:14">
      <c r="A3" s="2">
        <v>2024</v>
      </c>
      <c r="B3" s="2" t="s">
        <v>14</v>
      </c>
      <c r="C3" s="2" t="s">
        <v>15</v>
      </c>
      <c r="D3" s="2" t="s">
        <v>16</v>
      </c>
      <c r="E3" t="s">
        <v>17</v>
      </c>
      <c r="F3" s="3" t="s">
        <v>18</v>
      </c>
      <c r="G3" s="2" t="s">
        <v>19</v>
      </c>
      <c r="H3" s="2">
        <v>2022</v>
      </c>
      <c r="I3" s="2" t="s">
        <v>20</v>
      </c>
      <c r="J3" s="2" t="s">
        <v>21</v>
      </c>
      <c r="K3" s="2" t="s">
        <v>22</v>
      </c>
      <c r="L3" s="2" t="s">
        <v>23</v>
      </c>
      <c r="M3" s="2" t="s">
        <v>24</v>
      </c>
      <c r="N3" t="s">
        <v>25</v>
      </c>
    </row>
    <row r="4" spans="1:14">
      <c r="A4" s="2">
        <v>2025</v>
      </c>
      <c r="B4" s="2" t="s">
        <v>26</v>
      </c>
      <c r="C4" s="2" t="s">
        <v>27</v>
      </c>
      <c r="D4" s="2" t="s">
        <v>28</v>
      </c>
      <c r="E4" s="2" t="s">
        <v>29</v>
      </c>
      <c r="F4" s="3" t="s">
        <v>30</v>
      </c>
      <c r="G4" s="2" t="s">
        <v>31</v>
      </c>
      <c r="H4" s="2">
        <v>2023</v>
      </c>
      <c r="I4" s="2" t="s">
        <v>32</v>
      </c>
      <c r="J4" s="2" t="s">
        <v>33</v>
      </c>
      <c r="K4" s="2" t="s">
        <v>34</v>
      </c>
      <c r="L4" s="2" t="s">
        <v>35</v>
      </c>
      <c r="M4" s="2" t="s">
        <v>36</v>
      </c>
      <c r="N4" t="s">
        <v>37</v>
      </c>
    </row>
    <row r="5" spans="1:14">
      <c r="A5" s="2">
        <v>2026</v>
      </c>
      <c r="B5" s="2" t="s">
        <v>38</v>
      </c>
      <c r="C5" s="2" t="s">
        <v>39</v>
      </c>
      <c r="D5" s="2" t="s">
        <v>40</v>
      </c>
      <c r="E5" s="2" t="s">
        <v>41</v>
      </c>
      <c r="F5" s="3" t="s">
        <v>42</v>
      </c>
      <c r="G5" s="2" t="s">
        <v>43</v>
      </c>
      <c r="H5" s="2">
        <v>2024</v>
      </c>
      <c r="I5" s="2" t="s">
        <v>38</v>
      </c>
      <c r="J5" s="2" t="s">
        <v>44</v>
      </c>
      <c r="K5" s="2" t="s">
        <v>45</v>
      </c>
      <c r="L5" s="2" t="s">
        <v>46</v>
      </c>
      <c r="M5" s="2" t="s">
        <v>17</v>
      </c>
      <c r="N5" t="s">
        <v>47</v>
      </c>
    </row>
    <row r="6" spans="1:14">
      <c r="A6" s="2">
        <v>2023</v>
      </c>
      <c r="B6" s="2" t="s">
        <v>48</v>
      </c>
      <c r="C6" s="2" t="s">
        <v>49</v>
      </c>
      <c r="D6" s="2" t="s">
        <v>50</v>
      </c>
      <c r="E6" s="2" t="s">
        <v>51</v>
      </c>
      <c r="F6" s="3" t="s">
        <v>52</v>
      </c>
      <c r="G6" s="2" t="s">
        <v>53</v>
      </c>
      <c r="H6" s="2">
        <v>2025</v>
      </c>
      <c r="I6" s="2" t="s">
        <v>26</v>
      </c>
      <c r="J6" s="2" t="s">
        <v>54</v>
      </c>
      <c r="K6" s="2" t="s">
        <v>55</v>
      </c>
      <c r="L6" s="2" t="s">
        <v>56</v>
      </c>
    </row>
    <row r="7" spans="1:14">
      <c r="A7" s="2">
        <v>2022</v>
      </c>
      <c r="B7" s="2" t="s">
        <v>20</v>
      </c>
      <c r="C7" s="2" t="s">
        <v>57</v>
      </c>
      <c r="D7" s="2" t="s">
        <v>58</v>
      </c>
      <c r="E7" s="2" t="s">
        <v>59</v>
      </c>
      <c r="F7" s="3" t="s">
        <v>60</v>
      </c>
      <c r="G7" s="2"/>
      <c r="H7" s="2">
        <v>2026</v>
      </c>
      <c r="I7" s="2" t="s">
        <v>61</v>
      </c>
      <c r="J7" s="2" t="s">
        <v>62</v>
      </c>
      <c r="K7" s="2"/>
      <c r="L7" s="2" t="s">
        <v>63</v>
      </c>
    </row>
    <row r="8" spans="1:14">
      <c r="A8" s="2">
        <v>2021</v>
      </c>
      <c r="B8" s="2" t="s">
        <v>64</v>
      </c>
      <c r="C8" s="2" t="s">
        <v>65</v>
      </c>
      <c r="D8" s="2" t="s">
        <v>66</v>
      </c>
      <c r="E8" s="2" t="s">
        <v>67</v>
      </c>
      <c r="F8" s="3" t="s">
        <v>68</v>
      </c>
      <c r="G8" s="2"/>
      <c r="H8" s="2">
        <v>2027</v>
      </c>
      <c r="I8" s="2" t="s">
        <v>69</v>
      </c>
      <c r="J8" s="2" t="s">
        <v>70</v>
      </c>
      <c r="K8" s="2"/>
      <c r="L8" s="2"/>
    </row>
    <row r="9" spans="1:14">
      <c r="A9" s="2">
        <v>2020</v>
      </c>
      <c r="B9" s="2" t="s">
        <v>71</v>
      </c>
      <c r="C9" s="2" t="s">
        <v>72</v>
      </c>
      <c r="D9" s="2"/>
      <c r="E9" s="2" t="s">
        <v>73</v>
      </c>
      <c r="F9" s="3" t="s">
        <v>74</v>
      </c>
      <c r="G9" s="2"/>
      <c r="H9" s="2"/>
      <c r="I9" s="2" t="s">
        <v>75</v>
      </c>
      <c r="J9" s="2" t="s">
        <v>76</v>
      </c>
      <c r="K9" s="2"/>
      <c r="L9" s="2"/>
    </row>
    <row r="10" spans="1:14">
      <c r="A10" s="2"/>
      <c r="B10" s="2" t="s">
        <v>77</v>
      </c>
      <c r="C10" s="2" t="s">
        <v>78</v>
      </c>
      <c r="D10" s="2"/>
      <c r="E10" s="2" t="s">
        <v>79</v>
      </c>
      <c r="F10" s="3" t="s">
        <v>80</v>
      </c>
      <c r="G10" s="2"/>
      <c r="H10" s="2"/>
      <c r="I10" s="2" t="s">
        <v>81</v>
      </c>
      <c r="J10" s="2" t="s">
        <v>82</v>
      </c>
      <c r="K10" s="2"/>
      <c r="L10" s="2"/>
    </row>
    <row r="11" spans="1:14">
      <c r="A11" s="2"/>
      <c r="B11" s="2" t="s">
        <v>83</v>
      </c>
      <c r="C11" s="2" t="s">
        <v>84</v>
      </c>
      <c r="D11" s="2"/>
      <c r="E11" s="2" t="s">
        <v>85</v>
      </c>
      <c r="F11" s="3" t="s">
        <v>86</v>
      </c>
      <c r="G11" s="2"/>
      <c r="H11" s="2"/>
      <c r="I11" s="2" t="s">
        <v>87</v>
      </c>
      <c r="J11" s="2" t="s">
        <v>88</v>
      </c>
      <c r="K11" s="2"/>
      <c r="L11" s="2"/>
    </row>
    <row r="12" spans="1:14">
      <c r="A12" s="2"/>
      <c r="B12" s="2" t="s">
        <v>17</v>
      </c>
      <c r="C12" s="2" t="s">
        <v>89</v>
      </c>
      <c r="D12" s="2"/>
      <c r="E12" s="2" t="s">
        <v>90</v>
      </c>
      <c r="F12" s="3" t="s">
        <v>91</v>
      </c>
      <c r="G12" s="2"/>
      <c r="H12" s="2"/>
      <c r="I12" s="2" t="s">
        <v>92</v>
      </c>
      <c r="J12" s="2" t="s">
        <v>93</v>
      </c>
      <c r="K12" s="2"/>
      <c r="L12" s="2"/>
    </row>
    <row r="13" spans="1:14" ht="28.5">
      <c r="A13" s="2"/>
      <c r="B13" s="74" t="s">
        <v>94</v>
      </c>
      <c r="C13" s="2" t="s">
        <v>95</v>
      </c>
      <c r="D13" s="2"/>
      <c r="E13" s="2" t="s">
        <v>96</v>
      </c>
      <c r="F13" s="3" t="s">
        <v>97</v>
      </c>
      <c r="G13" s="2"/>
      <c r="H13" s="2"/>
      <c r="I13" s="2" t="s">
        <v>98</v>
      </c>
      <c r="J13" s="2" t="s">
        <v>99</v>
      </c>
      <c r="K13" s="2"/>
      <c r="L13" s="2"/>
    </row>
    <row r="14" spans="1:14">
      <c r="A14" s="2"/>
      <c r="B14" s="2" t="s">
        <v>100</v>
      </c>
      <c r="C14" s="2" t="s">
        <v>101</v>
      </c>
      <c r="D14" s="2"/>
      <c r="E14" s="2" t="s">
        <v>102</v>
      </c>
      <c r="F14" s="3" t="s">
        <v>103</v>
      </c>
      <c r="G14" s="2"/>
      <c r="H14" s="2"/>
      <c r="I14" s="2"/>
      <c r="J14" s="2"/>
      <c r="K14" s="2"/>
      <c r="L14" s="2"/>
    </row>
    <row r="15" spans="1:14">
      <c r="A15" s="2"/>
      <c r="B15" s="2" t="s">
        <v>104</v>
      </c>
      <c r="C15" s="2" t="s">
        <v>105</v>
      </c>
      <c r="D15" s="2"/>
      <c r="E15" s="2" t="s">
        <v>106</v>
      </c>
      <c r="F15" s="3" t="s">
        <v>107</v>
      </c>
      <c r="G15" s="2"/>
      <c r="H15" s="2"/>
      <c r="I15" s="2"/>
      <c r="J15" s="2"/>
      <c r="K15" s="2"/>
      <c r="L15" s="2"/>
    </row>
    <row r="16" spans="1:14">
      <c r="A16" s="2"/>
      <c r="B16" s="2" t="s">
        <v>108</v>
      </c>
      <c r="C16" s="2" t="s">
        <v>109</v>
      </c>
      <c r="D16" s="2"/>
      <c r="E16" s="2" t="s">
        <v>110</v>
      </c>
      <c r="F16" s="3" t="s">
        <v>111</v>
      </c>
      <c r="G16" s="2"/>
      <c r="H16" s="2"/>
      <c r="I16" s="2"/>
      <c r="J16" s="2"/>
      <c r="K16" s="2"/>
      <c r="L16" s="2"/>
    </row>
    <row r="17" spans="1:12">
      <c r="A17" s="2"/>
      <c r="B17" s="2" t="s">
        <v>112</v>
      </c>
      <c r="C17" s="2" t="s">
        <v>113</v>
      </c>
      <c r="D17" s="2"/>
      <c r="E17" s="2" t="s">
        <v>114</v>
      </c>
      <c r="F17" s="3" t="s">
        <v>115</v>
      </c>
      <c r="G17" s="2"/>
      <c r="H17" s="2"/>
      <c r="I17" s="2"/>
      <c r="J17" s="2"/>
      <c r="K17" s="2"/>
      <c r="L17" s="2"/>
    </row>
    <row r="18" spans="1:12">
      <c r="A18" s="2"/>
      <c r="B18" s="2" t="s">
        <v>17</v>
      </c>
      <c r="C18" s="2" t="s">
        <v>116</v>
      </c>
      <c r="D18" s="2"/>
      <c r="E18" s="2" t="s">
        <v>117</v>
      </c>
      <c r="F18" s="3" t="s">
        <v>118</v>
      </c>
      <c r="G18" s="2"/>
      <c r="H18" s="2"/>
      <c r="I18" s="2"/>
      <c r="J18" s="2"/>
      <c r="K18" s="2"/>
      <c r="L18" s="2"/>
    </row>
    <row r="19" spans="1:12" ht="28.5">
      <c r="A19" s="2"/>
      <c r="B19" s="74" t="s">
        <v>119</v>
      </c>
      <c r="C19" s="2" t="s">
        <v>120</v>
      </c>
      <c r="D19" s="2"/>
      <c r="E19" s="2" t="s">
        <v>121</v>
      </c>
      <c r="F19" s="3" t="s">
        <v>122</v>
      </c>
      <c r="G19" s="2"/>
      <c r="H19" s="2"/>
      <c r="I19" s="2"/>
      <c r="J19" s="2"/>
      <c r="K19" s="2"/>
      <c r="L19" s="2"/>
    </row>
    <row r="20" spans="1:12">
      <c r="A20" s="2"/>
      <c r="B20" s="2" t="s">
        <v>123</v>
      </c>
      <c r="C20" s="2" t="s">
        <v>124</v>
      </c>
      <c r="D20" s="2"/>
      <c r="E20" s="2" t="s">
        <v>125</v>
      </c>
      <c r="F20" s="3" t="s">
        <v>126</v>
      </c>
      <c r="G20" s="2"/>
      <c r="H20" s="2"/>
      <c r="I20" s="2"/>
      <c r="J20" s="2"/>
      <c r="K20" s="2"/>
      <c r="L20" s="2"/>
    </row>
    <row r="21" spans="1:12">
      <c r="A21" s="2"/>
      <c r="B21" s="2" t="s">
        <v>127</v>
      </c>
      <c r="C21" s="2" t="s">
        <v>128</v>
      </c>
      <c r="D21" s="2"/>
      <c r="E21" s="2" t="s">
        <v>129</v>
      </c>
      <c r="F21" s="3" t="s">
        <v>130</v>
      </c>
      <c r="G21" s="2"/>
      <c r="H21" s="2"/>
      <c r="I21" s="2"/>
      <c r="J21" s="2"/>
      <c r="K21" s="2"/>
      <c r="L21" s="2"/>
    </row>
    <row r="22" spans="1:12">
      <c r="A22" s="2"/>
      <c r="B22" s="2" t="s">
        <v>131</v>
      </c>
      <c r="C22" s="2" t="s">
        <v>132</v>
      </c>
      <c r="D22" s="2"/>
      <c r="E22" s="2" t="s">
        <v>133</v>
      </c>
      <c r="F22" s="2" t="s">
        <v>134</v>
      </c>
      <c r="G22" s="2"/>
      <c r="H22" s="2"/>
      <c r="I22" s="2"/>
      <c r="J22" s="2"/>
      <c r="K22" s="2"/>
      <c r="L22" s="2"/>
    </row>
    <row r="23" spans="1:12">
      <c r="A23" s="2"/>
      <c r="B23" s="2" t="s">
        <v>135</v>
      </c>
      <c r="C23" s="2" t="s">
        <v>136</v>
      </c>
      <c r="D23" s="2"/>
      <c r="E23" s="2" t="s">
        <v>137</v>
      </c>
      <c r="F23" s="2" t="s">
        <v>138</v>
      </c>
      <c r="G23" s="2"/>
      <c r="H23" s="2"/>
      <c r="I23" s="2"/>
      <c r="J23" s="2"/>
      <c r="K23" s="2"/>
      <c r="L23" s="2"/>
    </row>
    <row r="24" spans="1:12">
      <c r="A24" s="2"/>
      <c r="B24" s="2" t="s">
        <v>139</v>
      </c>
      <c r="C24" s="2" t="s">
        <v>140</v>
      </c>
      <c r="D24" s="2"/>
      <c r="E24" s="2" t="s">
        <v>141</v>
      </c>
      <c r="F24" s="2"/>
      <c r="G24" s="2"/>
      <c r="H24" s="2"/>
      <c r="I24" s="2"/>
      <c r="J24" s="2"/>
      <c r="K24" s="2"/>
      <c r="L24" s="2"/>
    </row>
    <row r="25" spans="1:12">
      <c r="A25" s="2"/>
      <c r="B25" s="2" t="s">
        <v>142</v>
      </c>
      <c r="C25" s="2" t="s">
        <v>143</v>
      </c>
      <c r="D25" s="2"/>
      <c r="E25" s="2" t="s">
        <v>144</v>
      </c>
      <c r="F25" s="2"/>
      <c r="G25" s="2"/>
      <c r="H25" s="2"/>
      <c r="I25" s="2"/>
      <c r="J25" s="2"/>
      <c r="K25" s="2"/>
      <c r="L25" s="2"/>
    </row>
    <row r="26" spans="1:12">
      <c r="A26" s="2"/>
      <c r="B26" s="2" t="s">
        <v>145</v>
      </c>
      <c r="C26" s="2" t="s">
        <v>146</v>
      </c>
      <c r="D26" s="2"/>
      <c r="E26" s="2" t="s">
        <v>147</v>
      </c>
      <c r="F26" s="2"/>
      <c r="G26" s="2"/>
      <c r="H26" s="2"/>
      <c r="I26" s="2"/>
      <c r="J26" s="2"/>
      <c r="K26" s="2"/>
      <c r="L26" s="2"/>
    </row>
    <row r="27" spans="1:12">
      <c r="A27" s="2"/>
      <c r="B27" s="2" t="s">
        <v>17</v>
      </c>
      <c r="C27" s="2" t="s">
        <v>148</v>
      </c>
      <c r="D27" s="2"/>
      <c r="E27" s="2" t="s">
        <v>149</v>
      </c>
      <c r="F27" s="2"/>
      <c r="G27" s="2"/>
      <c r="H27" s="2"/>
      <c r="I27" s="2"/>
      <c r="J27" s="2"/>
      <c r="K27" s="2"/>
      <c r="L27" s="2"/>
    </row>
    <row r="28" spans="1:12">
      <c r="A28" s="2"/>
      <c r="B28" s="2"/>
      <c r="C28" s="2" t="s">
        <v>150</v>
      </c>
      <c r="D28" s="2"/>
      <c r="E28" s="2" t="s">
        <v>151</v>
      </c>
      <c r="F28" s="2"/>
      <c r="G28" s="2"/>
      <c r="H28" s="2"/>
      <c r="I28" s="2"/>
      <c r="J28" s="2"/>
      <c r="K28" s="2"/>
      <c r="L28" s="2"/>
    </row>
    <row r="29" spans="1:12">
      <c r="A29" s="2"/>
      <c r="B29" s="2"/>
      <c r="C29" s="2" t="s">
        <v>152</v>
      </c>
      <c r="D29" s="2"/>
      <c r="E29" s="2" t="s">
        <v>153</v>
      </c>
      <c r="F29" s="2"/>
      <c r="G29" s="2"/>
      <c r="H29" s="2"/>
      <c r="I29" s="2"/>
      <c r="J29" s="2"/>
      <c r="K29" s="2"/>
      <c r="L29" s="2"/>
    </row>
    <row r="30" spans="1:12">
      <c r="A30" s="2"/>
      <c r="B30" s="2"/>
      <c r="C30" s="2" t="s">
        <v>154</v>
      </c>
      <c r="D30" s="2"/>
      <c r="E30" s="2" t="s">
        <v>155</v>
      </c>
      <c r="F30" s="2"/>
      <c r="G30" s="2"/>
      <c r="H30" s="2"/>
      <c r="I30" s="2"/>
      <c r="J30" s="2"/>
      <c r="K30" s="2"/>
      <c r="L30" s="2"/>
    </row>
    <row r="31" spans="1:12">
      <c r="A31" s="2"/>
      <c r="B31" s="2"/>
      <c r="C31" s="2" t="s">
        <v>156</v>
      </c>
      <c r="D31" s="2"/>
      <c r="E31" s="2" t="s">
        <v>157</v>
      </c>
      <c r="F31" s="2"/>
      <c r="G31" s="2"/>
      <c r="H31" s="2"/>
      <c r="I31" s="2"/>
      <c r="J31" s="2"/>
      <c r="K31" s="2"/>
      <c r="L31" s="2"/>
    </row>
    <row r="32" spans="1:12">
      <c r="A32" s="2"/>
      <c r="B32" s="2"/>
      <c r="C32" s="2"/>
      <c r="D32" s="2"/>
      <c r="E32" s="2" t="s">
        <v>158</v>
      </c>
      <c r="F32" s="2"/>
      <c r="G32" s="2"/>
      <c r="H32" s="2"/>
      <c r="I32" s="2"/>
      <c r="J32" s="2"/>
      <c r="K32" s="2"/>
      <c r="L32" s="2"/>
    </row>
    <row r="33" spans="1:12">
      <c r="A33" s="2"/>
      <c r="B33" s="2"/>
      <c r="C33" s="2"/>
      <c r="D33" s="2"/>
      <c r="E33" s="2" t="s">
        <v>159</v>
      </c>
      <c r="F33" s="2"/>
      <c r="G33" s="2"/>
      <c r="H33" s="2"/>
      <c r="I33" s="2"/>
      <c r="J33" s="2"/>
      <c r="K33" s="2"/>
      <c r="L33" s="2"/>
    </row>
    <row r="34" spans="1:12">
      <c r="A34" s="2"/>
      <c r="B34" s="2"/>
      <c r="C34" s="2"/>
      <c r="D34" s="2"/>
      <c r="E34" s="2" t="s">
        <v>160</v>
      </c>
      <c r="F34" s="2"/>
      <c r="G34" s="2"/>
      <c r="H34" s="2"/>
      <c r="I34" s="2"/>
      <c r="J34" s="2"/>
      <c r="K34" s="2"/>
      <c r="L34" s="2"/>
    </row>
    <row r="35" spans="1:12">
      <c r="A35" s="2"/>
      <c r="B35" s="2"/>
      <c r="C35" s="2"/>
      <c r="D35" s="2"/>
      <c r="E35" s="2" t="s">
        <v>161</v>
      </c>
      <c r="F35" s="2"/>
      <c r="G35" s="2"/>
      <c r="H35" s="2"/>
      <c r="I35" s="2"/>
      <c r="J35" s="2"/>
      <c r="K35" s="2"/>
      <c r="L35" s="2"/>
    </row>
    <row r="36" spans="1:12">
      <c r="A36" s="2"/>
      <c r="B36" s="2"/>
      <c r="C36" s="2"/>
      <c r="D36" s="2"/>
      <c r="E36" s="2" t="s">
        <v>162</v>
      </c>
      <c r="F36" s="2"/>
      <c r="G36" s="2"/>
      <c r="H36" s="2"/>
      <c r="I36" s="2"/>
      <c r="J36" s="2"/>
      <c r="K36" s="2"/>
      <c r="L36" s="2"/>
    </row>
    <row r="37" spans="1:12">
      <c r="A37" s="2"/>
      <c r="B37" s="2"/>
      <c r="C37" s="2"/>
      <c r="D37" s="2"/>
      <c r="E37" s="2" t="s">
        <v>163</v>
      </c>
      <c r="F37" s="2"/>
      <c r="G37" s="2"/>
      <c r="H37" s="2"/>
      <c r="I37" s="2"/>
      <c r="J37" s="2"/>
      <c r="K37" s="2"/>
      <c r="L37" s="2"/>
    </row>
    <row r="38" spans="1:12">
      <c r="A38" s="2"/>
      <c r="B38" s="2"/>
      <c r="C38" s="2"/>
      <c r="D38" s="2"/>
      <c r="E38" s="2" t="s">
        <v>164</v>
      </c>
      <c r="F38" s="2"/>
      <c r="G38" s="2"/>
      <c r="H38" s="2"/>
      <c r="I38" s="2"/>
      <c r="J38" s="2"/>
      <c r="K38" s="2"/>
      <c r="L38" s="2"/>
    </row>
    <row r="39" spans="1:12">
      <c r="A39" s="2"/>
      <c r="B39" s="2"/>
      <c r="C39" s="2"/>
      <c r="D39" s="2"/>
      <c r="E39" s="2" t="s">
        <v>165</v>
      </c>
      <c r="F39" s="2"/>
      <c r="G39" s="2"/>
      <c r="H39" s="2"/>
      <c r="I39" s="2"/>
      <c r="J39" s="2"/>
      <c r="K39" s="2"/>
      <c r="L39" s="2"/>
    </row>
    <row r="40" spans="1:12">
      <c r="A40" s="2"/>
      <c r="B40" s="2"/>
      <c r="C40" s="2"/>
      <c r="D40" s="2"/>
      <c r="E40" s="2" t="s">
        <v>166</v>
      </c>
      <c r="F40" s="2"/>
      <c r="G40" s="2"/>
      <c r="H40" s="2"/>
      <c r="I40" s="2"/>
      <c r="J40" s="2"/>
      <c r="K40" s="2"/>
      <c r="L40" s="2"/>
    </row>
    <row r="41" spans="1:12">
      <c r="A41" s="2"/>
      <c r="B41" s="2"/>
      <c r="C41" s="2"/>
      <c r="D41" s="2"/>
      <c r="E41" s="2" t="s">
        <v>167</v>
      </c>
      <c r="F41" s="2"/>
      <c r="G41" s="2"/>
      <c r="H41" s="2"/>
      <c r="I41" s="2"/>
      <c r="J41" s="2"/>
      <c r="K41" s="2"/>
      <c r="L41" s="2"/>
    </row>
    <row r="42" spans="1:12">
      <c r="A42" s="2"/>
      <c r="B42" s="2"/>
      <c r="C42" s="2"/>
      <c r="D42" s="2"/>
      <c r="E42" s="2" t="s">
        <v>168</v>
      </c>
      <c r="F42" s="2"/>
      <c r="G42" s="2"/>
      <c r="H42" s="2"/>
      <c r="I42" s="2"/>
      <c r="J42" s="2"/>
      <c r="K42" s="2"/>
      <c r="L42" s="2"/>
    </row>
    <row r="43" spans="1:12">
      <c r="A43" s="2"/>
      <c r="B43" s="2"/>
      <c r="C43" s="2"/>
      <c r="D43" s="2"/>
      <c r="E43" s="2" t="s">
        <v>169</v>
      </c>
      <c r="F43" s="2"/>
      <c r="G43" s="2"/>
      <c r="H43" s="2"/>
      <c r="I43" s="2"/>
      <c r="J43" s="2"/>
      <c r="K43" s="2"/>
      <c r="L43" s="2"/>
    </row>
    <row r="44" spans="1:12">
      <c r="A44" s="2"/>
      <c r="B44" s="2"/>
      <c r="C44" s="2"/>
      <c r="D44" s="2"/>
      <c r="E44" s="2" t="s">
        <v>170</v>
      </c>
      <c r="F44" s="2"/>
      <c r="G44" s="2"/>
      <c r="H44" s="2"/>
      <c r="I44" s="2"/>
      <c r="J44" s="2"/>
      <c r="K44" s="2"/>
      <c r="L44" s="2"/>
    </row>
    <row r="45" spans="1:12">
      <c r="A45" s="2"/>
      <c r="B45" s="2"/>
      <c r="C45" s="2"/>
      <c r="D45" s="2"/>
      <c r="E45" s="2" t="s">
        <v>171</v>
      </c>
      <c r="F45" s="2"/>
      <c r="G45" s="2"/>
      <c r="H45" s="2"/>
      <c r="I45" s="2"/>
      <c r="J45" s="2"/>
      <c r="K45" s="2"/>
      <c r="L45" s="2"/>
    </row>
    <row r="46" spans="1:12">
      <c r="A46" s="2"/>
      <c r="B46" s="2"/>
      <c r="C46" s="2"/>
      <c r="D46" s="2"/>
      <c r="E46" s="2" t="s">
        <v>172</v>
      </c>
      <c r="F46" s="2"/>
      <c r="G46" s="2"/>
      <c r="H46" s="2"/>
      <c r="I46" s="2"/>
      <c r="J46" s="2"/>
      <c r="K46" s="2"/>
      <c r="L46" s="2"/>
    </row>
    <row r="47" spans="1:12">
      <c r="A47" s="2"/>
      <c r="B47" s="2"/>
      <c r="C47" s="2"/>
      <c r="D47" s="2"/>
      <c r="E47" s="2" t="s">
        <v>173</v>
      </c>
      <c r="F47" s="2"/>
      <c r="G47" s="2"/>
      <c r="H47" s="2"/>
      <c r="I47" s="2"/>
      <c r="J47" s="2"/>
      <c r="K47" s="2"/>
      <c r="L47" s="2"/>
    </row>
    <row r="48" spans="1:12">
      <c r="A48" s="2"/>
      <c r="B48" s="2"/>
      <c r="C48" s="2"/>
      <c r="D48" s="2"/>
      <c r="E48" s="2" t="s">
        <v>174</v>
      </c>
      <c r="F48" s="2"/>
      <c r="G48" s="2"/>
      <c r="H48" s="2"/>
      <c r="I48" s="2"/>
      <c r="J48" s="2"/>
      <c r="K48" s="2"/>
      <c r="L48" s="2"/>
    </row>
    <row r="49" spans="1:12">
      <c r="A49" s="2"/>
      <c r="B49" s="2"/>
      <c r="C49" s="2"/>
      <c r="D49" s="2"/>
      <c r="E49" s="2" t="s">
        <v>175</v>
      </c>
      <c r="F49" s="2"/>
      <c r="G49" s="2"/>
      <c r="H49" s="2"/>
      <c r="I49" s="2"/>
      <c r="J49" s="2"/>
      <c r="K49" s="2"/>
      <c r="L49" s="2"/>
    </row>
    <row r="50" spans="1:12">
      <c r="E50" s="2" t="s">
        <v>176</v>
      </c>
    </row>
  </sheetData>
  <sortState xmlns:xlrd2="http://schemas.microsoft.com/office/spreadsheetml/2017/richdata2" ref="B3:B12">
    <sortCondition ref="B3:B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15AE-9894-4CA3-8EC6-316D46A1DD7A}">
  <sheetPr>
    <tabColor theme="5"/>
  </sheetPr>
  <dimension ref="A1:M149"/>
  <sheetViews>
    <sheetView zoomScaleNormal="100" workbookViewId="0">
      <pane ySplit="1" topLeftCell="A106" activePane="bottomLeft" state="frozen"/>
      <selection activeCell="A6" sqref="A6"/>
      <selection pane="bottomLeft" activeCell="A107" sqref="A107"/>
    </sheetView>
  </sheetViews>
  <sheetFormatPr baseColWidth="10" defaultColWidth="9.125" defaultRowHeight="14.25"/>
  <cols>
    <col min="1" max="3" width="19.125" style="13" customWidth="1"/>
    <col min="4" max="5" width="16.375" style="13" customWidth="1"/>
    <col min="6" max="6" width="21.875" style="13" customWidth="1"/>
    <col min="7" max="7" width="53.125" style="13" customWidth="1"/>
    <col min="8" max="8" width="22.625" style="13" customWidth="1"/>
    <col min="9" max="9" width="20.875" style="13" customWidth="1"/>
    <col min="10" max="11" width="31.125" style="13" customWidth="1"/>
    <col min="12" max="12" width="26" style="16" customWidth="1"/>
    <col min="13" max="13" width="42.625" style="16" customWidth="1"/>
    <col min="14" max="16384" width="9.125" style="13"/>
  </cols>
  <sheetData>
    <row r="1" spans="1:13" ht="42" customHeight="1">
      <c r="A1" s="13" t="s">
        <v>177</v>
      </c>
      <c r="B1" s="13" t="s">
        <v>178</v>
      </c>
      <c r="C1" s="13" t="s">
        <v>8</v>
      </c>
      <c r="D1" s="13" t="s">
        <v>179</v>
      </c>
      <c r="E1" s="13" t="s">
        <v>180</v>
      </c>
      <c r="F1" s="13" t="s">
        <v>181</v>
      </c>
      <c r="G1" s="13" t="s">
        <v>182</v>
      </c>
      <c r="H1" s="13" t="s">
        <v>183</v>
      </c>
      <c r="I1" s="13" t="s">
        <v>184</v>
      </c>
      <c r="J1" s="13" t="s">
        <v>185</v>
      </c>
      <c r="K1" s="13" t="s">
        <v>2</v>
      </c>
      <c r="L1" s="13" t="s">
        <v>186</v>
      </c>
      <c r="M1" s="13" t="s">
        <v>187</v>
      </c>
    </row>
    <row r="2" spans="1:13" ht="57">
      <c r="A2" s="14">
        <v>45670</v>
      </c>
      <c r="B2" s="14" t="str">
        <f t="shared" ref="B2:B33" si="0">TEXT(A2,"MMM")</f>
        <v>ene</v>
      </c>
      <c r="C2" s="13" t="s">
        <v>188</v>
      </c>
      <c r="D2" s="13" t="s">
        <v>189</v>
      </c>
      <c r="E2" s="13" t="s">
        <v>97</v>
      </c>
      <c r="F2" s="13" t="s">
        <v>190</v>
      </c>
      <c r="G2" s="13" t="s">
        <v>191</v>
      </c>
      <c r="H2" s="15">
        <v>300000000</v>
      </c>
      <c r="I2" s="15">
        <v>0</v>
      </c>
      <c r="J2" s="15">
        <f t="shared" ref="J2:J26" si="1">SUM(H2+I2)</f>
        <v>300000000</v>
      </c>
      <c r="K2" s="13" t="s">
        <v>192</v>
      </c>
      <c r="L2" s="16" t="s">
        <v>192</v>
      </c>
      <c r="M2" s="15" t="s">
        <v>192</v>
      </c>
    </row>
    <row r="3" spans="1:13" ht="42.75">
      <c r="A3" s="14">
        <v>45670</v>
      </c>
      <c r="B3" s="14" t="str">
        <f t="shared" si="0"/>
        <v>ene</v>
      </c>
      <c r="C3" s="13" t="s">
        <v>188</v>
      </c>
      <c r="D3" s="13" t="s">
        <v>193</v>
      </c>
      <c r="E3" s="13" t="s">
        <v>97</v>
      </c>
      <c r="F3" s="13" t="s">
        <v>194</v>
      </c>
      <c r="G3" s="13" t="s">
        <v>195</v>
      </c>
      <c r="H3" s="15">
        <v>329630000</v>
      </c>
      <c r="I3" s="15">
        <v>0</v>
      </c>
      <c r="J3" s="15">
        <f t="shared" si="1"/>
        <v>329630000</v>
      </c>
      <c r="K3" s="13" t="s">
        <v>101</v>
      </c>
      <c r="L3" s="13" t="s">
        <v>196</v>
      </c>
      <c r="M3" s="15" t="s">
        <v>192</v>
      </c>
    </row>
    <row r="4" spans="1:13" ht="114">
      <c r="A4" s="14">
        <v>45670</v>
      </c>
      <c r="B4" s="14" t="str">
        <f t="shared" si="0"/>
        <v>ene</v>
      </c>
      <c r="C4" s="13" t="s">
        <v>188</v>
      </c>
      <c r="D4" s="13" t="s">
        <v>197</v>
      </c>
      <c r="E4" s="13" t="s">
        <v>97</v>
      </c>
      <c r="F4" s="13" t="s">
        <v>198</v>
      </c>
      <c r="G4" s="13" t="s">
        <v>199</v>
      </c>
      <c r="H4" s="15">
        <v>1900000000</v>
      </c>
      <c r="I4" s="15">
        <v>0</v>
      </c>
      <c r="J4" s="15">
        <f t="shared" si="1"/>
        <v>1900000000</v>
      </c>
      <c r="K4" s="13" t="s">
        <v>78</v>
      </c>
      <c r="L4" s="16" t="s">
        <v>200</v>
      </c>
      <c r="M4" s="15" t="s">
        <v>192</v>
      </c>
    </row>
    <row r="5" spans="1:13" ht="71.25">
      <c r="A5" s="14">
        <v>45679</v>
      </c>
      <c r="B5" s="14" t="str">
        <f t="shared" si="0"/>
        <v>ene</v>
      </c>
      <c r="C5" s="13" t="s">
        <v>188</v>
      </c>
      <c r="D5" s="13" t="s">
        <v>201</v>
      </c>
      <c r="E5" s="13" t="s">
        <v>97</v>
      </c>
      <c r="F5" s="13" t="s">
        <v>202</v>
      </c>
      <c r="G5" s="13" t="s">
        <v>203</v>
      </c>
      <c r="H5" s="15">
        <v>318000000</v>
      </c>
      <c r="I5" s="15">
        <v>0</v>
      </c>
      <c r="J5" s="15">
        <f t="shared" si="1"/>
        <v>318000000</v>
      </c>
      <c r="K5" s="13" t="s">
        <v>89</v>
      </c>
      <c r="L5" s="16" t="s">
        <v>204</v>
      </c>
      <c r="M5" s="15" t="s">
        <v>192</v>
      </c>
    </row>
    <row r="6" spans="1:13" ht="85.5">
      <c r="A6" s="14">
        <v>45685</v>
      </c>
      <c r="B6" s="14" t="str">
        <f t="shared" si="0"/>
        <v>ene</v>
      </c>
      <c r="C6" s="13" t="s">
        <v>38</v>
      </c>
      <c r="D6" s="13" t="s">
        <v>205</v>
      </c>
      <c r="E6" s="13" t="s">
        <v>97</v>
      </c>
      <c r="F6" s="13" t="s">
        <v>206</v>
      </c>
      <c r="G6" s="13" t="s">
        <v>207</v>
      </c>
      <c r="H6" s="15">
        <v>418000000</v>
      </c>
      <c r="I6" s="15">
        <v>0</v>
      </c>
      <c r="J6" s="15">
        <f t="shared" si="1"/>
        <v>418000000</v>
      </c>
      <c r="K6" s="13" t="s">
        <v>113</v>
      </c>
      <c r="L6" s="13" t="s">
        <v>196</v>
      </c>
      <c r="M6" s="15" t="s">
        <v>192</v>
      </c>
    </row>
    <row r="7" spans="1:13" ht="85.5">
      <c r="A7" s="14">
        <v>45686</v>
      </c>
      <c r="B7" s="14" t="str">
        <f t="shared" si="0"/>
        <v>ene</v>
      </c>
      <c r="C7" s="13" t="s">
        <v>188</v>
      </c>
      <c r="D7" s="13" t="s">
        <v>208</v>
      </c>
      <c r="E7" s="13" t="s">
        <v>97</v>
      </c>
      <c r="F7" s="13" t="s">
        <v>209</v>
      </c>
      <c r="G7" s="13" t="s">
        <v>210</v>
      </c>
      <c r="H7" s="15">
        <v>696050000</v>
      </c>
      <c r="I7" s="15">
        <v>0</v>
      </c>
      <c r="J7" s="15">
        <f t="shared" si="1"/>
        <v>696050000</v>
      </c>
      <c r="K7" s="13" t="s">
        <v>89</v>
      </c>
      <c r="L7" s="16" t="s">
        <v>200</v>
      </c>
      <c r="M7" s="15" t="s">
        <v>211</v>
      </c>
    </row>
    <row r="8" spans="1:13" ht="114">
      <c r="A8" s="14">
        <v>45687</v>
      </c>
      <c r="B8" s="14" t="str">
        <f t="shared" si="0"/>
        <v>ene</v>
      </c>
      <c r="C8" s="13" t="s">
        <v>32</v>
      </c>
      <c r="D8" s="13" t="s">
        <v>212</v>
      </c>
      <c r="E8" s="13" t="s">
        <v>97</v>
      </c>
      <c r="F8" s="13" t="s">
        <v>213</v>
      </c>
      <c r="G8" s="13" t="s">
        <v>214</v>
      </c>
      <c r="H8" s="15">
        <v>800000000</v>
      </c>
      <c r="I8" s="15">
        <v>0</v>
      </c>
      <c r="J8" s="15">
        <f t="shared" si="1"/>
        <v>800000000</v>
      </c>
      <c r="K8" s="13" t="s">
        <v>84</v>
      </c>
      <c r="L8" s="16" t="s">
        <v>200</v>
      </c>
      <c r="M8" s="13"/>
    </row>
    <row r="9" spans="1:13" ht="128.25">
      <c r="A9" s="14">
        <v>45688</v>
      </c>
      <c r="B9" s="14" t="str">
        <f t="shared" si="0"/>
        <v>ene</v>
      </c>
      <c r="C9" s="13" t="s">
        <v>188</v>
      </c>
      <c r="D9" s="13" t="s">
        <v>215</v>
      </c>
      <c r="E9" s="13" t="s">
        <v>97</v>
      </c>
      <c r="F9" s="13" t="s">
        <v>216</v>
      </c>
      <c r="G9" s="13" t="s">
        <v>217</v>
      </c>
      <c r="H9" s="15">
        <v>16000000000</v>
      </c>
      <c r="I9" s="15">
        <v>1600000000</v>
      </c>
      <c r="J9" s="15">
        <f t="shared" si="1"/>
        <v>17600000000</v>
      </c>
      <c r="K9" s="13" t="s">
        <v>65</v>
      </c>
      <c r="L9" s="13" t="s">
        <v>218</v>
      </c>
      <c r="M9" s="15"/>
    </row>
    <row r="10" spans="1:13" ht="99.75">
      <c r="A10" s="14">
        <v>45694</v>
      </c>
      <c r="B10" s="14" t="str">
        <f t="shared" si="0"/>
        <v>feb</v>
      </c>
      <c r="C10" s="13" t="s">
        <v>188</v>
      </c>
      <c r="D10" s="13" t="s">
        <v>219</v>
      </c>
      <c r="E10" s="13" t="s">
        <v>97</v>
      </c>
      <c r="F10" s="13" t="s">
        <v>220</v>
      </c>
      <c r="G10" s="13" t="s">
        <v>221</v>
      </c>
      <c r="H10" s="15">
        <v>7842000</v>
      </c>
      <c r="I10" s="15">
        <v>0</v>
      </c>
      <c r="J10" s="15">
        <f t="shared" si="1"/>
        <v>7842000</v>
      </c>
      <c r="K10" s="13" t="s">
        <v>222</v>
      </c>
      <c r="L10" s="15" t="s">
        <v>223</v>
      </c>
      <c r="M10" s="15" t="s">
        <v>224</v>
      </c>
    </row>
    <row r="11" spans="1:13" ht="99.75">
      <c r="A11" s="14">
        <v>45699</v>
      </c>
      <c r="B11" s="14" t="str">
        <f t="shared" si="0"/>
        <v>feb</v>
      </c>
      <c r="C11" s="13" t="s">
        <v>225</v>
      </c>
      <c r="D11" s="13" t="s">
        <v>226</v>
      </c>
      <c r="E11" s="13" t="s">
        <v>97</v>
      </c>
      <c r="F11" s="13" t="s">
        <v>227</v>
      </c>
      <c r="G11" s="13" t="s">
        <v>228</v>
      </c>
      <c r="H11" s="15">
        <v>1562512000</v>
      </c>
      <c r="I11" s="15">
        <v>0</v>
      </c>
      <c r="J11" s="15">
        <f t="shared" si="1"/>
        <v>1562512000</v>
      </c>
      <c r="K11" s="13" t="s">
        <v>84</v>
      </c>
      <c r="L11" s="13" t="s">
        <v>229</v>
      </c>
      <c r="M11" s="15" t="s">
        <v>192</v>
      </c>
    </row>
    <row r="12" spans="1:13" ht="156.75">
      <c r="A12" s="14">
        <v>45700</v>
      </c>
      <c r="B12" s="14" t="str">
        <f t="shared" si="0"/>
        <v>feb</v>
      </c>
      <c r="C12" s="13" t="s">
        <v>225</v>
      </c>
      <c r="D12" s="13" t="s">
        <v>230</v>
      </c>
      <c r="E12" s="13" t="s">
        <v>97</v>
      </c>
      <c r="F12" s="13" t="s">
        <v>231</v>
      </c>
      <c r="G12" s="13" t="s">
        <v>232</v>
      </c>
      <c r="H12" s="15">
        <v>55448960</v>
      </c>
      <c r="I12" s="15">
        <v>0</v>
      </c>
      <c r="J12" s="15">
        <f t="shared" si="1"/>
        <v>55448960</v>
      </c>
      <c r="K12" s="13" t="s">
        <v>49</v>
      </c>
      <c r="L12" s="13" t="s">
        <v>196</v>
      </c>
      <c r="M12" s="15" t="s">
        <v>192</v>
      </c>
    </row>
    <row r="13" spans="1:13" ht="128.25">
      <c r="A13" s="14">
        <v>45700</v>
      </c>
      <c r="B13" s="14" t="str">
        <f t="shared" si="0"/>
        <v>feb</v>
      </c>
      <c r="C13" s="13" t="s">
        <v>225</v>
      </c>
      <c r="D13" s="13" t="s">
        <v>233</v>
      </c>
      <c r="E13" s="13" t="s">
        <v>97</v>
      </c>
      <c r="F13" s="13" t="s">
        <v>234</v>
      </c>
      <c r="G13" s="13" t="s">
        <v>235</v>
      </c>
      <c r="H13" s="15">
        <v>744000000</v>
      </c>
      <c r="I13" s="15">
        <v>0</v>
      </c>
      <c r="J13" s="15">
        <f t="shared" si="1"/>
        <v>744000000</v>
      </c>
      <c r="K13" s="13" t="s">
        <v>78</v>
      </c>
      <c r="L13" s="16" t="s">
        <v>200</v>
      </c>
      <c r="M13" s="15" t="s">
        <v>192</v>
      </c>
    </row>
    <row r="14" spans="1:13" ht="71.25">
      <c r="A14" s="14">
        <v>45706</v>
      </c>
      <c r="B14" s="14" t="str">
        <f t="shared" si="0"/>
        <v>feb</v>
      </c>
      <c r="C14" s="13" t="s">
        <v>32</v>
      </c>
      <c r="D14" s="13" t="s">
        <v>236</v>
      </c>
      <c r="E14" s="13" t="s">
        <v>97</v>
      </c>
      <c r="F14" s="13" t="s">
        <v>237</v>
      </c>
      <c r="G14" s="13" t="s">
        <v>238</v>
      </c>
      <c r="H14" s="15">
        <v>22559943008</v>
      </c>
      <c r="I14" s="15">
        <v>0</v>
      </c>
      <c r="J14" s="15">
        <f t="shared" si="1"/>
        <v>22559943008</v>
      </c>
      <c r="K14" s="13" t="s">
        <v>57</v>
      </c>
      <c r="L14" s="16" t="s">
        <v>200</v>
      </c>
      <c r="M14" s="15" t="s">
        <v>239</v>
      </c>
    </row>
    <row r="15" spans="1:13" ht="57">
      <c r="A15" s="14">
        <v>45707</v>
      </c>
      <c r="B15" s="14" t="str">
        <f t="shared" si="0"/>
        <v>feb</v>
      </c>
      <c r="C15" s="13" t="s">
        <v>188</v>
      </c>
      <c r="D15" s="13" t="s">
        <v>240</v>
      </c>
      <c r="E15" s="13" t="s">
        <v>97</v>
      </c>
      <c r="F15" s="13" t="s">
        <v>241</v>
      </c>
      <c r="G15" s="13" t="s">
        <v>242</v>
      </c>
      <c r="H15" s="15">
        <f>59999778+122000000</f>
        <v>181999778</v>
      </c>
      <c r="I15" s="15">
        <v>0</v>
      </c>
      <c r="J15" s="15">
        <f t="shared" si="1"/>
        <v>181999778</v>
      </c>
      <c r="K15" s="13" t="s">
        <v>49</v>
      </c>
      <c r="L15" s="13" t="s">
        <v>243</v>
      </c>
      <c r="M15" s="15" t="s">
        <v>192</v>
      </c>
    </row>
    <row r="16" spans="1:13" ht="142.5">
      <c r="A16" s="14">
        <v>45708</v>
      </c>
      <c r="B16" s="14" t="str">
        <f t="shared" si="0"/>
        <v>feb</v>
      </c>
      <c r="C16" s="13" t="s">
        <v>244</v>
      </c>
      <c r="D16" s="13" t="s">
        <v>245</v>
      </c>
      <c r="E16" s="13" t="s">
        <v>246</v>
      </c>
      <c r="F16" s="13" t="s">
        <v>247</v>
      </c>
      <c r="G16" s="13" t="s">
        <v>248</v>
      </c>
      <c r="H16" s="15">
        <v>448525010</v>
      </c>
      <c r="I16" s="15">
        <v>0</v>
      </c>
      <c r="J16" s="15">
        <f t="shared" si="1"/>
        <v>448525010</v>
      </c>
      <c r="K16" s="13" t="s">
        <v>57</v>
      </c>
      <c r="L16" s="13" t="s">
        <v>249</v>
      </c>
      <c r="M16" s="15" t="s">
        <v>192</v>
      </c>
    </row>
    <row r="17" spans="1:13" ht="42.75">
      <c r="A17" s="14">
        <v>45708</v>
      </c>
      <c r="B17" s="14" t="str">
        <f t="shared" si="0"/>
        <v>feb</v>
      </c>
      <c r="C17" s="13" t="s">
        <v>38</v>
      </c>
      <c r="D17" s="13" t="s">
        <v>250</v>
      </c>
      <c r="E17" s="13" t="s">
        <v>97</v>
      </c>
      <c r="F17" s="13" t="s">
        <v>251</v>
      </c>
      <c r="G17" s="13" t="s">
        <v>252</v>
      </c>
      <c r="H17" s="15">
        <v>490000000</v>
      </c>
      <c r="I17" s="15">
        <v>0</v>
      </c>
      <c r="J17" s="15">
        <f t="shared" si="1"/>
        <v>490000000</v>
      </c>
      <c r="K17" s="13" t="s">
        <v>72</v>
      </c>
      <c r="L17" s="16" t="s">
        <v>200</v>
      </c>
      <c r="M17" s="15" t="s">
        <v>192</v>
      </c>
    </row>
    <row r="18" spans="1:13" ht="71.25">
      <c r="A18" s="14">
        <v>45709</v>
      </c>
      <c r="B18" s="14" t="str">
        <f t="shared" si="0"/>
        <v>feb</v>
      </c>
      <c r="C18" s="13" t="s">
        <v>188</v>
      </c>
      <c r="D18" s="13" t="s">
        <v>192</v>
      </c>
      <c r="E18" s="13" t="s">
        <v>97</v>
      </c>
      <c r="F18" s="13" t="s">
        <v>253</v>
      </c>
      <c r="G18" s="13" t="s">
        <v>254</v>
      </c>
      <c r="H18" s="15">
        <v>292500000</v>
      </c>
      <c r="I18" s="15">
        <v>0</v>
      </c>
      <c r="J18" s="15">
        <f t="shared" si="1"/>
        <v>292500000</v>
      </c>
      <c r="K18" s="13" t="s">
        <v>192</v>
      </c>
      <c r="L18" s="16" t="s">
        <v>200</v>
      </c>
      <c r="M18" s="15" t="s">
        <v>192</v>
      </c>
    </row>
    <row r="19" spans="1:13" ht="85.5">
      <c r="A19" s="14">
        <v>45720</v>
      </c>
      <c r="B19" s="14" t="str">
        <f t="shared" si="0"/>
        <v>mar</v>
      </c>
      <c r="C19" s="13" t="s">
        <v>38</v>
      </c>
      <c r="D19" s="13" t="s">
        <v>255</v>
      </c>
      <c r="E19" s="13" t="s">
        <v>97</v>
      </c>
      <c r="F19" s="13" t="s">
        <v>256</v>
      </c>
      <c r="G19" s="13" t="s">
        <v>257</v>
      </c>
      <c r="H19" s="15">
        <v>108000000</v>
      </c>
      <c r="I19" s="15">
        <v>0</v>
      </c>
      <c r="J19" s="15">
        <f t="shared" si="1"/>
        <v>108000000</v>
      </c>
      <c r="K19" s="13" t="s">
        <v>39</v>
      </c>
      <c r="L19" s="16" t="s">
        <v>200</v>
      </c>
      <c r="M19" s="15" t="s">
        <v>192</v>
      </c>
    </row>
    <row r="20" spans="1:13" ht="128.25">
      <c r="A20" s="14">
        <v>45720</v>
      </c>
      <c r="B20" s="14" t="str">
        <f t="shared" si="0"/>
        <v>mar</v>
      </c>
      <c r="C20" s="13" t="s">
        <v>225</v>
      </c>
      <c r="D20" s="13" t="s">
        <v>258</v>
      </c>
      <c r="E20" s="13" t="s">
        <v>97</v>
      </c>
      <c r="F20" s="13" t="s">
        <v>259</v>
      </c>
      <c r="G20" s="13" t="s">
        <v>260</v>
      </c>
      <c r="H20" s="15">
        <v>800000000</v>
      </c>
      <c r="I20" s="15">
        <v>0</v>
      </c>
      <c r="J20" s="15">
        <f t="shared" si="1"/>
        <v>800000000</v>
      </c>
      <c r="K20" s="13" t="s">
        <v>78</v>
      </c>
      <c r="L20" s="16" t="s">
        <v>200</v>
      </c>
      <c r="M20" s="15" t="s">
        <v>192</v>
      </c>
    </row>
    <row r="21" spans="1:13" ht="142.5">
      <c r="A21" s="14">
        <v>45720</v>
      </c>
      <c r="B21" s="14" t="str">
        <f t="shared" si="0"/>
        <v>mar</v>
      </c>
      <c r="C21" s="13" t="s">
        <v>188</v>
      </c>
      <c r="D21" s="13" t="s">
        <v>261</v>
      </c>
      <c r="E21" s="13" t="s">
        <v>97</v>
      </c>
      <c r="F21" s="13" t="s">
        <v>227</v>
      </c>
      <c r="G21" s="13" t="s">
        <v>262</v>
      </c>
      <c r="H21" s="15">
        <v>6850084165</v>
      </c>
      <c r="I21" s="15">
        <v>0</v>
      </c>
      <c r="J21" s="15">
        <f t="shared" si="1"/>
        <v>6850084165</v>
      </c>
      <c r="K21" s="13" t="s">
        <v>101</v>
      </c>
      <c r="L21" s="16" t="s">
        <v>263</v>
      </c>
      <c r="M21" s="15" t="s">
        <v>192</v>
      </c>
    </row>
    <row r="22" spans="1:13" ht="42.75">
      <c r="A22" s="14">
        <v>45723</v>
      </c>
      <c r="B22" s="14" t="str">
        <f t="shared" si="0"/>
        <v>mar</v>
      </c>
      <c r="C22" s="13" t="s">
        <v>188</v>
      </c>
      <c r="D22" s="13" t="s">
        <v>264</v>
      </c>
      <c r="E22" s="13" t="s">
        <v>97</v>
      </c>
      <c r="F22" s="13" t="s">
        <v>194</v>
      </c>
      <c r="G22" s="13" t="s">
        <v>265</v>
      </c>
      <c r="H22" s="15">
        <v>352000000</v>
      </c>
      <c r="I22" s="15">
        <v>0</v>
      </c>
      <c r="J22" s="15">
        <f t="shared" si="1"/>
        <v>352000000</v>
      </c>
      <c r="K22" s="13" t="s">
        <v>72</v>
      </c>
      <c r="L22" s="13" t="s">
        <v>266</v>
      </c>
      <c r="M22" s="15" t="s">
        <v>192</v>
      </c>
    </row>
    <row r="23" spans="1:13" ht="99.75">
      <c r="A23" s="14">
        <v>45726</v>
      </c>
      <c r="B23" s="14" t="str">
        <f t="shared" si="0"/>
        <v>mar</v>
      </c>
      <c r="C23" s="13" t="s">
        <v>38</v>
      </c>
      <c r="D23" s="13" t="s">
        <v>267</v>
      </c>
      <c r="E23" s="13" t="s">
        <v>97</v>
      </c>
      <c r="F23" s="13" t="s">
        <v>268</v>
      </c>
      <c r="G23" s="13" t="s">
        <v>269</v>
      </c>
      <c r="H23" s="15">
        <v>1600000000</v>
      </c>
      <c r="I23" s="15">
        <v>0</v>
      </c>
      <c r="J23" s="15">
        <f t="shared" si="1"/>
        <v>1600000000</v>
      </c>
      <c r="K23" s="13" t="s">
        <v>89</v>
      </c>
      <c r="L23" s="13" t="s">
        <v>196</v>
      </c>
      <c r="M23" s="15" t="s">
        <v>192</v>
      </c>
    </row>
    <row r="24" spans="1:13" ht="99.75">
      <c r="A24" s="14">
        <v>45729</v>
      </c>
      <c r="B24" s="14" t="str">
        <f t="shared" si="0"/>
        <v>mar</v>
      </c>
      <c r="C24" s="13" t="s">
        <v>32</v>
      </c>
      <c r="D24" s="13" t="s">
        <v>270</v>
      </c>
      <c r="E24" s="13" t="s">
        <v>97</v>
      </c>
      <c r="F24" s="13" t="s">
        <v>271</v>
      </c>
      <c r="G24" s="13" t="s">
        <v>272</v>
      </c>
      <c r="H24" s="15">
        <v>0</v>
      </c>
      <c r="I24" s="15">
        <v>0</v>
      </c>
      <c r="J24" s="15">
        <f t="shared" si="1"/>
        <v>0</v>
      </c>
      <c r="K24" s="13" t="s">
        <v>101</v>
      </c>
      <c r="L24" s="16" t="s">
        <v>273</v>
      </c>
      <c r="M24" s="15" t="s">
        <v>192</v>
      </c>
    </row>
    <row r="25" spans="1:13" ht="99.75">
      <c r="A25" s="14">
        <v>45729</v>
      </c>
      <c r="B25" s="14" t="str">
        <f t="shared" si="0"/>
        <v>mar</v>
      </c>
      <c r="C25" s="13" t="s">
        <v>225</v>
      </c>
      <c r="D25" s="13" t="s">
        <v>274</v>
      </c>
      <c r="E25" s="13" t="s">
        <v>97</v>
      </c>
      <c r="F25" s="13" t="s">
        <v>275</v>
      </c>
      <c r="G25" s="13" t="s">
        <v>276</v>
      </c>
      <c r="H25" s="15">
        <v>59223000</v>
      </c>
      <c r="I25" s="15">
        <v>0</v>
      </c>
      <c r="J25" s="15">
        <f t="shared" si="1"/>
        <v>59223000</v>
      </c>
      <c r="K25" s="13" t="s">
        <v>39</v>
      </c>
      <c r="L25" s="13" t="s">
        <v>196</v>
      </c>
      <c r="M25" s="15" t="s">
        <v>192</v>
      </c>
    </row>
    <row r="26" spans="1:13" ht="99.75">
      <c r="A26" s="14">
        <v>45729</v>
      </c>
      <c r="B26" s="14" t="str">
        <f t="shared" si="0"/>
        <v>mar</v>
      </c>
      <c r="C26" s="13" t="s">
        <v>38</v>
      </c>
      <c r="D26" s="13" t="s">
        <v>255</v>
      </c>
      <c r="E26" s="13" t="s">
        <v>97</v>
      </c>
      <c r="F26" s="13" t="s">
        <v>256</v>
      </c>
      <c r="G26" s="13" t="s">
        <v>277</v>
      </c>
      <c r="H26" s="15">
        <v>90000000</v>
      </c>
      <c r="I26" s="15">
        <v>0</v>
      </c>
      <c r="J26" s="15">
        <f t="shared" si="1"/>
        <v>90000000</v>
      </c>
      <c r="K26" s="13" t="s">
        <v>39</v>
      </c>
      <c r="L26" s="13" t="s">
        <v>278</v>
      </c>
      <c r="M26" s="15" t="s">
        <v>192</v>
      </c>
    </row>
    <row r="27" spans="1:13" ht="57">
      <c r="A27" s="14">
        <v>45729</v>
      </c>
      <c r="B27" s="14" t="str">
        <f t="shared" si="0"/>
        <v>mar</v>
      </c>
      <c r="C27" s="13" t="s">
        <v>38</v>
      </c>
      <c r="D27" s="13" t="s">
        <v>279</v>
      </c>
      <c r="E27" s="13" t="s">
        <v>97</v>
      </c>
      <c r="F27" s="13" t="s">
        <v>280</v>
      </c>
      <c r="G27" s="13" t="s">
        <v>281</v>
      </c>
      <c r="H27" s="15">
        <v>511656000</v>
      </c>
      <c r="I27" s="15">
        <v>0</v>
      </c>
      <c r="J27" s="15">
        <v>511656000</v>
      </c>
      <c r="K27" s="13" t="s">
        <v>89</v>
      </c>
      <c r="L27" s="13" t="s">
        <v>282</v>
      </c>
      <c r="M27" s="15" t="s">
        <v>283</v>
      </c>
    </row>
    <row r="28" spans="1:13" ht="71.25">
      <c r="A28" s="14">
        <v>45733</v>
      </c>
      <c r="B28" s="14" t="str">
        <f t="shared" si="0"/>
        <v>mar</v>
      </c>
      <c r="C28" s="13" t="s">
        <v>188</v>
      </c>
      <c r="D28" s="13" t="s">
        <v>240</v>
      </c>
      <c r="E28" s="13" t="s">
        <v>97</v>
      </c>
      <c r="F28" s="13" t="s">
        <v>284</v>
      </c>
      <c r="G28" s="13" t="s">
        <v>285</v>
      </c>
      <c r="H28" s="15">
        <v>115000000</v>
      </c>
      <c r="I28" s="15">
        <v>0</v>
      </c>
      <c r="J28" s="15">
        <f t="shared" ref="J28:J59" si="2">SUM(H28+I28)</f>
        <v>115000000</v>
      </c>
      <c r="K28" s="13" t="s">
        <v>57</v>
      </c>
      <c r="L28" s="13" t="s">
        <v>286</v>
      </c>
      <c r="M28" s="15" t="s">
        <v>192</v>
      </c>
    </row>
    <row r="29" spans="1:13" ht="71.25">
      <c r="A29" s="14">
        <v>45733</v>
      </c>
      <c r="B29" s="14" t="str">
        <f t="shared" si="0"/>
        <v>mar</v>
      </c>
      <c r="C29" s="13" t="s">
        <v>188</v>
      </c>
      <c r="D29" s="13" t="s">
        <v>287</v>
      </c>
      <c r="E29" s="13" t="s">
        <v>97</v>
      </c>
      <c r="F29" s="13" t="s">
        <v>288</v>
      </c>
      <c r="G29" s="13" t="s">
        <v>289</v>
      </c>
      <c r="H29" s="15">
        <v>449000000</v>
      </c>
      <c r="I29" s="15">
        <v>0</v>
      </c>
      <c r="J29" s="15">
        <f t="shared" si="2"/>
        <v>449000000</v>
      </c>
      <c r="K29" s="13" t="s">
        <v>290</v>
      </c>
      <c r="L29" s="16" t="s">
        <v>291</v>
      </c>
      <c r="M29" s="15" t="s">
        <v>192</v>
      </c>
    </row>
    <row r="30" spans="1:13" ht="114">
      <c r="A30" s="14">
        <v>45734</v>
      </c>
      <c r="B30" s="14" t="str">
        <f t="shared" si="0"/>
        <v>mar</v>
      </c>
      <c r="C30" s="13" t="s">
        <v>188</v>
      </c>
      <c r="D30" s="13" t="s">
        <v>292</v>
      </c>
      <c r="E30" s="13" t="s">
        <v>97</v>
      </c>
      <c r="F30" s="13" t="s">
        <v>293</v>
      </c>
      <c r="G30" s="13" t="s">
        <v>294</v>
      </c>
      <c r="H30" s="15">
        <v>685000000</v>
      </c>
      <c r="I30" s="15">
        <v>0</v>
      </c>
      <c r="J30" s="15">
        <f t="shared" si="2"/>
        <v>685000000</v>
      </c>
      <c r="K30" s="13" t="s">
        <v>295</v>
      </c>
      <c r="L30" s="13" t="s">
        <v>296</v>
      </c>
      <c r="M30" s="15" t="s">
        <v>192</v>
      </c>
    </row>
    <row r="31" spans="1:13" ht="57">
      <c r="A31" s="14">
        <v>45736</v>
      </c>
      <c r="B31" s="14" t="str">
        <f t="shared" si="0"/>
        <v>mar</v>
      </c>
      <c r="C31" s="13" t="s">
        <v>38</v>
      </c>
      <c r="D31" s="13" t="s">
        <v>297</v>
      </c>
      <c r="E31" s="13" t="s">
        <v>97</v>
      </c>
      <c r="F31" s="13" t="s">
        <v>298</v>
      </c>
      <c r="G31" s="13" t="s">
        <v>299</v>
      </c>
      <c r="H31" s="15">
        <v>498503000</v>
      </c>
      <c r="I31" s="15">
        <v>0</v>
      </c>
      <c r="J31" s="15">
        <f t="shared" si="2"/>
        <v>498503000</v>
      </c>
      <c r="K31" s="13" t="s">
        <v>65</v>
      </c>
      <c r="L31" s="13" t="s">
        <v>300</v>
      </c>
      <c r="M31" s="15" t="s">
        <v>192</v>
      </c>
    </row>
    <row r="32" spans="1:13" ht="42.75">
      <c r="A32" s="14">
        <v>45741</v>
      </c>
      <c r="B32" s="14" t="str">
        <f t="shared" si="0"/>
        <v>mar</v>
      </c>
      <c r="C32" s="13" t="s">
        <v>38</v>
      </c>
      <c r="D32" s="13" t="s">
        <v>301</v>
      </c>
      <c r="E32" s="13" t="s">
        <v>97</v>
      </c>
      <c r="F32" s="13" t="s">
        <v>302</v>
      </c>
      <c r="G32" s="13" t="s">
        <v>303</v>
      </c>
      <c r="H32" s="15">
        <v>60670000</v>
      </c>
      <c r="I32" s="15">
        <v>0</v>
      </c>
      <c r="J32" s="15">
        <f t="shared" si="2"/>
        <v>60670000</v>
      </c>
      <c r="K32" s="13" t="s">
        <v>39</v>
      </c>
      <c r="L32" s="16" t="s">
        <v>304</v>
      </c>
      <c r="M32" s="15" t="s">
        <v>192</v>
      </c>
    </row>
    <row r="33" spans="1:13" ht="85.5">
      <c r="A33" s="14">
        <v>45743</v>
      </c>
      <c r="B33" s="14" t="str">
        <f t="shared" si="0"/>
        <v>mar</v>
      </c>
      <c r="C33" s="13" t="s">
        <v>38</v>
      </c>
      <c r="D33" s="13" t="s">
        <v>305</v>
      </c>
      <c r="E33" s="13" t="s">
        <v>97</v>
      </c>
      <c r="F33" s="13" t="s">
        <v>306</v>
      </c>
      <c r="G33" s="13" t="s">
        <v>307</v>
      </c>
      <c r="H33" s="15">
        <v>1740050000</v>
      </c>
      <c r="I33" s="15">
        <v>0</v>
      </c>
      <c r="J33" s="15">
        <f t="shared" si="2"/>
        <v>1740050000</v>
      </c>
      <c r="K33" s="13" t="s">
        <v>105</v>
      </c>
      <c r="L33" s="13" t="s">
        <v>308</v>
      </c>
      <c r="M33" s="15" t="s">
        <v>192</v>
      </c>
    </row>
    <row r="34" spans="1:13" ht="114">
      <c r="A34" s="14">
        <v>45744</v>
      </c>
      <c r="B34" s="14" t="str">
        <f t="shared" ref="B34:B65" si="3">TEXT(A34,"MMM")</f>
        <v>mar</v>
      </c>
      <c r="C34" s="13" t="s">
        <v>38</v>
      </c>
      <c r="D34" s="13" t="s">
        <v>309</v>
      </c>
      <c r="E34" s="13" t="s">
        <v>68</v>
      </c>
      <c r="F34" s="13" t="s">
        <v>310</v>
      </c>
      <c r="G34" s="82" t="s">
        <v>311</v>
      </c>
      <c r="H34" s="15">
        <v>650000000</v>
      </c>
      <c r="I34" s="15">
        <v>0</v>
      </c>
      <c r="J34" s="15">
        <f t="shared" si="2"/>
        <v>650000000</v>
      </c>
      <c r="K34" s="13" t="s">
        <v>65</v>
      </c>
      <c r="L34" s="13" t="s">
        <v>312</v>
      </c>
      <c r="M34" s="15" t="s">
        <v>192</v>
      </c>
    </row>
    <row r="35" spans="1:13" ht="71.25">
      <c r="A35" s="14">
        <v>45747</v>
      </c>
      <c r="B35" s="14" t="str">
        <f t="shared" si="3"/>
        <v>mar</v>
      </c>
      <c r="C35" s="13" t="s">
        <v>38</v>
      </c>
      <c r="D35" s="13" t="s">
        <v>313</v>
      </c>
      <c r="E35" s="13" t="s">
        <v>97</v>
      </c>
      <c r="F35" s="13" t="s">
        <v>314</v>
      </c>
      <c r="G35" s="13" t="s">
        <v>315</v>
      </c>
      <c r="H35" s="15">
        <v>310000000</v>
      </c>
      <c r="I35" s="15">
        <v>0</v>
      </c>
      <c r="J35" s="15">
        <f t="shared" si="2"/>
        <v>310000000</v>
      </c>
      <c r="K35" s="13" t="s">
        <v>78</v>
      </c>
      <c r="L35" s="13" t="s">
        <v>300</v>
      </c>
      <c r="M35" s="15" t="s">
        <v>192</v>
      </c>
    </row>
    <row r="36" spans="1:13" ht="71.25">
      <c r="A36" s="14">
        <v>45747</v>
      </c>
      <c r="B36" s="14" t="str">
        <f t="shared" si="3"/>
        <v>mar</v>
      </c>
      <c r="C36" s="13" t="s">
        <v>38</v>
      </c>
      <c r="D36" s="13" t="s">
        <v>316</v>
      </c>
      <c r="E36" s="13" t="s">
        <v>97</v>
      </c>
      <c r="F36" s="13" t="s">
        <v>247</v>
      </c>
      <c r="G36" s="13" t="s">
        <v>317</v>
      </c>
      <c r="H36" s="15">
        <v>1810098471</v>
      </c>
      <c r="I36" s="15">
        <v>0</v>
      </c>
      <c r="J36" s="15">
        <f t="shared" si="2"/>
        <v>1810098471</v>
      </c>
      <c r="K36" s="13" t="s">
        <v>101</v>
      </c>
      <c r="L36" s="13" t="s">
        <v>318</v>
      </c>
      <c r="M36" s="15" t="s">
        <v>319</v>
      </c>
    </row>
    <row r="37" spans="1:13" ht="71.25">
      <c r="A37" s="14">
        <v>45748</v>
      </c>
      <c r="B37" s="14" t="str">
        <f t="shared" si="3"/>
        <v>abr</v>
      </c>
      <c r="C37" s="13" t="s">
        <v>38</v>
      </c>
      <c r="D37" s="13" t="s">
        <v>320</v>
      </c>
      <c r="E37" s="13" t="s">
        <v>97</v>
      </c>
      <c r="F37" s="13" t="s">
        <v>321</v>
      </c>
      <c r="G37" s="13" t="s">
        <v>322</v>
      </c>
      <c r="H37" s="15">
        <v>160000000</v>
      </c>
      <c r="I37" s="15">
        <v>0</v>
      </c>
      <c r="J37" s="15">
        <f t="shared" si="2"/>
        <v>160000000</v>
      </c>
      <c r="K37" s="13" t="s">
        <v>72</v>
      </c>
      <c r="L37" s="13" t="s">
        <v>318</v>
      </c>
      <c r="M37" s="15" t="s">
        <v>192</v>
      </c>
    </row>
    <row r="38" spans="1:13" ht="71.25">
      <c r="A38" s="14">
        <v>45751</v>
      </c>
      <c r="B38" s="14" t="str">
        <f t="shared" si="3"/>
        <v>abr</v>
      </c>
      <c r="C38" s="13" t="s">
        <v>38</v>
      </c>
      <c r="D38" s="13" t="s">
        <v>323</v>
      </c>
      <c r="E38" s="13" t="s">
        <v>97</v>
      </c>
      <c r="F38" s="13" t="s">
        <v>302</v>
      </c>
      <c r="G38" s="13" t="s">
        <v>324</v>
      </c>
      <c r="H38" s="15">
        <v>42457500</v>
      </c>
      <c r="I38" s="15">
        <v>0</v>
      </c>
      <c r="J38" s="15">
        <f t="shared" si="2"/>
        <v>42457500</v>
      </c>
      <c r="K38" s="13" t="s">
        <v>39</v>
      </c>
      <c r="L38" s="13" t="s">
        <v>318</v>
      </c>
      <c r="M38" s="15" t="s">
        <v>192</v>
      </c>
    </row>
    <row r="39" spans="1:13" ht="156.75">
      <c r="A39" s="14">
        <v>45751</v>
      </c>
      <c r="B39" s="14" t="str">
        <f t="shared" si="3"/>
        <v>abr</v>
      </c>
      <c r="C39" s="13" t="s">
        <v>225</v>
      </c>
      <c r="D39" s="13" t="s">
        <v>325</v>
      </c>
      <c r="E39" s="13" t="s">
        <v>97</v>
      </c>
      <c r="F39" s="13" t="s">
        <v>326</v>
      </c>
      <c r="G39" s="13" t="s">
        <v>327</v>
      </c>
      <c r="H39" s="15">
        <v>93000000</v>
      </c>
      <c r="I39" s="15">
        <v>0</v>
      </c>
      <c r="J39" s="15">
        <f t="shared" si="2"/>
        <v>93000000</v>
      </c>
      <c r="K39" s="13" t="s">
        <v>49</v>
      </c>
      <c r="L39" s="13" t="s">
        <v>328</v>
      </c>
      <c r="M39" s="15"/>
    </row>
    <row r="40" spans="1:13" ht="114">
      <c r="A40" s="14">
        <v>45754</v>
      </c>
      <c r="B40" s="14" t="str">
        <f t="shared" si="3"/>
        <v>abr</v>
      </c>
      <c r="C40" s="13" t="s">
        <v>32</v>
      </c>
      <c r="D40" s="13" t="s">
        <v>329</v>
      </c>
      <c r="E40" s="13" t="s">
        <v>97</v>
      </c>
      <c r="F40" s="13" t="s">
        <v>314</v>
      </c>
      <c r="G40" s="13" t="s">
        <v>330</v>
      </c>
      <c r="H40" s="15">
        <v>850000000</v>
      </c>
      <c r="I40" s="15">
        <v>0</v>
      </c>
      <c r="J40" s="15">
        <f t="shared" si="2"/>
        <v>850000000</v>
      </c>
      <c r="K40" s="13" t="s">
        <v>78</v>
      </c>
      <c r="L40" s="13" t="s">
        <v>331</v>
      </c>
      <c r="M40" s="15" t="s">
        <v>192</v>
      </c>
    </row>
    <row r="41" spans="1:13" ht="114">
      <c r="A41" s="14">
        <v>45754</v>
      </c>
      <c r="B41" s="14" t="str">
        <f t="shared" si="3"/>
        <v>abr</v>
      </c>
      <c r="C41" s="13" t="s">
        <v>38</v>
      </c>
      <c r="D41" s="13" t="s">
        <v>332</v>
      </c>
      <c r="E41" s="13" t="s">
        <v>97</v>
      </c>
      <c r="F41" s="13" t="s">
        <v>333</v>
      </c>
      <c r="G41" s="13" t="s">
        <v>334</v>
      </c>
      <c r="H41" s="15">
        <v>5109000000</v>
      </c>
      <c r="I41" s="15">
        <v>0</v>
      </c>
      <c r="J41" s="15">
        <f t="shared" si="2"/>
        <v>5109000000</v>
      </c>
      <c r="K41" s="13" t="s">
        <v>192</v>
      </c>
      <c r="L41" s="13" t="s">
        <v>335</v>
      </c>
      <c r="M41" s="15" t="s">
        <v>192</v>
      </c>
    </row>
    <row r="42" spans="1:13" ht="270.75">
      <c r="A42" s="14">
        <v>45761</v>
      </c>
      <c r="B42" s="14" t="str">
        <f t="shared" si="3"/>
        <v>abr</v>
      </c>
      <c r="C42" s="13" t="s">
        <v>38</v>
      </c>
      <c r="D42" s="13" t="s">
        <v>336</v>
      </c>
      <c r="E42" s="13" t="s">
        <v>97</v>
      </c>
      <c r="F42" s="13" t="s">
        <v>337</v>
      </c>
      <c r="G42" s="13" t="s">
        <v>338</v>
      </c>
      <c r="H42" s="15">
        <v>827553271.72000003</v>
      </c>
      <c r="I42" s="15">
        <v>0</v>
      </c>
      <c r="J42" s="15">
        <f t="shared" si="2"/>
        <v>827553271.72000003</v>
      </c>
      <c r="K42" s="13" t="s">
        <v>339</v>
      </c>
      <c r="L42" s="16" t="s">
        <v>340</v>
      </c>
      <c r="M42" s="15" t="s">
        <v>192</v>
      </c>
    </row>
    <row r="43" spans="1:13" ht="128.25">
      <c r="A43" s="14">
        <v>45763</v>
      </c>
      <c r="B43" s="14" t="str">
        <f t="shared" si="3"/>
        <v>abr</v>
      </c>
      <c r="C43" s="13" t="s">
        <v>38</v>
      </c>
      <c r="D43" s="13" t="s">
        <v>341</v>
      </c>
      <c r="E43" s="13" t="s">
        <v>97</v>
      </c>
      <c r="F43" s="13" t="s">
        <v>342</v>
      </c>
      <c r="G43" s="13" t="s">
        <v>343</v>
      </c>
      <c r="H43" s="15">
        <v>100000000</v>
      </c>
      <c r="I43" s="15">
        <v>0</v>
      </c>
      <c r="J43" s="15">
        <f t="shared" si="2"/>
        <v>100000000</v>
      </c>
      <c r="K43" s="13" t="s">
        <v>344</v>
      </c>
      <c r="L43" s="13" t="s">
        <v>345</v>
      </c>
      <c r="M43" s="15" t="s">
        <v>192</v>
      </c>
    </row>
    <row r="44" spans="1:13" ht="85.5">
      <c r="A44" s="14">
        <v>45768</v>
      </c>
      <c r="B44" s="14" t="str">
        <f t="shared" si="3"/>
        <v>abr</v>
      </c>
      <c r="C44" s="13" t="s">
        <v>38</v>
      </c>
      <c r="D44" s="13" t="s">
        <v>346</v>
      </c>
      <c r="E44" s="13" t="s">
        <v>97</v>
      </c>
      <c r="F44" s="13" t="s">
        <v>347</v>
      </c>
      <c r="G44" s="13" t="s">
        <v>348</v>
      </c>
      <c r="H44" s="15">
        <v>430000000</v>
      </c>
      <c r="I44" s="15">
        <v>0</v>
      </c>
      <c r="J44" s="15">
        <f t="shared" si="2"/>
        <v>430000000</v>
      </c>
      <c r="K44" s="13" t="s">
        <v>78</v>
      </c>
      <c r="L44" s="13" t="s">
        <v>349</v>
      </c>
      <c r="M44" s="15" t="s">
        <v>192</v>
      </c>
    </row>
    <row r="45" spans="1:13" ht="57">
      <c r="A45" s="14">
        <v>45772</v>
      </c>
      <c r="B45" s="14" t="str">
        <f t="shared" si="3"/>
        <v>abr</v>
      </c>
      <c r="C45" s="13" t="s">
        <v>188</v>
      </c>
      <c r="D45" s="13" t="s">
        <v>350</v>
      </c>
      <c r="E45" s="13" t="s">
        <v>97</v>
      </c>
      <c r="F45" s="13" t="s">
        <v>351</v>
      </c>
      <c r="G45" s="13" t="s">
        <v>352</v>
      </c>
      <c r="H45" s="15">
        <v>160000000</v>
      </c>
      <c r="I45" s="15">
        <v>0</v>
      </c>
      <c r="J45" s="15">
        <f t="shared" si="2"/>
        <v>160000000</v>
      </c>
      <c r="K45" s="13" t="s">
        <v>353</v>
      </c>
      <c r="L45" s="16" t="s">
        <v>354</v>
      </c>
      <c r="M45" s="15" t="s">
        <v>192</v>
      </c>
    </row>
    <row r="46" spans="1:13" ht="85.5">
      <c r="A46" s="14">
        <v>45777</v>
      </c>
      <c r="B46" s="14" t="str">
        <f t="shared" si="3"/>
        <v>abr</v>
      </c>
      <c r="C46" s="13" t="s">
        <v>38</v>
      </c>
      <c r="D46" s="13" t="s">
        <v>355</v>
      </c>
      <c r="E46" s="13" t="s">
        <v>97</v>
      </c>
      <c r="F46" s="13" t="s">
        <v>356</v>
      </c>
      <c r="G46" s="13" t="s">
        <v>357</v>
      </c>
      <c r="H46" s="15">
        <v>28000000</v>
      </c>
      <c r="I46" s="15">
        <v>0</v>
      </c>
      <c r="J46" s="15">
        <f t="shared" si="2"/>
        <v>28000000</v>
      </c>
      <c r="K46" s="13" t="s">
        <v>39</v>
      </c>
      <c r="L46" s="13" t="s">
        <v>358</v>
      </c>
      <c r="M46" s="15" t="s">
        <v>192</v>
      </c>
    </row>
    <row r="47" spans="1:13" ht="142.5">
      <c r="A47" s="14">
        <v>45777</v>
      </c>
      <c r="B47" s="14" t="str">
        <f t="shared" si="3"/>
        <v>abr</v>
      </c>
      <c r="C47" s="13" t="s">
        <v>38</v>
      </c>
      <c r="D47" s="13" t="s">
        <v>359</v>
      </c>
      <c r="E47" s="13" t="s">
        <v>97</v>
      </c>
      <c r="F47" s="13" t="s">
        <v>360</v>
      </c>
      <c r="G47" s="13" t="s">
        <v>361</v>
      </c>
      <c r="H47" s="15">
        <v>490000000</v>
      </c>
      <c r="I47" s="15">
        <v>0</v>
      </c>
      <c r="J47" s="15">
        <f t="shared" si="2"/>
        <v>490000000</v>
      </c>
      <c r="K47" s="13" t="s">
        <v>65</v>
      </c>
      <c r="L47" s="13" t="s">
        <v>362</v>
      </c>
      <c r="M47" s="15" t="s">
        <v>192</v>
      </c>
    </row>
    <row r="48" spans="1:13" ht="128.25">
      <c r="A48" s="14">
        <v>45777</v>
      </c>
      <c r="B48" s="14" t="str">
        <f t="shared" si="3"/>
        <v>abr</v>
      </c>
      <c r="C48" s="13" t="s">
        <v>32</v>
      </c>
      <c r="D48" s="13" t="s">
        <v>363</v>
      </c>
      <c r="E48" s="13" t="s">
        <v>97</v>
      </c>
      <c r="F48" s="13" t="s">
        <v>364</v>
      </c>
      <c r="G48" s="13" t="s">
        <v>365</v>
      </c>
      <c r="H48" s="15">
        <v>470000000</v>
      </c>
      <c r="I48" s="15">
        <v>0</v>
      </c>
      <c r="J48" s="15">
        <f t="shared" si="2"/>
        <v>470000000</v>
      </c>
      <c r="K48" s="13" t="s">
        <v>65</v>
      </c>
      <c r="L48" s="16" t="s">
        <v>366</v>
      </c>
      <c r="M48" s="15" t="s">
        <v>192</v>
      </c>
    </row>
    <row r="49" spans="1:13" ht="42.75">
      <c r="A49" s="14">
        <v>45779</v>
      </c>
      <c r="B49" s="14" t="str">
        <f t="shared" si="3"/>
        <v>may</v>
      </c>
      <c r="C49" s="13" t="s">
        <v>225</v>
      </c>
      <c r="D49" s="13" t="s">
        <v>367</v>
      </c>
      <c r="E49" s="13" t="s">
        <v>97</v>
      </c>
      <c r="F49" s="13" t="s">
        <v>368</v>
      </c>
      <c r="G49" s="13" t="s">
        <v>369</v>
      </c>
      <c r="H49" s="15">
        <v>144000000</v>
      </c>
      <c r="I49" s="15">
        <v>0</v>
      </c>
      <c r="J49" s="15">
        <f t="shared" si="2"/>
        <v>144000000</v>
      </c>
      <c r="K49" s="13" t="s">
        <v>65</v>
      </c>
      <c r="L49" s="13" t="s">
        <v>370</v>
      </c>
      <c r="M49" s="15"/>
    </row>
    <row r="50" spans="1:13" ht="185.25">
      <c r="A50" s="14">
        <v>45785</v>
      </c>
      <c r="B50" s="14" t="str">
        <f t="shared" si="3"/>
        <v>may</v>
      </c>
      <c r="C50" s="13" t="s">
        <v>371</v>
      </c>
      <c r="D50" s="13" t="s">
        <v>372</v>
      </c>
      <c r="E50" s="13" t="s">
        <v>134</v>
      </c>
      <c r="F50" s="13" t="s">
        <v>237</v>
      </c>
      <c r="G50" s="13" t="s">
        <v>373</v>
      </c>
      <c r="H50" s="15">
        <v>1755820000</v>
      </c>
      <c r="I50" s="15">
        <v>0</v>
      </c>
      <c r="J50" s="15">
        <f t="shared" si="2"/>
        <v>1755820000</v>
      </c>
      <c r="K50" s="13" t="s">
        <v>65</v>
      </c>
      <c r="L50" s="13" t="s">
        <v>374</v>
      </c>
      <c r="M50" s="15"/>
    </row>
    <row r="51" spans="1:13" ht="42.75">
      <c r="A51" s="14">
        <v>45785</v>
      </c>
      <c r="B51" s="14" t="str">
        <f t="shared" si="3"/>
        <v>may</v>
      </c>
      <c r="C51" s="13" t="s">
        <v>32</v>
      </c>
      <c r="D51" s="13" t="s">
        <v>375</v>
      </c>
      <c r="E51" s="13" t="s">
        <v>97</v>
      </c>
      <c r="F51" s="13" t="s">
        <v>376</v>
      </c>
      <c r="G51" s="13" t="s">
        <v>377</v>
      </c>
      <c r="H51" s="15">
        <v>550000000</v>
      </c>
      <c r="I51" s="15">
        <v>0</v>
      </c>
      <c r="J51" s="15">
        <f t="shared" si="2"/>
        <v>550000000</v>
      </c>
      <c r="K51" s="13" t="s">
        <v>65</v>
      </c>
      <c r="L51" s="16" t="s">
        <v>378</v>
      </c>
      <c r="M51" s="15"/>
    </row>
    <row r="52" spans="1:13" ht="114">
      <c r="A52" s="14">
        <v>45787</v>
      </c>
      <c r="B52" s="14" t="str">
        <f t="shared" si="3"/>
        <v>may</v>
      </c>
      <c r="C52" s="13" t="s">
        <v>225</v>
      </c>
      <c r="D52" s="13" t="s">
        <v>379</v>
      </c>
      <c r="E52" s="13" t="s">
        <v>97</v>
      </c>
      <c r="F52" s="13" t="s">
        <v>380</v>
      </c>
      <c r="G52" s="13" t="s">
        <v>381</v>
      </c>
      <c r="H52" s="15">
        <v>495604000</v>
      </c>
      <c r="I52" s="15">
        <v>0</v>
      </c>
      <c r="J52" s="15">
        <f t="shared" si="2"/>
        <v>495604000</v>
      </c>
      <c r="K52" s="13" t="s">
        <v>65</v>
      </c>
      <c r="L52" s="16" t="s">
        <v>382</v>
      </c>
      <c r="M52" s="15" t="s">
        <v>192</v>
      </c>
    </row>
    <row r="53" spans="1:13" ht="270.75">
      <c r="A53" s="14">
        <v>45787</v>
      </c>
      <c r="B53" s="14" t="str">
        <f t="shared" si="3"/>
        <v>may</v>
      </c>
      <c r="C53" s="13" t="s">
        <v>32</v>
      </c>
      <c r="D53" s="13" t="s">
        <v>383</v>
      </c>
      <c r="E53" s="13" t="s">
        <v>97</v>
      </c>
      <c r="F53" s="13" t="s">
        <v>271</v>
      </c>
      <c r="G53" s="13" t="s">
        <v>384</v>
      </c>
      <c r="H53" s="15">
        <v>3571510000</v>
      </c>
      <c r="I53" s="15">
        <v>0</v>
      </c>
      <c r="J53" s="15">
        <f t="shared" si="2"/>
        <v>3571510000</v>
      </c>
      <c r="K53" s="13" t="s">
        <v>385</v>
      </c>
      <c r="L53" s="16" t="s">
        <v>386</v>
      </c>
      <c r="M53" s="15" t="s">
        <v>192</v>
      </c>
    </row>
    <row r="54" spans="1:13" ht="114">
      <c r="A54" s="14">
        <v>45790</v>
      </c>
      <c r="B54" s="14" t="str">
        <f t="shared" si="3"/>
        <v>may</v>
      </c>
      <c r="C54" s="13" t="s">
        <v>38</v>
      </c>
      <c r="D54" s="13" t="s">
        <v>387</v>
      </c>
      <c r="E54" s="13" t="s">
        <v>97</v>
      </c>
      <c r="F54" s="13" t="s">
        <v>388</v>
      </c>
      <c r="G54" s="13" t="s">
        <v>389</v>
      </c>
      <c r="H54" s="15">
        <v>7477265600</v>
      </c>
      <c r="I54" s="15">
        <v>0</v>
      </c>
      <c r="J54" s="15">
        <f t="shared" si="2"/>
        <v>7477265600</v>
      </c>
      <c r="K54" s="13" t="s">
        <v>72</v>
      </c>
      <c r="L54" s="16" t="s">
        <v>390</v>
      </c>
      <c r="M54" s="15" t="s">
        <v>192</v>
      </c>
    </row>
    <row r="55" spans="1:13" ht="85.5">
      <c r="A55" s="14">
        <v>45791</v>
      </c>
      <c r="B55" s="14" t="str">
        <f t="shared" si="3"/>
        <v>may</v>
      </c>
      <c r="C55" s="13" t="s">
        <v>38</v>
      </c>
      <c r="D55" s="13" t="s">
        <v>391</v>
      </c>
      <c r="E55" s="13" t="s">
        <v>97</v>
      </c>
      <c r="F55" s="13" t="s">
        <v>392</v>
      </c>
      <c r="G55" s="13" t="s">
        <v>393</v>
      </c>
      <c r="H55" s="15">
        <v>512650000</v>
      </c>
      <c r="I55" s="15">
        <v>0</v>
      </c>
      <c r="J55" s="15">
        <f t="shared" si="2"/>
        <v>512650000</v>
      </c>
      <c r="K55" s="13" t="s">
        <v>72</v>
      </c>
      <c r="L55" s="13" t="s">
        <v>394</v>
      </c>
      <c r="M55" s="15" t="s">
        <v>192</v>
      </c>
    </row>
    <row r="56" spans="1:13" ht="199.5">
      <c r="A56" s="14">
        <v>45792</v>
      </c>
      <c r="B56" s="14" t="str">
        <f t="shared" si="3"/>
        <v>may</v>
      </c>
      <c r="C56" s="13" t="s">
        <v>32</v>
      </c>
      <c r="D56" s="13" t="s">
        <v>395</v>
      </c>
      <c r="E56" s="13" t="s">
        <v>97</v>
      </c>
      <c r="F56" s="13" t="s">
        <v>396</v>
      </c>
      <c r="G56" s="13" t="s">
        <v>397</v>
      </c>
      <c r="H56" s="15">
        <v>800000000</v>
      </c>
      <c r="I56" s="15">
        <v>0</v>
      </c>
      <c r="J56" s="15">
        <f t="shared" si="2"/>
        <v>800000000</v>
      </c>
      <c r="K56" s="13" t="s">
        <v>57</v>
      </c>
      <c r="L56" s="13" t="s">
        <v>398</v>
      </c>
      <c r="M56" s="15" t="s">
        <v>192</v>
      </c>
    </row>
    <row r="57" spans="1:13" ht="156.75">
      <c r="A57" s="14">
        <v>45792</v>
      </c>
      <c r="B57" s="14" t="str">
        <f t="shared" si="3"/>
        <v>may</v>
      </c>
      <c r="C57" s="13" t="s">
        <v>38</v>
      </c>
      <c r="D57" s="13" t="s">
        <v>399</v>
      </c>
      <c r="E57" s="13" t="s">
        <v>97</v>
      </c>
      <c r="F57" s="13" t="s">
        <v>400</v>
      </c>
      <c r="G57" s="13" t="s">
        <v>401</v>
      </c>
      <c r="H57" s="15">
        <v>38974373588</v>
      </c>
      <c r="I57" s="15">
        <v>0</v>
      </c>
      <c r="J57" s="15">
        <f t="shared" si="2"/>
        <v>38974373588</v>
      </c>
      <c r="K57" s="13" t="s">
        <v>101</v>
      </c>
      <c r="L57" s="13" t="s">
        <v>402</v>
      </c>
      <c r="M57" s="15" t="s">
        <v>192</v>
      </c>
    </row>
    <row r="58" spans="1:13" ht="85.5">
      <c r="A58" s="14">
        <v>45796</v>
      </c>
      <c r="B58" s="14" t="str">
        <f t="shared" si="3"/>
        <v>may</v>
      </c>
      <c r="C58" s="13" t="s">
        <v>225</v>
      </c>
      <c r="D58" s="13" t="s">
        <v>403</v>
      </c>
      <c r="E58" s="13" t="s">
        <v>97</v>
      </c>
      <c r="F58" s="13" t="s">
        <v>404</v>
      </c>
      <c r="G58" s="13" t="s">
        <v>405</v>
      </c>
      <c r="H58" s="15">
        <v>275000000</v>
      </c>
      <c r="I58" s="15">
        <v>70000000</v>
      </c>
      <c r="J58" s="15">
        <f t="shared" si="2"/>
        <v>345000000</v>
      </c>
      <c r="K58" s="13" t="s">
        <v>49</v>
      </c>
      <c r="L58" s="13" t="s">
        <v>345</v>
      </c>
      <c r="M58" s="15"/>
    </row>
    <row r="59" spans="1:13" ht="71.25">
      <c r="A59" s="14">
        <v>45797</v>
      </c>
      <c r="B59" s="14" t="str">
        <f t="shared" si="3"/>
        <v>may</v>
      </c>
      <c r="C59" s="13" t="s">
        <v>188</v>
      </c>
      <c r="D59" s="13" t="s">
        <v>406</v>
      </c>
      <c r="E59" s="13" t="s">
        <v>97</v>
      </c>
      <c r="F59" s="13" t="s">
        <v>407</v>
      </c>
      <c r="G59" s="13" t="s">
        <v>408</v>
      </c>
      <c r="H59" s="15">
        <v>100000000</v>
      </c>
      <c r="I59" s="15">
        <v>0</v>
      </c>
      <c r="J59" s="15">
        <f t="shared" si="2"/>
        <v>100000000</v>
      </c>
      <c r="K59" s="13" t="s">
        <v>49</v>
      </c>
      <c r="L59" s="16" t="s">
        <v>192</v>
      </c>
      <c r="M59" s="15" t="s">
        <v>192</v>
      </c>
    </row>
    <row r="60" spans="1:13" ht="85.5">
      <c r="A60" s="14">
        <v>45798</v>
      </c>
      <c r="B60" s="14" t="str">
        <f t="shared" si="3"/>
        <v>may</v>
      </c>
      <c r="C60" s="13" t="s">
        <v>38</v>
      </c>
      <c r="D60" s="13" t="s">
        <v>409</v>
      </c>
      <c r="E60" s="13" t="s">
        <v>97</v>
      </c>
      <c r="F60" s="13" t="s">
        <v>410</v>
      </c>
      <c r="G60" s="13" t="s">
        <v>411</v>
      </c>
      <c r="H60" s="15">
        <v>441000000</v>
      </c>
      <c r="I60" s="15">
        <v>0</v>
      </c>
      <c r="J60" s="15">
        <f t="shared" ref="J60:J91" si="4">SUM(H60+I60)</f>
        <v>441000000</v>
      </c>
      <c r="K60" s="13" t="s">
        <v>65</v>
      </c>
      <c r="L60" s="13" t="s">
        <v>412</v>
      </c>
      <c r="M60" s="15" t="s">
        <v>192</v>
      </c>
    </row>
    <row r="61" spans="1:13" ht="71.25">
      <c r="A61" s="14">
        <v>45799</v>
      </c>
      <c r="B61" s="14" t="str">
        <f t="shared" si="3"/>
        <v>may</v>
      </c>
      <c r="C61" s="13" t="s">
        <v>32</v>
      </c>
      <c r="D61" s="13" t="s">
        <v>413</v>
      </c>
      <c r="E61" s="13" t="s">
        <v>97</v>
      </c>
      <c r="F61" s="13" t="s">
        <v>414</v>
      </c>
      <c r="G61" s="13" t="s">
        <v>415</v>
      </c>
      <c r="H61" s="15">
        <v>600000000</v>
      </c>
      <c r="I61" s="15">
        <v>0</v>
      </c>
      <c r="J61" s="15">
        <f t="shared" si="4"/>
        <v>600000000</v>
      </c>
      <c r="K61" s="13" t="s">
        <v>65</v>
      </c>
      <c r="L61" s="16" t="s">
        <v>200</v>
      </c>
      <c r="M61" s="15" t="s">
        <v>192</v>
      </c>
    </row>
    <row r="62" spans="1:13" ht="57">
      <c r="A62" s="14">
        <v>45799</v>
      </c>
      <c r="B62" s="14" t="str">
        <f t="shared" si="3"/>
        <v>may</v>
      </c>
      <c r="C62" s="13" t="s">
        <v>38</v>
      </c>
      <c r="D62" s="13" t="s">
        <v>416</v>
      </c>
      <c r="E62" s="13" t="s">
        <v>97</v>
      </c>
      <c r="F62" s="13" t="s">
        <v>417</v>
      </c>
      <c r="G62" s="13" t="s">
        <v>418</v>
      </c>
      <c r="H62" s="15">
        <v>50000000</v>
      </c>
      <c r="I62" s="15">
        <v>0</v>
      </c>
      <c r="J62" s="15">
        <f t="shared" si="4"/>
        <v>50000000</v>
      </c>
      <c r="K62" s="13" t="s">
        <v>39</v>
      </c>
      <c r="L62" s="16" t="s">
        <v>419</v>
      </c>
      <c r="M62" s="15" t="s">
        <v>192</v>
      </c>
    </row>
    <row r="63" spans="1:13" ht="185.25">
      <c r="A63" s="14">
        <v>45803</v>
      </c>
      <c r="B63" s="14" t="str">
        <f t="shared" si="3"/>
        <v>may</v>
      </c>
      <c r="C63" s="13" t="s">
        <v>32</v>
      </c>
      <c r="D63" s="13" t="s">
        <v>420</v>
      </c>
      <c r="E63" s="13" t="s">
        <v>97</v>
      </c>
      <c r="F63" s="13" t="s">
        <v>421</v>
      </c>
      <c r="G63" s="13" t="s">
        <v>422</v>
      </c>
      <c r="H63" s="15">
        <v>100000000</v>
      </c>
      <c r="I63" s="15">
        <v>0</v>
      </c>
      <c r="J63" s="15">
        <f t="shared" si="4"/>
        <v>100000000</v>
      </c>
      <c r="K63" s="13" t="s">
        <v>78</v>
      </c>
      <c r="L63" s="16" t="s">
        <v>200</v>
      </c>
      <c r="M63" s="15" t="s">
        <v>192</v>
      </c>
    </row>
    <row r="64" spans="1:13" ht="128.25">
      <c r="A64" s="14">
        <v>45803</v>
      </c>
      <c r="B64" s="14" t="str">
        <f t="shared" si="3"/>
        <v>may</v>
      </c>
      <c r="C64" s="13" t="s">
        <v>32</v>
      </c>
      <c r="D64" s="13" t="s">
        <v>423</v>
      </c>
      <c r="E64" s="13" t="s">
        <v>97</v>
      </c>
      <c r="F64" s="13" t="s">
        <v>424</v>
      </c>
      <c r="G64" s="13" t="s">
        <v>425</v>
      </c>
      <c r="H64" s="15">
        <v>369900000</v>
      </c>
      <c r="I64" s="15">
        <v>0</v>
      </c>
      <c r="J64" s="15">
        <f t="shared" si="4"/>
        <v>369900000</v>
      </c>
      <c r="K64" s="13" t="s">
        <v>78</v>
      </c>
      <c r="L64" s="16" t="s">
        <v>200</v>
      </c>
      <c r="M64" s="15" t="s">
        <v>192</v>
      </c>
    </row>
    <row r="65" spans="1:13" ht="128.25">
      <c r="A65" s="14">
        <v>45804</v>
      </c>
      <c r="B65" s="14" t="str">
        <f t="shared" si="3"/>
        <v>may</v>
      </c>
      <c r="C65" s="13" t="s">
        <v>426</v>
      </c>
      <c r="D65" s="13" t="s">
        <v>427</v>
      </c>
      <c r="E65" s="13" t="s">
        <v>97</v>
      </c>
      <c r="F65" s="13" t="s">
        <v>428</v>
      </c>
      <c r="G65" s="13" t="s">
        <v>429</v>
      </c>
      <c r="H65" s="15">
        <v>59600000</v>
      </c>
      <c r="I65" s="15">
        <v>0</v>
      </c>
      <c r="J65" s="15">
        <f t="shared" si="4"/>
        <v>59600000</v>
      </c>
      <c r="K65" s="13" t="s">
        <v>49</v>
      </c>
      <c r="L65" s="16" t="s">
        <v>430</v>
      </c>
      <c r="M65" s="15" t="s">
        <v>192</v>
      </c>
    </row>
    <row r="66" spans="1:13" ht="71.25">
      <c r="A66" s="14">
        <v>45804</v>
      </c>
      <c r="B66" s="14" t="str">
        <f t="shared" ref="B66:B97" si="5">TEXT(A66,"MMM")</f>
        <v>may</v>
      </c>
      <c r="C66" s="13" t="s">
        <v>32</v>
      </c>
      <c r="D66" s="13" t="s">
        <v>431</v>
      </c>
      <c r="E66" s="13" t="s">
        <v>97</v>
      </c>
      <c r="F66" s="13" t="s">
        <v>432</v>
      </c>
      <c r="G66" s="13" t="s">
        <v>433</v>
      </c>
      <c r="H66" s="15">
        <v>1025000000</v>
      </c>
      <c r="I66" s="15">
        <v>0</v>
      </c>
      <c r="J66" s="15">
        <f t="shared" si="4"/>
        <v>1025000000</v>
      </c>
      <c r="K66" s="13" t="s">
        <v>57</v>
      </c>
      <c r="L66" s="16" t="s">
        <v>200</v>
      </c>
      <c r="M66" s="15" t="s">
        <v>192</v>
      </c>
    </row>
    <row r="67" spans="1:13" ht="71.25">
      <c r="A67" s="14">
        <v>45804</v>
      </c>
      <c r="B67" s="14" t="str">
        <f t="shared" si="5"/>
        <v>may</v>
      </c>
      <c r="C67" s="13" t="s">
        <v>32</v>
      </c>
      <c r="D67" s="13" t="s">
        <v>434</v>
      </c>
      <c r="E67" s="13" t="s">
        <v>97</v>
      </c>
      <c r="F67" s="13" t="s">
        <v>435</v>
      </c>
      <c r="G67" s="13" t="s">
        <v>436</v>
      </c>
      <c r="H67" s="15">
        <v>250000000</v>
      </c>
      <c r="I67" s="15">
        <v>0</v>
      </c>
      <c r="J67" s="15">
        <f t="shared" si="4"/>
        <v>250000000</v>
      </c>
      <c r="K67" s="13" t="s">
        <v>57</v>
      </c>
      <c r="L67" s="16" t="s">
        <v>200</v>
      </c>
      <c r="M67" s="15" t="s">
        <v>192</v>
      </c>
    </row>
    <row r="68" spans="1:13" ht="142.5">
      <c r="A68" s="14">
        <v>45807</v>
      </c>
      <c r="B68" s="14" t="str">
        <f t="shared" si="5"/>
        <v>may</v>
      </c>
      <c r="C68" s="13" t="s">
        <v>38</v>
      </c>
      <c r="D68" s="13" t="s">
        <v>437</v>
      </c>
      <c r="E68" s="13" t="s">
        <v>97</v>
      </c>
      <c r="F68" s="13" t="s">
        <v>438</v>
      </c>
      <c r="G68" s="13" t="s">
        <v>439</v>
      </c>
      <c r="H68" s="15">
        <v>185000000</v>
      </c>
      <c r="I68" s="15">
        <v>0</v>
      </c>
      <c r="J68" s="15">
        <f t="shared" si="4"/>
        <v>185000000</v>
      </c>
      <c r="K68" s="13" t="s">
        <v>65</v>
      </c>
      <c r="L68" s="16" t="s">
        <v>419</v>
      </c>
      <c r="M68" s="15" t="s">
        <v>192</v>
      </c>
    </row>
    <row r="69" spans="1:13" ht="85.5">
      <c r="A69" s="14">
        <v>45813</v>
      </c>
      <c r="B69" s="14" t="str">
        <f t="shared" si="5"/>
        <v>jun</v>
      </c>
      <c r="C69" s="13" t="s">
        <v>440</v>
      </c>
      <c r="D69" s="13" t="s">
        <v>441</v>
      </c>
      <c r="E69" s="13" t="s">
        <v>97</v>
      </c>
      <c r="F69" s="13" t="s">
        <v>442</v>
      </c>
      <c r="G69" s="13" t="s">
        <v>443</v>
      </c>
      <c r="H69" s="15">
        <v>14575000000</v>
      </c>
      <c r="I69" s="15">
        <v>0</v>
      </c>
      <c r="J69" s="15">
        <f t="shared" si="4"/>
        <v>14575000000</v>
      </c>
      <c r="K69" s="13" t="s">
        <v>109</v>
      </c>
      <c r="L69" s="16" t="s">
        <v>444</v>
      </c>
      <c r="M69" s="15" t="s">
        <v>192</v>
      </c>
    </row>
    <row r="70" spans="1:13" ht="99.75">
      <c r="A70" s="14">
        <v>45817</v>
      </c>
      <c r="B70" s="14" t="str">
        <f t="shared" si="5"/>
        <v>jun</v>
      </c>
      <c r="C70" s="13" t="s">
        <v>445</v>
      </c>
      <c r="D70" s="13" t="s">
        <v>446</v>
      </c>
      <c r="E70" s="13" t="s">
        <v>97</v>
      </c>
      <c r="F70" s="13" t="s">
        <v>447</v>
      </c>
      <c r="G70" s="13" t="s">
        <v>448</v>
      </c>
      <c r="H70" s="15">
        <v>150000000</v>
      </c>
      <c r="I70" s="15">
        <v>0</v>
      </c>
      <c r="J70" s="15">
        <f t="shared" si="4"/>
        <v>150000000</v>
      </c>
      <c r="K70" s="13" t="s">
        <v>192</v>
      </c>
      <c r="L70" s="16" t="s">
        <v>192</v>
      </c>
      <c r="M70" s="15" t="s">
        <v>192</v>
      </c>
    </row>
    <row r="71" spans="1:13" ht="71.25">
      <c r="A71" s="14">
        <v>45817</v>
      </c>
      <c r="B71" s="14" t="str">
        <f t="shared" si="5"/>
        <v>jun</v>
      </c>
      <c r="C71" s="13" t="s">
        <v>449</v>
      </c>
      <c r="D71" s="13" t="s">
        <v>450</v>
      </c>
      <c r="E71" s="13" t="s">
        <v>97</v>
      </c>
      <c r="F71" s="13" t="s">
        <v>451</v>
      </c>
      <c r="G71" s="13" t="s">
        <v>452</v>
      </c>
      <c r="H71" s="15">
        <v>509850000</v>
      </c>
      <c r="I71" s="15">
        <v>46350000</v>
      </c>
      <c r="J71" s="15">
        <f t="shared" si="4"/>
        <v>556200000</v>
      </c>
      <c r="K71" s="13" t="s">
        <v>101</v>
      </c>
      <c r="L71" s="16" t="s">
        <v>200</v>
      </c>
      <c r="M71" s="15" t="s">
        <v>192</v>
      </c>
    </row>
    <row r="72" spans="1:13" ht="57">
      <c r="A72" s="14">
        <v>45818</v>
      </c>
      <c r="B72" s="14" t="str">
        <f t="shared" si="5"/>
        <v>jun</v>
      </c>
      <c r="C72" s="13" t="s">
        <v>188</v>
      </c>
      <c r="D72" s="13" t="s">
        <v>453</v>
      </c>
      <c r="E72" s="13" t="s">
        <v>97</v>
      </c>
      <c r="F72" s="13" t="s">
        <v>333</v>
      </c>
      <c r="G72" s="13" t="s">
        <v>454</v>
      </c>
      <c r="H72" s="15">
        <v>3747476898</v>
      </c>
      <c r="I72" s="15">
        <v>0</v>
      </c>
      <c r="J72" s="15">
        <f t="shared" si="4"/>
        <v>3747476898</v>
      </c>
      <c r="K72" s="13" t="s">
        <v>192</v>
      </c>
      <c r="L72" s="16" t="s">
        <v>455</v>
      </c>
      <c r="M72" s="15" t="s">
        <v>192</v>
      </c>
    </row>
    <row r="73" spans="1:13" ht="71.25">
      <c r="A73" s="14">
        <v>45818</v>
      </c>
      <c r="B73" s="14" t="str">
        <f t="shared" si="5"/>
        <v>jun</v>
      </c>
      <c r="C73" s="13" t="s">
        <v>456</v>
      </c>
      <c r="D73" s="13" t="s">
        <v>457</v>
      </c>
      <c r="E73" s="13" t="s">
        <v>97</v>
      </c>
      <c r="F73" s="13" t="s">
        <v>458</v>
      </c>
      <c r="G73" s="13" t="s">
        <v>459</v>
      </c>
      <c r="H73" s="15">
        <v>200000000</v>
      </c>
      <c r="I73" s="15">
        <v>0</v>
      </c>
      <c r="J73" s="15">
        <f t="shared" si="4"/>
        <v>200000000</v>
      </c>
      <c r="K73" s="13" t="s">
        <v>57</v>
      </c>
      <c r="L73" s="13" t="s">
        <v>419</v>
      </c>
      <c r="M73" s="15" t="s">
        <v>192</v>
      </c>
    </row>
    <row r="74" spans="1:13" ht="71.25">
      <c r="A74" s="14">
        <v>45818</v>
      </c>
      <c r="B74" s="14" t="str">
        <f t="shared" si="5"/>
        <v>jun</v>
      </c>
      <c r="C74" s="13" t="s">
        <v>371</v>
      </c>
      <c r="D74" s="13" t="s">
        <v>460</v>
      </c>
      <c r="E74" s="13" t="s">
        <v>97</v>
      </c>
      <c r="F74" s="13" t="s">
        <v>461</v>
      </c>
      <c r="G74" s="13" t="s">
        <v>452</v>
      </c>
      <c r="H74" s="15">
        <v>514000000</v>
      </c>
      <c r="I74" s="15">
        <v>0</v>
      </c>
      <c r="J74" s="15">
        <f t="shared" si="4"/>
        <v>514000000</v>
      </c>
      <c r="K74" s="13" t="s">
        <v>57</v>
      </c>
      <c r="L74" s="16" t="s">
        <v>419</v>
      </c>
      <c r="M74" s="15" t="s">
        <v>192</v>
      </c>
    </row>
    <row r="75" spans="1:13" ht="85.5">
      <c r="A75" s="14">
        <v>45819</v>
      </c>
      <c r="B75" s="14" t="str">
        <f t="shared" si="5"/>
        <v>jun</v>
      </c>
      <c r="C75" s="13" t="s">
        <v>38</v>
      </c>
      <c r="D75" s="13" t="s">
        <v>462</v>
      </c>
      <c r="E75" s="13" t="s">
        <v>97</v>
      </c>
      <c r="F75" s="13" t="s">
        <v>463</v>
      </c>
      <c r="G75" s="13" t="s">
        <v>464</v>
      </c>
      <c r="H75" s="15">
        <v>631125000</v>
      </c>
      <c r="I75" s="15">
        <v>0</v>
      </c>
      <c r="J75" s="15">
        <f t="shared" si="4"/>
        <v>631125000</v>
      </c>
      <c r="K75" s="13" t="s">
        <v>465</v>
      </c>
      <c r="L75" s="16" t="s">
        <v>200</v>
      </c>
      <c r="M75" s="15" t="s">
        <v>192</v>
      </c>
    </row>
    <row r="76" spans="1:13" ht="57">
      <c r="A76" s="14">
        <v>45820</v>
      </c>
      <c r="B76" s="14" t="str">
        <f t="shared" si="5"/>
        <v>jun</v>
      </c>
      <c r="C76" s="13" t="s">
        <v>32</v>
      </c>
      <c r="D76" s="13" t="s">
        <v>466</v>
      </c>
      <c r="E76" s="13" t="s">
        <v>97</v>
      </c>
      <c r="F76" s="13" t="s">
        <v>467</v>
      </c>
      <c r="G76" s="13" t="s">
        <v>468</v>
      </c>
      <c r="H76" s="15">
        <v>280000000</v>
      </c>
      <c r="I76" s="15">
        <v>0</v>
      </c>
      <c r="J76" s="15">
        <f t="shared" si="4"/>
        <v>280000000</v>
      </c>
      <c r="K76" s="13" t="s">
        <v>49</v>
      </c>
      <c r="L76" s="13" t="s">
        <v>469</v>
      </c>
      <c r="M76" s="15" t="s">
        <v>192</v>
      </c>
    </row>
    <row r="77" spans="1:13" ht="42.75">
      <c r="A77" s="14">
        <v>45820</v>
      </c>
      <c r="B77" s="14" t="str">
        <f t="shared" si="5"/>
        <v>jun</v>
      </c>
      <c r="C77" s="13" t="s">
        <v>32</v>
      </c>
      <c r="D77" s="13" t="s">
        <v>470</v>
      </c>
      <c r="E77" s="13" t="s">
        <v>97</v>
      </c>
      <c r="F77" s="13" t="s">
        <v>194</v>
      </c>
      <c r="G77" s="13" t="s">
        <v>369</v>
      </c>
      <c r="H77" s="15">
        <v>110000000</v>
      </c>
      <c r="I77" s="15">
        <v>0</v>
      </c>
      <c r="J77" s="15">
        <f t="shared" si="4"/>
        <v>110000000</v>
      </c>
      <c r="K77" s="13" t="s">
        <v>65</v>
      </c>
      <c r="L77" s="13" t="s">
        <v>419</v>
      </c>
      <c r="M77" s="15" t="s">
        <v>192</v>
      </c>
    </row>
    <row r="78" spans="1:13" ht="114">
      <c r="A78" s="14">
        <v>45821</v>
      </c>
      <c r="B78" s="14" t="str">
        <f t="shared" si="5"/>
        <v>jun</v>
      </c>
      <c r="C78" s="13" t="s">
        <v>32</v>
      </c>
      <c r="D78" s="13" t="s">
        <v>471</v>
      </c>
      <c r="E78" s="13" t="s">
        <v>97</v>
      </c>
      <c r="F78" s="13" t="s">
        <v>472</v>
      </c>
      <c r="G78" s="13" t="s">
        <v>473</v>
      </c>
      <c r="H78" s="15">
        <v>55000000</v>
      </c>
      <c r="I78" s="15">
        <v>0</v>
      </c>
      <c r="J78" s="15">
        <f t="shared" si="4"/>
        <v>55000000</v>
      </c>
      <c r="K78" s="13" t="s">
        <v>27</v>
      </c>
      <c r="L78" s="16" t="s">
        <v>200</v>
      </c>
      <c r="M78" s="15" t="s">
        <v>192</v>
      </c>
    </row>
    <row r="79" spans="1:13" ht="71.25">
      <c r="A79" s="14">
        <v>45826</v>
      </c>
      <c r="B79" s="14" t="str">
        <f t="shared" si="5"/>
        <v>jun</v>
      </c>
      <c r="C79" s="13" t="s">
        <v>32</v>
      </c>
      <c r="D79" s="13" t="s">
        <v>474</v>
      </c>
      <c r="E79" s="13" t="s">
        <v>97</v>
      </c>
      <c r="F79" s="13" t="s">
        <v>475</v>
      </c>
      <c r="G79" s="13" t="s">
        <v>476</v>
      </c>
      <c r="H79" s="15">
        <v>1394000000</v>
      </c>
      <c r="I79" s="15">
        <v>0</v>
      </c>
      <c r="J79" s="15">
        <f t="shared" si="4"/>
        <v>1394000000</v>
      </c>
      <c r="K79" s="13" t="s">
        <v>101</v>
      </c>
      <c r="L79" s="13" t="s">
        <v>419</v>
      </c>
      <c r="M79" s="15" t="s">
        <v>192</v>
      </c>
    </row>
    <row r="80" spans="1:13" ht="156.75">
      <c r="A80" s="14">
        <v>45834</v>
      </c>
      <c r="B80" s="14" t="str">
        <f t="shared" si="5"/>
        <v>jun</v>
      </c>
      <c r="C80" s="13" t="s">
        <v>38</v>
      </c>
      <c r="D80" s="13" t="s">
        <v>477</v>
      </c>
      <c r="E80" s="13" t="s">
        <v>97</v>
      </c>
      <c r="F80" s="13" t="s">
        <v>478</v>
      </c>
      <c r="G80" s="13" t="s">
        <v>479</v>
      </c>
      <c r="H80" s="15">
        <v>610000000</v>
      </c>
      <c r="I80" s="15">
        <v>0</v>
      </c>
      <c r="J80" s="15">
        <f t="shared" si="4"/>
        <v>610000000</v>
      </c>
      <c r="K80" s="13" t="s">
        <v>57</v>
      </c>
      <c r="L80" s="16" t="s">
        <v>419</v>
      </c>
      <c r="M80" s="15" t="s">
        <v>192</v>
      </c>
    </row>
    <row r="81" spans="1:13" ht="42.75">
      <c r="A81" s="14">
        <v>45832</v>
      </c>
      <c r="B81" s="14" t="str">
        <f t="shared" si="5"/>
        <v>jun</v>
      </c>
      <c r="C81" s="13" t="s">
        <v>32</v>
      </c>
      <c r="D81" s="13" t="s">
        <v>480</v>
      </c>
      <c r="E81" s="13" t="s">
        <v>134</v>
      </c>
      <c r="F81" s="13" t="s">
        <v>481</v>
      </c>
      <c r="G81" s="13" t="s">
        <v>482</v>
      </c>
      <c r="H81" s="15">
        <v>3000000000</v>
      </c>
      <c r="I81" s="15">
        <v>0</v>
      </c>
      <c r="J81" s="15">
        <f t="shared" si="4"/>
        <v>3000000000</v>
      </c>
      <c r="K81" s="13" t="s">
        <v>483</v>
      </c>
      <c r="L81" s="13" t="s">
        <v>484</v>
      </c>
      <c r="M81" s="15" t="s">
        <v>192</v>
      </c>
    </row>
    <row r="82" spans="1:13" ht="99.75">
      <c r="A82" s="14">
        <v>45832</v>
      </c>
      <c r="B82" s="14" t="str">
        <f t="shared" si="5"/>
        <v>jun</v>
      </c>
      <c r="C82" s="13" t="s">
        <v>38</v>
      </c>
      <c r="D82" s="13" t="s">
        <v>205</v>
      </c>
      <c r="E82" s="13" t="s">
        <v>97</v>
      </c>
      <c r="F82" s="13" t="s">
        <v>485</v>
      </c>
      <c r="G82" s="13" t="s">
        <v>486</v>
      </c>
      <c r="H82" s="15">
        <v>418000000</v>
      </c>
      <c r="I82" s="15">
        <v>0</v>
      </c>
      <c r="J82" s="15">
        <f t="shared" si="4"/>
        <v>418000000</v>
      </c>
      <c r="K82" s="13" t="s">
        <v>487</v>
      </c>
      <c r="L82" s="16" t="s">
        <v>419</v>
      </c>
      <c r="M82" s="15" t="s">
        <v>192</v>
      </c>
    </row>
    <row r="83" spans="1:13" ht="42.75">
      <c r="A83" s="14">
        <v>45855</v>
      </c>
      <c r="B83" s="14" t="str">
        <f t="shared" si="5"/>
        <v>jul</v>
      </c>
      <c r="C83" s="13" t="s">
        <v>38</v>
      </c>
      <c r="D83" s="13" t="s">
        <v>488</v>
      </c>
      <c r="E83" s="13" t="s">
        <v>97</v>
      </c>
      <c r="F83" s="13" t="s">
        <v>489</v>
      </c>
      <c r="G83" s="13" t="s">
        <v>490</v>
      </c>
      <c r="H83" s="15">
        <v>172400000</v>
      </c>
      <c r="I83" s="15">
        <v>0</v>
      </c>
      <c r="J83" s="15">
        <f t="shared" si="4"/>
        <v>172400000</v>
      </c>
      <c r="K83" s="13" t="s">
        <v>65</v>
      </c>
      <c r="L83" s="16" t="s">
        <v>200</v>
      </c>
      <c r="M83" s="15" t="s">
        <v>192</v>
      </c>
    </row>
    <row r="84" spans="1:13" ht="171">
      <c r="A84" s="14">
        <v>45848</v>
      </c>
      <c r="B84" s="14" t="str">
        <f t="shared" si="5"/>
        <v>jul</v>
      </c>
      <c r="C84" s="13" t="s">
        <v>491</v>
      </c>
      <c r="D84" s="13" t="s">
        <v>492</v>
      </c>
      <c r="E84" s="13" t="s">
        <v>138</v>
      </c>
      <c r="F84" s="13" t="s">
        <v>493</v>
      </c>
      <c r="G84" s="13" t="s">
        <v>494</v>
      </c>
      <c r="H84" s="15">
        <v>30000000</v>
      </c>
      <c r="I84" s="17">
        <v>73980900</v>
      </c>
      <c r="J84" s="15">
        <f t="shared" si="4"/>
        <v>103980900</v>
      </c>
      <c r="K84" s="13" t="s">
        <v>57</v>
      </c>
      <c r="L84" s="15" t="s">
        <v>419</v>
      </c>
      <c r="M84" s="15" t="s">
        <v>192</v>
      </c>
    </row>
    <row r="85" spans="1:13" ht="99.75">
      <c r="A85" s="14">
        <v>45771</v>
      </c>
      <c r="B85" s="14" t="str">
        <f t="shared" si="5"/>
        <v>abr</v>
      </c>
      <c r="C85" s="13" t="s">
        <v>38</v>
      </c>
      <c r="D85" s="13" t="s">
        <v>495</v>
      </c>
      <c r="E85" s="13" t="s">
        <v>97</v>
      </c>
      <c r="F85" s="13" t="s">
        <v>496</v>
      </c>
      <c r="G85" s="13" t="s">
        <v>497</v>
      </c>
      <c r="H85" s="15">
        <v>30000000</v>
      </c>
      <c r="I85" s="15">
        <v>0</v>
      </c>
      <c r="J85" s="15">
        <f t="shared" si="4"/>
        <v>30000000</v>
      </c>
      <c r="K85" s="13" t="s">
        <v>49</v>
      </c>
      <c r="L85" s="16" t="s">
        <v>419</v>
      </c>
      <c r="M85" s="15" t="s">
        <v>192</v>
      </c>
    </row>
    <row r="86" spans="1:13" ht="42.75">
      <c r="A86" s="14">
        <v>45842</v>
      </c>
      <c r="B86" s="14" t="str">
        <f t="shared" si="5"/>
        <v>jul</v>
      </c>
      <c r="C86" s="13" t="s">
        <v>188</v>
      </c>
      <c r="D86" s="13" t="s">
        <v>498</v>
      </c>
      <c r="E86" s="13" t="s">
        <v>97</v>
      </c>
      <c r="F86" s="13" t="s">
        <v>499</v>
      </c>
      <c r="G86" s="13" t="s">
        <v>500</v>
      </c>
      <c r="H86" s="15">
        <v>39000000</v>
      </c>
      <c r="I86" s="15">
        <v>0</v>
      </c>
      <c r="J86" s="15">
        <f t="shared" si="4"/>
        <v>39000000</v>
      </c>
      <c r="K86" s="13" t="s">
        <v>39</v>
      </c>
      <c r="L86" s="16" t="s">
        <v>419</v>
      </c>
      <c r="M86" s="15" t="s">
        <v>192</v>
      </c>
    </row>
    <row r="87" spans="1:13" ht="99.75">
      <c r="A87" s="14">
        <v>45853</v>
      </c>
      <c r="B87" s="14" t="str">
        <f t="shared" si="5"/>
        <v>jul</v>
      </c>
      <c r="C87" s="13" t="s">
        <v>244</v>
      </c>
      <c r="D87" s="13" t="s">
        <v>501</v>
      </c>
      <c r="E87" s="13" t="s">
        <v>134</v>
      </c>
      <c r="F87" s="13" t="s">
        <v>502</v>
      </c>
      <c r="G87" s="13" t="s">
        <v>503</v>
      </c>
      <c r="H87" s="15">
        <v>8685000000</v>
      </c>
      <c r="I87" s="15">
        <v>0</v>
      </c>
      <c r="J87" s="15">
        <f t="shared" si="4"/>
        <v>8685000000</v>
      </c>
      <c r="K87" s="13" t="s">
        <v>101</v>
      </c>
      <c r="L87" s="16" t="s">
        <v>419</v>
      </c>
      <c r="M87" s="15" t="s">
        <v>192</v>
      </c>
    </row>
    <row r="88" spans="1:13" ht="42.75">
      <c r="A88" s="14">
        <v>45839</v>
      </c>
      <c r="B88" s="14" t="str">
        <f t="shared" si="5"/>
        <v>jul</v>
      </c>
      <c r="C88" s="13" t="s">
        <v>32</v>
      </c>
      <c r="D88" s="13" t="s">
        <v>504</v>
      </c>
      <c r="E88" s="13" t="s">
        <v>97</v>
      </c>
      <c r="F88" s="13" t="s">
        <v>505</v>
      </c>
      <c r="G88" s="13" t="s">
        <v>506</v>
      </c>
      <c r="H88" s="15">
        <v>100000000</v>
      </c>
      <c r="I88" s="15">
        <v>0</v>
      </c>
      <c r="J88" s="15">
        <f t="shared" si="4"/>
        <v>100000000</v>
      </c>
      <c r="K88" s="13" t="s">
        <v>49</v>
      </c>
      <c r="L88" s="16" t="s">
        <v>419</v>
      </c>
      <c r="M88" s="15" t="s">
        <v>192</v>
      </c>
    </row>
    <row r="89" spans="1:13" ht="42.75">
      <c r="A89" s="14">
        <v>45864</v>
      </c>
      <c r="B89" s="14" t="str">
        <f t="shared" si="5"/>
        <v>jul</v>
      </c>
      <c r="C89" s="13" t="s">
        <v>32</v>
      </c>
      <c r="D89" s="13" t="s">
        <v>507</v>
      </c>
      <c r="E89" s="13" t="s">
        <v>97</v>
      </c>
      <c r="F89" s="13" t="s">
        <v>508</v>
      </c>
      <c r="G89" s="13" t="s">
        <v>509</v>
      </c>
      <c r="H89" s="15">
        <v>82500000</v>
      </c>
      <c r="I89" s="15">
        <v>0</v>
      </c>
      <c r="J89" s="15">
        <f t="shared" si="4"/>
        <v>82500000</v>
      </c>
      <c r="K89" s="13" t="s">
        <v>39</v>
      </c>
      <c r="L89" s="16" t="s">
        <v>419</v>
      </c>
      <c r="M89" s="15" t="s">
        <v>192</v>
      </c>
    </row>
    <row r="90" spans="1:13" ht="99.75">
      <c r="A90" s="14">
        <v>45845</v>
      </c>
      <c r="B90" s="14" t="str">
        <f t="shared" si="5"/>
        <v>jul</v>
      </c>
      <c r="C90" s="13" t="s">
        <v>510</v>
      </c>
      <c r="D90" s="13" t="s">
        <v>511</v>
      </c>
      <c r="E90" s="13" t="s">
        <v>97</v>
      </c>
      <c r="F90" s="13" t="s">
        <v>512</v>
      </c>
      <c r="G90" s="13" t="s">
        <v>513</v>
      </c>
      <c r="H90" s="15">
        <v>288000000</v>
      </c>
      <c r="I90" s="15">
        <v>0</v>
      </c>
      <c r="J90" s="15">
        <f t="shared" si="4"/>
        <v>288000000</v>
      </c>
      <c r="K90" s="13" t="s">
        <v>65</v>
      </c>
      <c r="L90" s="16" t="s">
        <v>386</v>
      </c>
      <c r="M90" s="15" t="s">
        <v>192</v>
      </c>
    </row>
    <row r="91" spans="1:13" ht="71.25">
      <c r="A91" s="14">
        <v>45846</v>
      </c>
      <c r="B91" s="14" t="str">
        <f t="shared" si="5"/>
        <v>jul</v>
      </c>
      <c r="C91" s="13" t="s">
        <v>32</v>
      </c>
      <c r="D91" s="13" t="s">
        <v>514</v>
      </c>
      <c r="E91" s="13" t="s">
        <v>97</v>
      </c>
      <c r="F91" s="13" t="s">
        <v>515</v>
      </c>
      <c r="G91" s="13" t="s">
        <v>516</v>
      </c>
      <c r="H91" s="15">
        <v>108000000</v>
      </c>
      <c r="I91" s="15">
        <v>0</v>
      </c>
      <c r="J91" s="15">
        <f t="shared" si="4"/>
        <v>108000000</v>
      </c>
      <c r="K91" s="13" t="s">
        <v>483</v>
      </c>
      <c r="L91" s="16" t="s">
        <v>419</v>
      </c>
      <c r="M91" s="15" t="s">
        <v>192</v>
      </c>
    </row>
    <row r="92" spans="1:13" ht="57">
      <c r="A92" s="14">
        <v>45848</v>
      </c>
      <c r="B92" s="14" t="str">
        <f t="shared" si="5"/>
        <v>jul</v>
      </c>
      <c r="C92" s="13" t="s">
        <v>32</v>
      </c>
      <c r="D92" s="13" t="s">
        <v>517</v>
      </c>
      <c r="E92" s="13" t="s">
        <v>97</v>
      </c>
      <c r="F92" s="13" t="s">
        <v>380</v>
      </c>
      <c r="G92" s="13" t="s">
        <v>518</v>
      </c>
      <c r="H92" s="15">
        <v>685000000</v>
      </c>
      <c r="I92" s="15">
        <v>0</v>
      </c>
      <c r="J92" s="15">
        <f t="shared" ref="J92:J123" si="6">SUM(H92+I92)</f>
        <v>685000000</v>
      </c>
      <c r="K92" s="13" t="s">
        <v>519</v>
      </c>
      <c r="L92" s="13" t="s">
        <v>419</v>
      </c>
      <c r="M92" s="15" t="s">
        <v>192</v>
      </c>
    </row>
    <row r="93" spans="1:13" ht="99.75">
      <c r="A93" s="14">
        <v>45860</v>
      </c>
      <c r="B93" s="14" t="str">
        <f t="shared" si="5"/>
        <v>jul</v>
      </c>
      <c r="C93" s="13" t="s">
        <v>371</v>
      </c>
      <c r="D93" s="13" t="s">
        <v>520</v>
      </c>
      <c r="E93" s="13" t="s">
        <v>134</v>
      </c>
      <c r="F93" s="13" t="s">
        <v>502</v>
      </c>
      <c r="G93" s="13" t="s">
        <v>503</v>
      </c>
      <c r="H93" s="15">
        <v>8684230500</v>
      </c>
      <c r="I93" s="15">
        <v>0</v>
      </c>
      <c r="J93" s="15">
        <f t="shared" si="6"/>
        <v>8684230500</v>
      </c>
      <c r="K93" s="13" t="s">
        <v>101</v>
      </c>
      <c r="L93" s="16" t="s">
        <v>419</v>
      </c>
      <c r="M93" s="15" t="s">
        <v>192</v>
      </c>
    </row>
    <row r="94" spans="1:13" ht="85.5">
      <c r="A94" s="14">
        <v>45853</v>
      </c>
      <c r="B94" s="14" t="str">
        <f t="shared" si="5"/>
        <v>jul</v>
      </c>
      <c r="C94" s="13" t="s">
        <v>32</v>
      </c>
      <c r="D94" s="13" t="s">
        <v>521</v>
      </c>
      <c r="E94" s="13" t="s">
        <v>97</v>
      </c>
      <c r="F94" s="13" t="s">
        <v>522</v>
      </c>
      <c r="G94" s="13" t="s">
        <v>523</v>
      </c>
      <c r="H94" s="15">
        <v>1017861500</v>
      </c>
      <c r="I94" s="15">
        <v>0</v>
      </c>
      <c r="J94" s="15">
        <f t="shared" si="6"/>
        <v>1017861500</v>
      </c>
      <c r="K94" s="13" t="s">
        <v>84</v>
      </c>
      <c r="L94" s="16" t="s">
        <v>419</v>
      </c>
      <c r="M94" s="15" t="s">
        <v>192</v>
      </c>
    </row>
    <row r="95" spans="1:13" ht="71.25">
      <c r="A95" s="14">
        <v>45848</v>
      </c>
      <c r="B95" s="14" t="str">
        <f t="shared" si="5"/>
        <v>jul</v>
      </c>
      <c r="C95" s="13" t="s">
        <v>32</v>
      </c>
      <c r="D95" s="13" t="s">
        <v>524</v>
      </c>
      <c r="E95" s="13" t="s">
        <v>97</v>
      </c>
      <c r="F95" s="13" t="s">
        <v>515</v>
      </c>
      <c r="G95" s="13" t="s">
        <v>525</v>
      </c>
      <c r="H95" s="15">
        <v>198000000</v>
      </c>
      <c r="I95" s="15">
        <v>0</v>
      </c>
      <c r="J95" s="15">
        <f t="shared" si="6"/>
        <v>198000000</v>
      </c>
      <c r="K95" s="13" t="s">
        <v>49</v>
      </c>
      <c r="L95" s="16" t="s">
        <v>419</v>
      </c>
      <c r="M95" s="15" t="s">
        <v>192</v>
      </c>
    </row>
    <row r="96" spans="1:13" ht="99.75">
      <c r="A96" s="14">
        <v>45849</v>
      </c>
      <c r="B96" s="14" t="str">
        <f t="shared" si="5"/>
        <v>jul</v>
      </c>
      <c r="C96" s="13" t="s">
        <v>526</v>
      </c>
      <c r="D96" s="13" t="s">
        <v>527</v>
      </c>
      <c r="E96" s="13" t="s">
        <v>134</v>
      </c>
      <c r="F96" s="13" t="s">
        <v>528</v>
      </c>
      <c r="G96" s="13" t="s">
        <v>529</v>
      </c>
      <c r="H96" s="15">
        <v>1550000000</v>
      </c>
      <c r="I96" s="15">
        <v>0</v>
      </c>
      <c r="J96" s="15">
        <f t="shared" si="6"/>
        <v>1550000000</v>
      </c>
      <c r="K96" s="14">
        <v>46017</v>
      </c>
      <c r="L96" s="16" t="s">
        <v>200</v>
      </c>
      <c r="M96" s="15" t="s">
        <v>192</v>
      </c>
    </row>
    <row r="97" spans="1:13" ht="57">
      <c r="A97" s="14">
        <v>45840</v>
      </c>
      <c r="B97" s="14" t="str">
        <f t="shared" si="5"/>
        <v>jul</v>
      </c>
      <c r="C97" s="13" t="s">
        <v>530</v>
      </c>
      <c r="D97" s="13" t="s">
        <v>531</v>
      </c>
      <c r="E97" s="13" t="s">
        <v>97</v>
      </c>
      <c r="F97" s="13" t="s">
        <v>532</v>
      </c>
      <c r="G97" s="13" t="s">
        <v>533</v>
      </c>
      <c r="H97" s="15">
        <v>388000000</v>
      </c>
      <c r="I97" s="15">
        <v>0</v>
      </c>
      <c r="J97" s="15">
        <f t="shared" si="6"/>
        <v>388000000</v>
      </c>
      <c r="K97" s="13" t="s">
        <v>534</v>
      </c>
      <c r="L97" s="16" t="s">
        <v>535</v>
      </c>
      <c r="M97" s="15" t="s">
        <v>192</v>
      </c>
    </row>
    <row r="98" spans="1:13" ht="128.25">
      <c r="A98" s="14">
        <v>45846</v>
      </c>
      <c r="B98" s="14" t="str">
        <f t="shared" ref="B98:B129" si="7">TEXT(A98,"MMM")</f>
        <v>jul</v>
      </c>
      <c r="C98" s="13" t="s">
        <v>38</v>
      </c>
      <c r="D98" s="13" t="s">
        <v>536</v>
      </c>
      <c r="E98" s="13" t="s">
        <v>97</v>
      </c>
      <c r="F98" s="13" t="s">
        <v>537</v>
      </c>
      <c r="G98" s="13" t="s">
        <v>538</v>
      </c>
      <c r="H98" s="15">
        <v>1200000000</v>
      </c>
      <c r="I98" s="15">
        <v>0</v>
      </c>
      <c r="J98" s="15">
        <f t="shared" si="6"/>
        <v>1200000000</v>
      </c>
      <c r="K98" s="13" t="s">
        <v>78</v>
      </c>
      <c r="L98" s="16" t="s">
        <v>419</v>
      </c>
      <c r="M98" s="15" t="s">
        <v>192</v>
      </c>
    </row>
    <row r="99" spans="1:13" ht="171">
      <c r="A99" s="14">
        <v>45860</v>
      </c>
      <c r="B99" s="14" t="str">
        <f t="shared" si="7"/>
        <v>jul</v>
      </c>
      <c r="C99" s="13" t="s">
        <v>244</v>
      </c>
      <c r="D99" s="13" t="s">
        <v>539</v>
      </c>
      <c r="E99" s="13" t="s">
        <v>134</v>
      </c>
      <c r="F99" s="13" t="s">
        <v>540</v>
      </c>
      <c r="G99" s="13" t="s">
        <v>541</v>
      </c>
      <c r="H99" s="15">
        <v>2999150000</v>
      </c>
      <c r="I99" s="15">
        <v>152250000</v>
      </c>
      <c r="J99" s="15">
        <f t="shared" si="6"/>
        <v>3151400000</v>
      </c>
      <c r="K99" s="13" t="s">
        <v>57</v>
      </c>
      <c r="L99" s="16" t="s">
        <v>386</v>
      </c>
      <c r="M99" s="15" t="s">
        <v>192</v>
      </c>
    </row>
    <row r="100" spans="1:13" ht="171">
      <c r="A100" s="14">
        <v>45860</v>
      </c>
      <c r="B100" s="14" t="str">
        <f t="shared" si="7"/>
        <v>jul</v>
      </c>
      <c r="C100" s="13" t="s">
        <v>542</v>
      </c>
      <c r="D100" s="13" t="s">
        <v>543</v>
      </c>
      <c r="E100" s="13" t="s">
        <v>134</v>
      </c>
      <c r="F100" s="13" t="s">
        <v>544</v>
      </c>
      <c r="G100" s="13" t="s">
        <v>545</v>
      </c>
      <c r="H100" s="15">
        <f>1506566504-Tabla156[[#This Row],[COFINANCIACIÓN UD]]</f>
        <v>1280581528.4000001</v>
      </c>
      <c r="I100" s="15">
        <f>75328325.2*3</f>
        <v>225984975.60000002</v>
      </c>
      <c r="J100" s="15">
        <f t="shared" si="6"/>
        <v>1506566504</v>
      </c>
      <c r="K100" s="13" t="s">
        <v>65</v>
      </c>
      <c r="L100" s="16" t="s">
        <v>546</v>
      </c>
      <c r="M100" s="15" t="s">
        <v>192</v>
      </c>
    </row>
    <row r="101" spans="1:13" ht="114">
      <c r="A101" s="14">
        <v>45832</v>
      </c>
      <c r="B101" s="14" t="str">
        <f t="shared" si="7"/>
        <v>jun</v>
      </c>
      <c r="C101" s="13" t="s">
        <v>510</v>
      </c>
      <c r="D101" s="13" t="s">
        <v>547</v>
      </c>
      <c r="E101" s="13" t="s">
        <v>97</v>
      </c>
      <c r="F101" s="13" t="s">
        <v>548</v>
      </c>
      <c r="G101" s="13" t="s">
        <v>549</v>
      </c>
      <c r="H101" s="15">
        <v>31000000</v>
      </c>
      <c r="I101" s="15">
        <v>0</v>
      </c>
      <c r="J101" s="15">
        <f t="shared" si="6"/>
        <v>31000000</v>
      </c>
      <c r="K101" s="13" t="s">
        <v>27</v>
      </c>
      <c r="L101" s="16" t="s">
        <v>546</v>
      </c>
      <c r="M101" s="15" t="s">
        <v>192</v>
      </c>
    </row>
    <row r="102" spans="1:13" ht="42.75">
      <c r="A102" s="14">
        <v>45856</v>
      </c>
      <c r="B102" s="14" t="str">
        <f t="shared" si="7"/>
        <v>jul</v>
      </c>
      <c r="C102" s="13" t="s">
        <v>38</v>
      </c>
      <c r="D102" s="13" t="s">
        <v>550</v>
      </c>
      <c r="E102" s="13" t="s">
        <v>97</v>
      </c>
      <c r="F102" s="13" t="s">
        <v>551</v>
      </c>
      <c r="G102" s="13" t="s">
        <v>552</v>
      </c>
      <c r="H102" s="15">
        <v>25000000</v>
      </c>
      <c r="I102" s="15">
        <v>0</v>
      </c>
      <c r="J102" s="15">
        <f t="shared" si="6"/>
        <v>25000000</v>
      </c>
      <c r="K102" s="13" t="s">
        <v>39</v>
      </c>
      <c r="L102" s="16" t="s">
        <v>419</v>
      </c>
      <c r="M102" s="15" t="s">
        <v>192</v>
      </c>
    </row>
    <row r="103" spans="1:13" ht="42.75">
      <c r="A103" s="14">
        <v>45845</v>
      </c>
      <c r="B103" s="14" t="str">
        <f t="shared" si="7"/>
        <v>jul</v>
      </c>
      <c r="C103" s="13" t="s">
        <v>553</v>
      </c>
      <c r="D103" s="13" t="s">
        <v>554</v>
      </c>
      <c r="E103" s="13" t="s">
        <v>134</v>
      </c>
      <c r="F103" s="13" t="s">
        <v>555</v>
      </c>
      <c r="G103" s="13" t="s">
        <v>556</v>
      </c>
      <c r="H103" s="15">
        <v>19997880</v>
      </c>
      <c r="I103" s="15">
        <v>0</v>
      </c>
      <c r="J103" s="15">
        <f t="shared" si="6"/>
        <v>19997880</v>
      </c>
      <c r="K103" s="13" t="s">
        <v>557</v>
      </c>
      <c r="L103" s="16" t="s">
        <v>419</v>
      </c>
      <c r="M103" s="15" t="s">
        <v>192</v>
      </c>
    </row>
    <row r="104" spans="1:13" ht="114">
      <c r="A104" s="14">
        <v>45856</v>
      </c>
      <c r="B104" s="14" t="str">
        <f t="shared" si="7"/>
        <v>jul</v>
      </c>
      <c r="C104" s="13" t="s">
        <v>38</v>
      </c>
      <c r="D104" s="13" t="s">
        <v>558</v>
      </c>
      <c r="E104" s="13" t="s">
        <v>97</v>
      </c>
      <c r="F104" s="13" t="s">
        <v>559</v>
      </c>
      <c r="G104" s="13" t="s">
        <v>560</v>
      </c>
      <c r="H104" s="15">
        <v>310000000</v>
      </c>
      <c r="I104" s="15">
        <v>0</v>
      </c>
      <c r="J104" s="15">
        <f t="shared" si="6"/>
        <v>310000000</v>
      </c>
      <c r="K104" s="13" t="s">
        <v>39</v>
      </c>
      <c r="L104" s="16" t="s">
        <v>386</v>
      </c>
      <c r="M104" s="15" t="s">
        <v>192</v>
      </c>
    </row>
    <row r="105" spans="1:13" ht="57">
      <c r="A105" s="14">
        <v>45847</v>
      </c>
      <c r="B105" s="14" t="str">
        <f t="shared" si="7"/>
        <v>jul</v>
      </c>
      <c r="C105" s="13" t="s">
        <v>38</v>
      </c>
      <c r="D105" s="13" t="s">
        <v>561</v>
      </c>
      <c r="E105" s="13" t="s">
        <v>97</v>
      </c>
      <c r="F105" s="13" t="s">
        <v>562</v>
      </c>
      <c r="G105" s="13" t="s">
        <v>563</v>
      </c>
      <c r="H105" s="15">
        <v>30000000</v>
      </c>
      <c r="I105" s="17">
        <v>0</v>
      </c>
      <c r="J105" s="15">
        <f t="shared" si="6"/>
        <v>30000000</v>
      </c>
      <c r="K105" s="13" t="s">
        <v>39</v>
      </c>
      <c r="L105" s="16" t="s">
        <v>419</v>
      </c>
      <c r="M105" s="15" t="s">
        <v>192</v>
      </c>
    </row>
    <row r="106" spans="1:13" ht="156.75">
      <c r="A106" s="14">
        <v>45845</v>
      </c>
      <c r="B106" s="14" t="str">
        <f t="shared" si="7"/>
        <v>jul</v>
      </c>
      <c r="C106" s="13" t="s">
        <v>510</v>
      </c>
      <c r="D106" s="13" t="s">
        <v>564</v>
      </c>
      <c r="E106" s="13" t="s">
        <v>97</v>
      </c>
      <c r="F106" s="13" t="s">
        <v>565</v>
      </c>
      <c r="G106" s="13" t="s">
        <v>566</v>
      </c>
      <c r="H106" s="15">
        <v>205400000</v>
      </c>
      <c r="I106" s="15">
        <v>0</v>
      </c>
      <c r="J106" s="15">
        <f t="shared" si="6"/>
        <v>205400000</v>
      </c>
      <c r="K106" s="13" t="s">
        <v>567</v>
      </c>
      <c r="L106" s="16" t="s">
        <v>568</v>
      </c>
      <c r="M106" s="15" t="s">
        <v>192</v>
      </c>
    </row>
    <row r="107" spans="1:13">
      <c r="A107" s="14"/>
      <c r="B107" s="14" t="str">
        <f t="shared" si="7"/>
        <v>ene</v>
      </c>
      <c r="H107" s="15"/>
      <c r="I107" s="15"/>
      <c r="J107" s="15">
        <f t="shared" si="6"/>
        <v>0</v>
      </c>
      <c r="M107" s="15"/>
    </row>
    <row r="108" spans="1:13">
      <c r="A108" s="14"/>
      <c r="B108" s="14" t="str">
        <f t="shared" si="7"/>
        <v>ene</v>
      </c>
      <c r="H108" s="15"/>
      <c r="I108" s="15"/>
      <c r="J108" s="15">
        <f t="shared" si="6"/>
        <v>0</v>
      </c>
      <c r="M108" s="15"/>
    </row>
    <row r="109" spans="1:13">
      <c r="A109" s="14"/>
      <c r="B109" s="14" t="str">
        <f t="shared" si="7"/>
        <v>ene</v>
      </c>
      <c r="H109" s="15"/>
      <c r="I109" s="15"/>
      <c r="J109" s="15">
        <f t="shared" si="6"/>
        <v>0</v>
      </c>
      <c r="M109" s="15"/>
    </row>
    <row r="110" spans="1:13">
      <c r="A110" s="14"/>
      <c r="B110" s="14" t="str">
        <f t="shared" si="7"/>
        <v>ene</v>
      </c>
      <c r="H110" s="15"/>
      <c r="I110" s="15"/>
      <c r="J110" s="15">
        <f t="shared" si="6"/>
        <v>0</v>
      </c>
      <c r="M110" s="15"/>
    </row>
    <row r="111" spans="1:13">
      <c r="A111" s="14"/>
      <c r="B111" s="14" t="str">
        <f t="shared" si="7"/>
        <v>ene</v>
      </c>
      <c r="H111" s="15"/>
      <c r="I111" s="15"/>
      <c r="J111" s="15">
        <f t="shared" si="6"/>
        <v>0</v>
      </c>
      <c r="M111" s="15"/>
    </row>
    <row r="112" spans="1:13">
      <c r="A112" s="14"/>
      <c r="B112" s="14" t="str">
        <f t="shared" si="7"/>
        <v>ene</v>
      </c>
      <c r="H112" s="15"/>
      <c r="I112" s="15"/>
      <c r="J112" s="15">
        <f t="shared" si="6"/>
        <v>0</v>
      </c>
      <c r="M112" s="15"/>
    </row>
    <row r="113" spans="1:13">
      <c r="A113" s="14"/>
      <c r="B113" s="14" t="str">
        <f t="shared" si="7"/>
        <v>ene</v>
      </c>
      <c r="H113" s="15"/>
      <c r="I113" s="15"/>
      <c r="J113" s="15">
        <f t="shared" si="6"/>
        <v>0</v>
      </c>
      <c r="M113" s="15"/>
    </row>
    <row r="114" spans="1:13">
      <c r="A114" s="14"/>
      <c r="B114" s="14" t="str">
        <f t="shared" si="7"/>
        <v>ene</v>
      </c>
      <c r="H114" s="15"/>
      <c r="I114" s="15"/>
      <c r="J114" s="15">
        <f t="shared" si="6"/>
        <v>0</v>
      </c>
      <c r="M114" s="15"/>
    </row>
    <row r="115" spans="1:13">
      <c r="A115" s="14"/>
      <c r="B115" s="14" t="str">
        <f t="shared" si="7"/>
        <v>ene</v>
      </c>
      <c r="H115" s="15"/>
      <c r="I115" s="15"/>
      <c r="J115" s="15">
        <f t="shared" si="6"/>
        <v>0</v>
      </c>
      <c r="M115" s="15"/>
    </row>
    <row r="116" spans="1:13">
      <c r="A116" s="14"/>
      <c r="B116" s="14" t="str">
        <f t="shared" si="7"/>
        <v>ene</v>
      </c>
      <c r="H116" s="15"/>
      <c r="I116" s="15"/>
      <c r="J116" s="15">
        <f t="shared" si="6"/>
        <v>0</v>
      </c>
      <c r="M116" s="15"/>
    </row>
    <row r="117" spans="1:13">
      <c r="A117" s="14"/>
      <c r="B117" s="14" t="str">
        <f t="shared" si="7"/>
        <v>ene</v>
      </c>
      <c r="H117" s="15"/>
      <c r="I117" s="15"/>
      <c r="J117" s="15">
        <f t="shared" si="6"/>
        <v>0</v>
      </c>
      <c r="M117" s="15"/>
    </row>
    <row r="118" spans="1:13">
      <c r="A118" s="14"/>
      <c r="B118" s="14" t="str">
        <f t="shared" si="7"/>
        <v>ene</v>
      </c>
      <c r="H118" s="15"/>
      <c r="I118" s="15"/>
      <c r="J118" s="15">
        <f t="shared" si="6"/>
        <v>0</v>
      </c>
      <c r="M118" s="15"/>
    </row>
    <row r="119" spans="1:13">
      <c r="A119" s="14"/>
      <c r="B119" s="14" t="str">
        <f t="shared" si="7"/>
        <v>ene</v>
      </c>
      <c r="F119" s="18"/>
      <c r="H119" s="15"/>
      <c r="I119" s="15"/>
      <c r="J119" s="15">
        <f t="shared" si="6"/>
        <v>0</v>
      </c>
      <c r="M119" s="15"/>
    </row>
    <row r="120" spans="1:13">
      <c r="A120" s="14"/>
      <c r="B120" s="14" t="str">
        <f t="shared" si="7"/>
        <v>ene</v>
      </c>
      <c r="H120" s="15"/>
      <c r="I120" s="15"/>
      <c r="J120" s="15">
        <f t="shared" si="6"/>
        <v>0</v>
      </c>
      <c r="M120" s="15"/>
    </row>
    <row r="121" spans="1:13">
      <c r="A121" s="14"/>
      <c r="B121" s="14" t="str">
        <f t="shared" si="7"/>
        <v>ene</v>
      </c>
      <c r="H121" s="15"/>
      <c r="I121" s="15"/>
      <c r="J121" s="15">
        <f t="shared" si="6"/>
        <v>0</v>
      </c>
      <c r="M121" s="15"/>
    </row>
    <row r="122" spans="1:13">
      <c r="A122" s="14"/>
      <c r="B122" s="14" t="str">
        <f t="shared" si="7"/>
        <v>ene</v>
      </c>
      <c r="H122" s="15"/>
      <c r="I122" s="15"/>
      <c r="J122" s="15">
        <f t="shared" si="6"/>
        <v>0</v>
      </c>
      <c r="M122" s="15"/>
    </row>
    <row r="123" spans="1:13">
      <c r="A123" s="14"/>
      <c r="B123" s="14" t="str">
        <f t="shared" si="7"/>
        <v>ene</v>
      </c>
      <c r="H123" s="15"/>
      <c r="I123" s="15"/>
      <c r="J123" s="15">
        <f t="shared" si="6"/>
        <v>0</v>
      </c>
      <c r="M123" s="15"/>
    </row>
    <row r="124" spans="1:13">
      <c r="A124" s="14"/>
      <c r="B124" s="14" t="str">
        <f t="shared" si="7"/>
        <v>ene</v>
      </c>
      <c r="H124" s="15"/>
      <c r="I124" s="15"/>
      <c r="J124" s="15">
        <f t="shared" ref="J124:J149" si="8">SUM(H124+I124)</f>
        <v>0</v>
      </c>
      <c r="M124" s="15"/>
    </row>
    <row r="125" spans="1:13">
      <c r="A125" s="14"/>
      <c r="B125" s="14" t="str">
        <f t="shared" si="7"/>
        <v>ene</v>
      </c>
      <c r="H125" s="15"/>
      <c r="I125" s="15"/>
      <c r="J125" s="15">
        <f t="shared" si="8"/>
        <v>0</v>
      </c>
      <c r="M125" s="15"/>
    </row>
    <row r="126" spans="1:13">
      <c r="A126" s="14"/>
      <c r="B126" s="14" t="str">
        <f t="shared" si="7"/>
        <v>ene</v>
      </c>
      <c r="H126" s="15"/>
      <c r="I126" s="15"/>
      <c r="J126" s="15">
        <f t="shared" si="8"/>
        <v>0</v>
      </c>
      <c r="M126" s="15"/>
    </row>
    <row r="127" spans="1:13">
      <c r="A127" s="14"/>
      <c r="B127" s="14" t="str">
        <f t="shared" si="7"/>
        <v>ene</v>
      </c>
      <c r="H127" s="15"/>
      <c r="I127" s="15"/>
      <c r="J127" s="15">
        <f t="shared" si="8"/>
        <v>0</v>
      </c>
      <c r="M127" s="15"/>
    </row>
    <row r="128" spans="1:13">
      <c r="A128" s="14"/>
      <c r="B128" s="14" t="str">
        <f t="shared" si="7"/>
        <v>ene</v>
      </c>
      <c r="H128" s="15"/>
      <c r="I128" s="15"/>
      <c r="J128" s="15">
        <f t="shared" si="8"/>
        <v>0</v>
      </c>
      <c r="M128" s="15"/>
    </row>
    <row r="129" spans="1:13">
      <c r="A129" s="14"/>
      <c r="B129" s="14" t="str">
        <f t="shared" si="7"/>
        <v>ene</v>
      </c>
      <c r="H129" s="15"/>
      <c r="I129" s="15"/>
      <c r="J129" s="15">
        <f t="shared" si="8"/>
        <v>0</v>
      </c>
      <c r="M129" s="15"/>
    </row>
    <row r="130" spans="1:13">
      <c r="A130" s="14"/>
      <c r="B130" s="14" t="str">
        <f t="shared" ref="B130:B149" si="9">TEXT(A130,"MMM")</f>
        <v>ene</v>
      </c>
      <c r="H130" s="15"/>
      <c r="I130" s="15"/>
      <c r="J130" s="15">
        <f t="shared" si="8"/>
        <v>0</v>
      </c>
      <c r="M130" s="15"/>
    </row>
    <row r="131" spans="1:13">
      <c r="A131" s="14"/>
      <c r="B131" s="14" t="str">
        <f t="shared" si="9"/>
        <v>ene</v>
      </c>
      <c r="H131" s="15"/>
      <c r="I131" s="15"/>
      <c r="J131" s="15">
        <f t="shared" si="8"/>
        <v>0</v>
      </c>
      <c r="M131" s="15"/>
    </row>
    <row r="132" spans="1:13">
      <c r="A132" s="14"/>
      <c r="B132" s="14" t="str">
        <f t="shared" si="9"/>
        <v>ene</v>
      </c>
      <c r="H132" s="15"/>
      <c r="I132" s="15"/>
      <c r="J132" s="15">
        <f t="shared" si="8"/>
        <v>0</v>
      </c>
      <c r="M132" s="15"/>
    </row>
    <row r="133" spans="1:13">
      <c r="A133" s="14"/>
      <c r="B133" s="14" t="str">
        <f t="shared" si="9"/>
        <v>ene</v>
      </c>
      <c r="H133" s="15"/>
      <c r="I133" s="15"/>
      <c r="J133" s="15">
        <f t="shared" si="8"/>
        <v>0</v>
      </c>
      <c r="M133" s="15"/>
    </row>
    <row r="134" spans="1:13">
      <c r="A134" s="14"/>
      <c r="B134" s="14" t="str">
        <f t="shared" si="9"/>
        <v>ene</v>
      </c>
      <c r="H134" s="15"/>
      <c r="I134" s="15"/>
      <c r="J134" s="15">
        <f t="shared" si="8"/>
        <v>0</v>
      </c>
      <c r="M134" s="15"/>
    </row>
    <row r="135" spans="1:13">
      <c r="A135" s="14"/>
      <c r="B135" s="14" t="str">
        <f t="shared" si="9"/>
        <v>ene</v>
      </c>
      <c r="H135" s="15"/>
      <c r="I135" s="15"/>
      <c r="J135" s="15">
        <f t="shared" si="8"/>
        <v>0</v>
      </c>
      <c r="M135" s="15"/>
    </row>
    <row r="136" spans="1:13">
      <c r="A136" s="14"/>
      <c r="B136" s="14" t="str">
        <f t="shared" si="9"/>
        <v>ene</v>
      </c>
      <c r="H136" s="15"/>
      <c r="I136" s="15"/>
      <c r="J136" s="15">
        <f t="shared" si="8"/>
        <v>0</v>
      </c>
      <c r="M136" s="15"/>
    </row>
    <row r="137" spans="1:13">
      <c r="A137" s="14"/>
      <c r="B137" s="14" t="str">
        <f t="shared" si="9"/>
        <v>ene</v>
      </c>
      <c r="H137" s="15"/>
      <c r="I137" s="15"/>
      <c r="J137" s="15">
        <f t="shared" si="8"/>
        <v>0</v>
      </c>
      <c r="M137" s="15"/>
    </row>
    <row r="138" spans="1:13">
      <c r="A138" s="14"/>
      <c r="B138" s="14" t="str">
        <f t="shared" si="9"/>
        <v>ene</v>
      </c>
      <c r="H138" s="15"/>
      <c r="I138" s="15"/>
      <c r="J138" s="15">
        <f t="shared" si="8"/>
        <v>0</v>
      </c>
      <c r="M138" s="15"/>
    </row>
    <row r="139" spans="1:13">
      <c r="A139" s="14"/>
      <c r="B139" s="14" t="str">
        <f t="shared" si="9"/>
        <v>ene</v>
      </c>
      <c r="H139" s="15"/>
      <c r="I139" s="15"/>
      <c r="J139" s="15">
        <f t="shared" si="8"/>
        <v>0</v>
      </c>
      <c r="M139" s="15"/>
    </row>
    <row r="140" spans="1:13">
      <c r="A140" s="14"/>
      <c r="B140" s="14" t="str">
        <f t="shared" si="9"/>
        <v>ene</v>
      </c>
      <c r="H140" s="15"/>
      <c r="I140" s="15"/>
      <c r="J140" s="15">
        <f t="shared" si="8"/>
        <v>0</v>
      </c>
      <c r="M140" s="15"/>
    </row>
    <row r="141" spans="1:13">
      <c r="A141" s="14"/>
      <c r="B141" s="14" t="str">
        <f t="shared" si="9"/>
        <v>ene</v>
      </c>
      <c r="H141" s="15"/>
      <c r="I141" s="15"/>
      <c r="J141" s="15">
        <f t="shared" si="8"/>
        <v>0</v>
      </c>
      <c r="M141" s="15"/>
    </row>
    <row r="142" spans="1:13">
      <c r="A142" s="14"/>
      <c r="B142" s="14" t="str">
        <f t="shared" si="9"/>
        <v>ene</v>
      </c>
      <c r="H142" s="15"/>
      <c r="I142" s="15"/>
      <c r="J142" s="15">
        <f t="shared" si="8"/>
        <v>0</v>
      </c>
      <c r="M142" s="15"/>
    </row>
    <row r="143" spans="1:13">
      <c r="A143" s="14"/>
      <c r="B143" s="14" t="str">
        <f t="shared" si="9"/>
        <v>ene</v>
      </c>
      <c r="H143" s="15"/>
      <c r="I143" s="15"/>
      <c r="J143" s="15">
        <f t="shared" si="8"/>
        <v>0</v>
      </c>
      <c r="M143" s="15"/>
    </row>
    <row r="144" spans="1:13">
      <c r="A144" s="14"/>
      <c r="B144" s="14" t="str">
        <f t="shared" si="9"/>
        <v>ene</v>
      </c>
      <c r="H144" s="15"/>
      <c r="I144" s="15"/>
      <c r="J144" s="15">
        <f t="shared" si="8"/>
        <v>0</v>
      </c>
      <c r="M144" s="15"/>
    </row>
    <row r="145" spans="1:13">
      <c r="A145" s="14"/>
      <c r="B145" s="14" t="str">
        <f t="shared" si="9"/>
        <v>ene</v>
      </c>
      <c r="H145" s="15"/>
      <c r="I145" s="15"/>
      <c r="J145" s="15">
        <f t="shared" si="8"/>
        <v>0</v>
      </c>
      <c r="M145" s="15"/>
    </row>
    <row r="146" spans="1:13">
      <c r="A146" s="14"/>
      <c r="B146" s="14" t="str">
        <f t="shared" si="9"/>
        <v>ene</v>
      </c>
      <c r="H146" s="15"/>
      <c r="I146" s="15"/>
      <c r="J146" s="15">
        <f t="shared" si="8"/>
        <v>0</v>
      </c>
      <c r="M146" s="15"/>
    </row>
    <row r="147" spans="1:13">
      <c r="A147" s="14"/>
      <c r="B147" s="14" t="str">
        <f t="shared" si="9"/>
        <v>ene</v>
      </c>
      <c r="H147" s="15"/>
      <c r="I147" s="15"/>
      <c r="J147" s="15">
        <f t="shared" si="8"/>
        <v>0</v>
      </c>
      <c r="M147" s="15"/>
    </row>
    <row r="148" spans="1:13">
      <c r="A148" s="14"/>
      <c r="B148" s="14" t="str">
        <f t="shared" si="9"/>
        <v>ene</v>
      </c>
      <c r="H148" s="15"/>
      <c r="I148" s="15"/>
      <c r="J148" s="15">
        <f t="shared" si="8"/>
        <v>0</v>
      </c>
      <c r="M148" s="15"/>
    </row>
    <row r="149" spans="1:13">
      <c r="A149" s="14"/>
      <c r="B149" s="14" t="str">
        <f t="shared" si="9"/>
        <v>ene</v>
      </c>
      <c r="H149" s="15"/>
      <c r="I149" s="15"/>
      <c r="J149" s="15">
        <f t="shared" si="8"/>
        <v>0</v>
      </c>
      <c r="M149" s="15"/>
    </row>
  </sheetData>
  <sheetProtection sheet="1" objects="1" scenarios="1"/>
  <conditionalFormatting sqref="D32:D37 D2:D30 D39:D149">
    <cfRule type="containsText" dxfId="499" priority="6" operator="containsText" text=" ">
      <formula>NOT(ISERROR(SEARCH(" ",D2)))</formula>
    </cfRule>
  </conditionalFormatting>
  <conditionalFormatting sqref="D38">
    <cfRule type="containsText" dxfId="498" priority="4" operator="containsText" text=" ">
      <formula>NOT(ISERROR(SEARCH(" ",D38)))</formula>
    </cfRule>
  </conditionalFormatting>
  <conditionalFormatting sqref="D38">
    <cfRule type="duplicateValues" dxfId="497" priority="5"/>
  </conditionalFormatting>
  <conditionalFormatting sqref="D2:D149">
    <cfRule type="duplicateValues" dxfId="496" priority="154"/>
  </conditionalFormatting>
  <conditionalFormatting sqref="D32:D37 D39:D149 D2:D30">
    <cfRule type="duplicateValues" dxfId="495" priority="156"/>
  </conditionalFormatting>
  <dataValidations count="3">
    <dataValidation operator="greaterThanOrEqual" allowBlank="1" showInputMessage="1" showErrorMessage="1" errorTitle="CELDA EN BLANCO" error="SI EL VALOR NO APLICA O NO SE CONOCE INDICAR CON UN 0" sqref="H2:H49 I2:K149 H52:H149 L84" xr:uid="{7D9FFFD8-D054-4003-9251-D5B99AF313D0}"/>
    <dataValidation allowBlank="1" showInputMessage="1" showErrorMessage="1" sqref="L2:L10 D17:D30 D2:D15 D32:D149 L12:L83 L85:L149" xr:uid="{5F631D8D-D0DA-45F3-8EA7-108F472A217C}"/>
    <dataValidation type="date" allowBlank="1" showInputMessage="1" showErrorMessage="1" sqref="A2:B149" xr:uid="{2421B3FD-E057-455A-82F2-33FDE134603D}">
      <formula1>36526</formula1>
      <formula2>47848</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FE93B09-35C9-4714-BE73-29A7461A2838}">
          <x14:formula1>
            <xm:f>'LISTAS DESPLEGABLES'!$F$3:$F$23</xm:f>
          </x14:formula1>
          <xm:sqref>E2:E149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E87E-D359-4CEB-B397-D036D9F42C56}">
  <sheetPr>
    <tabColor theme="4" tint="-0.249977111117893"/>
  </sheetPr>
  <dimension ref="A1:L160"/>
  <sheetViews>
    <sheetView topLeftCell="D1" workbookViewId="0">
      <pane ySplit="1" topLeftCell="A46" activePane="bottomLeft" state="frozen"/>
      <selection activeCell="C3" sqref="C3"/>
      <selection pane="bottomLeft" activeCell="F48" sqref="F48"/>
    </sheetView>
  </sheetViews>
  <sheetFormatPr baseColWidth="10" defaultColWidth="9.125" defaultRowHeight="14.25"/>
  <cols>
    <col min="1" max="1" width="25" style="13" customWidth="1"/>
    <col min="2" max="2" width="10.875" style="13" customWidth="1"/>
    <col min="3" max="3" width="22" style="13" customWidth="1"/>
    <col min="4" max="4" width="24.25" style="13" customWidth="1"/>
    <col min="5" max="5" width="21.25" style="13" customWidth="1"/>
    <col min="6" max="6" width="58.125" style="13" customWidth="1"/>
    <col min="7" max="7" width="57.625" style="13" customWidth="1"/>
    <col min="8" max="8" width="21.125" style="13" customWidth="1"/>
    <col min="9" max="9" width="23.875" style="13" customWidth="1"/>
    <col min="10" max="10" width="26.375" style="13" customWidth="1"/>
    <col min="11" max="11" width="16.375" style="13" customWidth="1"/>
    <col min="12" max="12" width="16.75" style="13" customWidth="1"/>
    <col min="13" max="16384" width="9.125" style="13"/>
  </cols>
  <sheetData>
    <row r="1" spans="1:12" ht="55.5" customHeight="1">
      <c r="A1" s="13" t="s">
        <v>569</v>
      </c>
      <c r="B1" s="13" t="s">
        <v>570</v>
      </c>
      <c r="C1" s="13" t="s">
        <v>571</v>
      </c>
      <c r="D1" s="13" t="s">
        <v>180</v>
      </c>
      <c r="E1" s="13" t="s">
        <v>181</v>
      </c>
      <c r="F1" s="13" t="s">
        <v>572</v>
      </c>
      <c r="G1" s="13" t="s">
        <v>182</v>
      </c>
      <c r="H1" s="13" t="s">
        <v>183</v>
      </c>
      <c r="I1" s="13" t="s">
        <v>184</v>
      </c>
      <c r="J1" s="13" t="s">
        <v>185</v>
      </c>
      <c r="K1" s="13" t="s">
        <v>2</v>
      </c>
      <c r="L1" s="13" t="s">
        <v>187</v>
      </c>
    </row>
    <row r="2" spans="1:12" ht="57">
      <c r="A2" s="14">
        <v>45693</v>
      </c>
      <c r="B2" s="13" t="str">
        <f>TEXT(A2,"MMM")</f>
        <v>feb</v>
      </c>
      <c r="C2" s="13" t="s">
        <v>573</v>
      </c>
      <c r="D2" s="19" t="s">
        <v>74</v>
      </c>
      <c r="E2" s="13" t="s">
        <v>574</v>
      </c>
      <c r="F2" s="13" t="s">
        <v>575</v>
      </c>
      <c r="G2" s="13" t="s">
        <v>576</v>
      </c>
      <c r="H2" s="20">
        <v>12000000</v>
      </c>
      <c r="I2" s="15">
        <v>0</v>
      </c>
      <c r="J2" s="15">
        <f t="shared" ref="J2:J31" si="0">H2+I2</f>
        <v>12000000</v>
      </c>
      <c r="K2" s="13" t="s">
        <v>27</v>
      </c>
      <c r="L2" s="13" t="s">
        <v>192</v>
      </c>
    </row>
    <row r="3" spans="1:12" ht="57">
      <c r="A3" s="14">
        <v>45693</v>
      </c>
      <c r="B3" s="13" t="str">
        <f t="shared" ref="B3:B4" si="1">TEXT(A3,"MMM")</f>
        <v>feb</v>
      </c>
      <c r="C3" s="13" t="s">
        <v>573</v>
      </c>
      <c r="D3" s="19" t="s">
        <v>74</v>
      </c>
      <c r="E3" s="13" t="s">
        <v>577</v>
      </c>
      <c r="F3" s="13" t="s">
        <v>578</v>
      </c>
      <c r="G3" s="13" t="s">
        <v>579</v>
      </c>
      <c r="H3" s="15">
        <v>10800000</v>
      </c>
      <c r="I3" s="15">
        <v>0</v>
      </c>
      <c r="J3" s="15">
        <f t="shared" si="0"/>
        <v>10800000</v>
      </c>
      <c r="K3" s="13" t="s">
        <v>39</v>
      </c>
      <c r="L3" s="13" t="s">
        <v>192</v>
      </c>
    </row>
    <row r="4" spans="1:12" ht="85.5">
      <c r="A4" s="14">
        <v>45674</v>
      </c>
      <c r="B4" s="13" t="str">
        <f t="shared" si="1"/>
        <v>ene</v>
      </c>
      <c r="C4" s="13" t="s">
        <v>580</v>
      </c>
      <c r="D4" s="13" t="s">
        <v>97</v>
      </c>
      <c r="E4" s="13" t="s">
        <v>581</v>
      </c>
      <c r="F4" s="13" t="s">
        <v>582</v>
      </c>
      <c r="G4" s="13" t="s">
        <v>582</v>
      </c>
      <c r="H4" s="15">
        <v>19056054896</v>
      </c>
      <c r="I4" s="15">
        <v>0</v>
      </c>
      <c r="J4" s="15">
        <f t="shared" si="0"/>
        <v>19056054896</v>
      </c>
      <c r="K4" s="13" t="s">
        <v>583</v>
      </c>
      <c r="L4" s="13" t="s">
        <v>192</v>
      </c>
    </row>
    <row r="5" spans="1:12" ht="57">
      <c r="A5" s="14">
        <v>45674</v>
      </c>
      <c r="B5" s="13" t="str">
        <f t="shared" ref="B5:B36" si="2">TEXT(A5,"MMM")</f>
        <v>ene</v>
      </c>
      <c r="C5" s="13" t="s">
        <v>580</v>
      </c>
      <c r="D5" s="13" t="s">
        <v>97</v>
      </c>
      <c r="E5" s="13" t="s">
        <v>584</v>
      </c>
      <c r="F5" s="13" t="s">
        <v>585</v>
      </c>
      <c r="G5" s="13" t="s">
        <v>586</v>
      </c>
      <c r="H5" s="15">
        <v>20000000</v>
      </c>
      <c r="I5" s="15">
        <v>0</v>
      </c>
      <c r="J5" s="15">
        <f t="shared" si="0"/>
        <v>20000000</v>
      </c>
      <c r="K5" s="13" t="s">
        <v>27</v>
      </c>
    </row>
    <row r="6" spans="1:12" ht="71.25">
      <c r="A6" s="14">
        <v>45714</v>
      </c>
      <c r="B6" s="13" t="str">
        <f t="shared" si="2"/>
        <v>feb</v>
      </c>
      <c r="C6" s="13" t="s">
        <v>67</v>
      </c>
      <c r="D6" s="19" t="s">
        <v>97</v>
      </c>
      <c r="E6" s="13" t="s">
        <v>587</v>
      </c>
      <c r="F6" s="13" t="s">
        <v>588</v>
      </c>
      <c r="G6" s="15" t="s">
        <v>589</v>
      </c>
      <c r="H6" s="15">
        <v>696050000</v>
      </c>
      <c r="I6" s="15">
        <v>0</v>
      </c>
      <c r="J6" s="30">
        <f t="shared" si="0"/>
        <v>696050000</v>
      </c>
      <c r="K6" s="13" t="s">
        <v>65</v>
      </c>
      <c r="L6" s="13" t="s">
        <v>192</v>
      </c>
    </row>
    <row r="7" spans="1:12" ht="57">
      <c r="A7" s="14">
        <v>45714</v>
      </c>
      <c r="B7" s="13" t="str">
        <f t="shared" si="2"/>
        <v>feb</v>
      </c>
      <c r="C7" s="13" t="s">
        <v>67</v>
      </c>
      <c r="D7" s="19" t="s">
        <v>97</v>
      </c>
      <c r="E7" s="13" t="s">
        <v>587</v>
      </c>
      <c r="F7" s="13" t="s">
        <v>590</v>
      </c>
      <c r="G7" s="15" t="s">
        <v>591</v>
      </c>
      <c r="H7" s="15">
        <v>318000000</v>
      </c>
      <c r="I7" s="15">
        <v>0</v>
      </c>
      <c r="J7" s="30">
        <f t="shared" si="0"/>
        <v>318000000</v>
      </c>
      <c r="K7" s="13" t="s">
        <v>39</v>
      </c>
      <c r="L7" s="13" t="s">
        <v>192</v>
      </c>
    </row>
    <row r="8" spans="1:12" ht="93" customHeight="1">
      <c r="A8" s="14">
        <v>45714</v>
      </c>
      <c r="B8" s="13" t="str">
        <f t="shared" si="2"/>
        <v>feb</v>
      </c>
      <c r="C8" s="13" t="s">
        <v>67</v>
      </c>
      <c r="D8" s="19" t="s">
        <v>97</v>
      </c>
      <c r="E8" s="13" t="s">
        <v>584</v>
      </c>
      <c r="F8" s="13" t="s">
        <v>585</v>
      </c>
      <c r="G8" s="15" t="s">
        <v>592</v>
      </c>
      <c r="H8" s="15">
        <v>18000000</v>
      </c>
      <c r="I8" s="15">
        <v>0</v>
      </c>
      <c r="J8" s="30">
        <f t="shared" si="0"/>
        <v>18000000</v>
      </c>
      <c r="K8" s="13" t="s">
        <v>27</v>
      </c>
      <c r="L8" s="13" t="s">
        <v>192</v>
      </c>
    </row>
    <row r="9" spans="1:12" ht="71.25">
      <c r="A9" s="14">
        <v>45714</v>
      </c>
      <c r="B9" s="13" t="str">
        <f t="shared" si="2"/>
        <v>feb</v>
      </c>
      <c r="C9" s="13" t="s">
        <v>67</v>
      </c>
      <c r="D9" s="19" t="s">
        <v>60</v>
      </c>
      <c r="E9" s="13" t="s">
        <v>593</v>
      </c>
      <c r="F9" s="13" t="s">
        <v>594</v>
      </c>
      <c r="G9" s="15" t="s">
        <v>595</v>
      </c>
      <c r="H9" s="15">
        <v>240993348</v>
      </c>
      <c r="I9" s="15">
        <v>0</v>
      </c>
      <c r="J9" s="30">
        <f t="shared" si="0"/>
        <v>240993348</v>
      </c>
      <c r="K9" s="13" t="s">
        <v>72</v>
      </c>
      <c r="L9" s="13" t="s">
        <v>192</v>
      </c>
    </row>
    <row r="10" spans="1:12" ht="71.25">
      <c r="A10" s="14">
        <v>45714</v>
      </c>
      <c r="B10" s="13" t="str">
        <f t="shared" si="2"/>
        <v>feb</v>
      </c>
      <c r="C10" s="13" t="s">
        <v>67</v>
      </c>
      <c r="D10" s="13" t="s">
        <v>74</v>
      </c>
      <c r="E10" s="13" t="s">
        <v>596</v>
      </c>
      <c r="F10" s="13" t="s">
        <v>597</v>
      </c>
      <c r="G10" s="15" t="s">
        <v>598</v>
      </c>
      <c r="H10" s="15">
        <v>47926666</v>
      </c>
      <c r="I10" s="15">
        <v>0</v>
      </c>
      <c r="J10" s="30">
        <f t="shared" si="0"/>
        <v>47926666</v>
      </c>
      <c r="K10" s="13" t="s">
        <v>39</v>
      </c>
      <c r="L10" s="13" t="s">
        <v>192</v>
      </c>
    </row>
    <row r="11" spans="1:12" ht="85.5">
      <c r="A11" s="14">
        <v>45714</v>
      </c>
      <c r="B11" s="13" t="str">
        <f t="shared" si="2"/>
        <v>feb</v>
      </c>
      <c r="C11" s="13" t="s">
        <v>67</v>
      </c>
      <c r="D11" s="13" t="s">
        <v>74</v>
      </c>
      <c r="E11" s="13" t="s">
        <v>599</v>
      </c>
      <c r="F11" s="13" t="s">
        <v>600</v>
      </c>
      <c r="G11" s="15" t="s">
        <v>601</v>
      </c>
      <c r="H11" s="15">
        <v>1992529000</v>
      </c>
      <c r="I11" s="15">
        <v>0</v>
      </c>
      <c r="J11" s="30">
        <f t="shared" si="0"/>
        <v>1992529000</v>
      </c>
      <c r="K11" s="13" t="s">
        <v>602</v>
      </c>
      <c r="L11" s="13" t="s">
        <v>192</v>
      </c>
    </row>
    <row r="12" spans="1:12" ht="99.75">
      <c r="A12" s="14">
        <v>45714</v>
      </c>
      <c r="B12" s="13" t="str">
        <f t="shared" si="2"/>
        <v>feb</v>
      </c>
      <c r="C12" s="13" t="s">
        <v>67</v>
      </c>
      <c r="D12" s="13" t="s">
        <v>74</v>
      </c>
      <c r="E12" s="13" t="s">
        <v>603</v>
      </c>
      <c r="F12" s="13" t="s">
        <v>604</v>
      </c>
      <c r="G12" s="15" t="s">
        <v>605</v>
      </c>
      <c r="H12" s="15">
        <v>175000000</v>
      </c>
      <c r="I12" s="15">
        <v>0</v>
      </c>
      <c r="J12" s="30">
        <f t="shared" si="0"/>
        <v>175000000</v>
      </c>
      <c r="K12" s="13" t="s">
        <v>78</v>
      </c>
      <c r="L12" s="13" t="s">
        <v>192</v>
      </c>
    </row>
    <row r="13" spans="1:12" ht="85.5">
      <c r="A13" s="14">
        <v>45714</v>
      </c>
      <c r="B13" s="13" t="str">
        <f t="shared" si="2"/>
        <v>feb</v>
      </c>
      <c r="C13" s="13" t="s">
        <v>67</v>
      </c>
      <c r="D13" s="19" t="s">
        <v>60</v>
      </c>
      <c r="E13" s="13" t="s">
        <v>606</v>
      </c>
      <c r="F13" s="13" t="s">
        <v>607</v>
      </c>
      <c r="G13" s="15" t="s">
        <v>608</v>
      </c>
      <c r="H13" s="15">
        <v>162993744</v>
      </c>
      <c r="I13" s="15">
        <v>0</v>
      </c>
      <c r="J13" s="30">
        <f t="shared" si="0"/>
        <v>162993744</v>
      </c>
      <c r="K13" s="13" t="s">
        <v>72</v>
      </c>
      <c r="L13" s="13" t="s">
        <v>192</v>
      </c>
    </row>
    <row r="14" spans="1:12" ht="128.25">
      <c r="A14" s="14">
        <v>45728</v>
      </c>
      <c r="B14" s="13" t="str">
        <f t="shared" si="2"/>
        <v>mar</v>
      </c>
      <c r="C14" s="13" t="s">
        <v>79</v>
      </c>
      <c r="D14" s="19" t="s">
        <v>97</v>
      </c>
      <c r="E14" s="13" t="s">
        <v>502</v>
      </c>
      <c r="F14" s="13" t="s">
        <v>609</v>
      </c>
      <c r="G14" s="15" t="s">
        <v>609</v>
      </c>
      <c r="H14" s="15">
        <v>6850084165</v>
      </c>
      <c r="I14" s="15">
        <v>0</v>
      </c>
      <c r="J14" s="30">
        <f t="shared" si="0"/>
        <v>6850084165</v>
      </c>
      <c r="K14" s="13" t="s">
        <v>101</v>
      </c>
      <c r="L14" s="13" t="s">
        <v>192</v>
      </c>
    </row>
    <row r="15" spans="1:12" ht="57">
      <c r="A15" s="14">
        <v>45728</v>
      </c>
      <c r="B15" s="13" t="str">
        <f t="shared" si="2"/>
        <v>mar</v>
      </c>
      <c r="C15" s="13" t="s">
        <v>79</v>
      </c>
      <c r="D15" s="19" t="s">
        <v>97</v>
      </c>
      <c r="E15" s="13" t="s">
        <v>610</v>
      </c>
      <c r="F15" s="13" t="s">
        <v>611</v>
      </c>
      <c r="G15" s="15" t="s">
        <v>612</v>
      </c>
      <c r="H15" s="15">
        <v>6216503808</v>
      </c>
      <c r="I15" s="15">
        <v>0</v>
      </c>
      <c r="J15" s="30">
        <f t="shared" si="0"/>
        <v>6216503808</v>
      </c>
      <c r="K15" s="13" t="s">
        <v>613</v>
      </c>
      <c r="L15" s="13" t="s">
        <v>192</v>
      </c>
    </row>
    <row r="16" spans="1:12" ht="42.75">
      <c r="A16" s="14">
        <v>45728</v>
      </c>
      <c r="B16" s="13" t="str">
        <f t="shared" si="2"/>
        <v>mar</v>
      </c>
      <c r="C16" s="13" t="s">
        <v>79</v>
      </c>
      <c r="D16" s="19" t="s">
        <v>74</v>
      </c>
      <c r="E16" s="13" t="s">
        <v>614</v>
      </c>
      <c r="F16" s="13" t="s">
        <v>615</v>
      </c>
      <c r="G16" s="15" t="s">
        <v>616</v>
      </c>
      <c r="H16" s="15">
        <v>618838000</v>
      </c>
      <c r="I16" s="15">
        <v>61000000</v>
      </c>
      <c r="J16" s="30">
        <f t="shared" si="0"/>
        <v>679838000</v>
      </c>
      <c r="K16" s="13" t="s">
        <v>57</v>
      </c>
      <c r="L16" s="13" t="s">
        <v>192</v>
      </c>
    </row>
    <row r="17" spans="1:12" ht="114">
      <c r="A17" s="14">
        <v>45728</v>
      </c>
      <c r="B17" s="13" t="str">
        <f t="shared" si="2"/>
        <v>mar</v>
      </c>
      <c r="C17" s="13" t="s">
        <v>79</v>
      </c>
      <c r="D17" s="19" t="s">
        <v>86</v>
      </c>
      <c r="E17" s="13" t="s">
        <v>574</v>
      </c>
      <c r="F17" s="13" t="s">
        <v>617</v>
      </c>
      <c r="G17" s="15" t="s">
        <v>618</v>
      </c>
      <c r="H17" s="15">
        <v>64950000</v>
      </c>
      <c r="I17" s="15">
        <v>0</v>
      </c>
      <c r="J17" s="30">
        <f t="shared" si="0"/>
        <v>64950000</v>
      </c>
      <c r="K17" s="13" t="s">
        <v>65</v>
      </c>
      <c r="L17" s="13" t="s">
        <v>192</v>
      </c>
    </row>
    <row r="18" spans="1:12" ht="156.75">
      <c r="A18" s="14">
        <v>45733</v>
      </c>
      <c r="B18" s="13" t="str">
        <f t="shared" si="2"/>
        <v>mar</v>
      </c>
      <c r="C18" s="13" t="s">
        <v>90</v>
      </c>
      <c r="D18" s="13" t="s">
        <v>97</v>
      </c>
      <c r="E18" s="13" t="s">
        <v>302</v>
      </c>
      <c r="F18" s="13" t="s">
        <v>619</v>
      </c>
      <c r="G18" s="15" t="s">
        <v>620</v>
      </c>
      <c r="H18" s="15">
        <v>1332000000</v>
      </c>
      <c r="I18" s="15">
        <v>0</v>
      </c>
      <c r="J18" s="30">
        <f t="shared" si="0"/>
        <v>1332000000</v>
      </c>
      <c r="K18" s="13" t="s">
        <v>72</v>
      </c>
      <c r="L18" s="13" t="s">
        <v>192</v>
      </c>
    </row>
    <row r="19" spans="1:12" ht="85.5">
      <c r="A19" s="14">
        <v>45735</v>
      </c>
      <c r="B19" s="13" t="str">
        <f t="shared" si="2"/>
        <v>mar</v>
      </c>
      <c r="C19" s="13" t="s">
        <v>59</v>
      </c>
      <c r="D19" s="13" t="s">
        <v>74</v>
      </c>
      <c r="E19" s="13" t="s">
        <v>599</v>
      </c>
      <c r="F19" s="13" t="s">
        <v>600</v>
      </c>
      <c r="G19" s="15" t="s">
        <v>621</v>
      </c>
      <c r="H19" s="15">
        <v>1991969000</v>
      </c>
      <c r="I19" s="15">
        <v>0</v>
      </c>
      <c r="J19" s="30">
        <f t="shared" si="0"/>
        <v>1991969000</v>
      </c>
      <c r="K19" s="13" t="s">
        <v>483</v>
      </c>
      <c r="L19" s="13" t="s">
        <v>192</v>
      </c>
    </row>
    <row r="20" spans="1:12" ht="85.5">
      <c r="A20" s="14">
        <v>45735</v>
      </c>
      <c r="B20" s="13" t="str">
        <f t="shared" si="2"/>
        <v>mar</v>
      </c>
      <c r="C20" s="13" t="s">
        <v>59</v>
      </c>
      <c r="D20" s="13" t="s">
        <v>68</v>
      </c>
      <c r="E20" s="13" t="s">
        <v>574</v>
      </c>
      <c r="F20" s="13" t="s">
        <v>622</v>
      </c>
      <c r="G20" s="15" t="s">
        <v>623</v>
      </c>
      <c r="H20" s="15">
        <v>40000000</v>
      </c>
      <c r="I20" s="15">
        <v>0</v>
      </c>
      <c r="J20" s="30">
        <f t="shared" si="0"/>
        <v>40000000</v>
      </c>
      <c r="K20" s="13" t="s">
        <v>57</v>
      </c>
      <c r="L20" s="13" t="s">
        <v>192</v>
      </c>
    </row>
    <row r="21" spans="1:12" ht="68.25" customHeight="1">
      <c r="A21" s="14">
        <v>45735</v>
      </c>
      <c r="B21" s="13" t="str">
        <f t="shared" si="2"/>
        <v>mar</v>
      </c>
      <c r="C21" s="13" t="s">
        <v>59</v>
      </c>
      <c r="D21" s="13" t="s">
        <v>68</v>
      </c>
      <c r="E21" s="13" t="s">
        <v>574</v>
      </c>
      <c r="F21" s="13" t="s">
        <v>624</v>
      </c>
      <c r="G21" s="15" t="s">
        <v>625</v>
      </c>
      <c r="H21" s="15">
        <v>50000000</v>
      </c>
      <c r="I21" s="15">
        <v>0</v>
      </c>
      <c r="J21" s="30">
        <f t="shared" si="0"/>
        <v>50000000</v>
      </c>
      <c r="K21" s="13" t="s">
        <v>626</v>
      </c>
      <c r="L21" s="13" t="s">
        <v>192</v>
      </c>
    </row>
    <row r="22" spans="1:12" ht="57">
      <c r="A22" s="14">
        <v>45735</v>
      </c>
      <c r="B22" s="13" t="str">
        <f t="shared" si="2"/>
        <v>mar</v>
      </c>
      <c r="C22" s="13" t="s">
        <v>59</v>
      </c>
      <c r="D22" s="13" t="s">
        <v>97</v>
      </c>
      <c r="E22" s="13" t="s">
        <v>574</v>
      </c>
      <c r="F22" s="13" t="s">
        <v>627</v>
      </c>
      <c r="G22" s="15" t="s">
        <v>628</v>
      </c>
      <c r="H22" s="15">
        <v>0</v>
      </c>
      <c r="I22" s="15">
        <v>0</v>
      </c>
      <c r="J22" s="30">
        <f t="shared" si="0"/>
        <v>0</v>
      </c>
      <c r="K22" s="13" t="s">
        <v>65</v>
      </c>
      <c r="L22" s="13" t="s">
        <v>192</v>
      </c>
    </row>
    <row r="23" spans="1:12" ht="42.75">
      <c r="A23" s="14">
        <v>45757</v>
      </c>
      <c r="B23" s="13" t="str">
        <f t="shared" si="2"/>
        <v>abr</v>
      </c>
      <c r="C23" s="13" t="s">
        <v>102</v>
      </c>
      <c r="D23" s="13" t="s">
        <v>97</v>
      </c>
      <c r="E23" s="13" t="s">
        <v>629</v>
      </c>
      <c r="F23" s="13" t="s">
        <v>630</v>
      </c>
      <c r="G23" s="15" t="s">
        <v>631</v>
      </c>
      <c r="H23" s="15">
        <v>700000000</v>
      </c>
      <c r="I23" s="15">
        <v>0</v>
      </c>
      <c r="J23" s="30">
        <f t="shared" si="0"/>
        <v>700000000</v>
      </c>
      <c r="K23" s="13" t="s">
        <v>39</v>
      </c>
      <c r="L23" s="13" t="s">
        <v>192</v>
      </c>
    </row>
    <row r="24" spans="1:12" ht="85.5">
      <c r="A24" s="14">
        <v>45757</v>
      </c>
      <c r="B24" s="13" t="str">
        <f t="shared" si="2"/>
        <v>abr</v>
      </c>
      <c r="C24" s="13" t="s">
        <v>102</v>
      </c>
      <c r="D24" s="13" t="s">
        <v>68</v>
      </c>
      <c r="E24" s="13" t="s">
        <v>632</v>
      </c>
      <c r="F24" s="13" t="s">
        <v>633</v>
      </c>
      <c r="G24" s="15" t="s">
        <v>634</v>
      </c>
      <c r="H24" s="15">
        <v>24192000</v>
      </c>
      <c r="I24" s="15">
        <v>0</v>
      </c>
      <c r="J24" s="30">
        <f t="shared" si="0"/>
        <v>24192000</v>
      </c>
      <c r="K24" s="13" t="s">
        <v>49</v>
      </c>
      <c r="L24" s="13" t="s">
        <v>192</v>
      </c>
    </row>
    <row r="25" spans="1:12" ht="85.5">
      <c r="A25" s="14">
        <v>45757</v>
      </c>
      <c r="B25" s="13" t="str">
        <f t="shared" si="2"/>
        <v>abr</v>
      </c>
      <c r="C25" s="13" t="s">
        <v>102</v>
      </c>
      <c r="D25" s="13" t="s">
        <v>60</v>
      </c>
      <c r="E25" s="13" t="s">
        <v>574</v>
      </c>
      <c r="F25" s="13" t="s">
        <v>635</v>
      </c>
      <c r="G25" s="15" t="s">
        <v>636</v>
      </c>
      <c r="H25" s="15">
        <v>70400000</v>
      </c>
      <c r="I25" s="15">
        <v>0</v>
      </c>
      <c r="J25" s="30">
        <f t="shared" si="0"/>
        <v>70400000</v>
      </c>
      <c r="K25" s="13" t="s">
        <v>39</v>
      </c>
      <c r="L25" s="13" t="s">
        <v>192</v>
      </c>
    </row>
    <row r="26" spans="1:12" ht="114">
      <c r="A26" s="14">
        <v>45749</v>
      </c>
      <c r="B26" s="13" t="str">
        <f t="shared" si="2"/>
        <v>abr</v>
      </c>
      <c r="C26" s="13" t="s">
        <v>73</v>
      </c>
      <c r="D26" s="13" t="s">
        <v>68</v>
      </c>
      <c r="E26" s="13" t="s">
        <v>637</v>
      </c>
      <c r="F26" s="13" t="s">
        <v>638</v>
      </c>
      <c r="G26" s="15" t="s">
        <v>639</v>
      </c>
      <c r="H26" s="15">
        <v>70000000</v>
      </c>
      <c r="I26" s="15">
        <v>0</v>
      </c>
      <c r="J26" s="30">
        <f t="shared" si="0"/>
        <v>70000000</v>
      </c>
      <c r="K26" s="13" t="s">
        <v>65</v>
      </c>
      <c r="L26" s="13" t="s">
        <v>192</v>
      </c>
    </row>
    <row r="27" spans="1:12" ht="142.5">
      <c r="A27" s="14">
        <v>45749</v>
      </c>
      <c r="B27" s="13" t="str">
        <f t="shared" si="2"/>
        <v>abr</v>
      </c>
      <c r="C27" s="13" t="s">
        <v>73</v>
      </c>
      <c r="D27" s="13" t="s">
        <v>86</v>
      </c>
      <c r="E27" s="13" t="s">
        <v>640</v>
      </c>
      <c r="F27" s="13" t="s">
        <v>641</v>
      </c>
      <c r="G27" s="15" t="s">
        <v>642</v>
      </c>
      <c r="H27" s="15">
        <v>1443523270</v>
      </c>
      <c r="I27" s="15">
        <v>144352327</v>
      </c>
      <c r="J27" s="30">
        <f t="shared" si="0"/>
        <v>1587875597</v>
      </c>
      <c r="K27" s="13" t="s">
        <v>72</v>
      </c>
      <c r="L27" s="13" t="s">
        <v>192</v>
      </c>
    </row>
    <row r="28" spans="1:12" ht="99.75">
      <c r="A28" s="14">
        <v>45749</v>
      </c>
      <c r="B28" s="13" t="str">
        <f t="shared" si="2"/>
        <v>abr</v>
      </c>
      <c r="C28" s="13" t="s">
        <v>73</v>
      </c>
      <c r="D28" s="22" t="s">
        <v>60</v>
      </c>
      <c r="E28" s="18" t="s">
        <v>643</v>
      </c>
      <c r="F28" s="13" t="s">
        <v>644</v>
      </c>
      <c r="G28" s="15" t="s">
        <v>645</v>
      </c>
      <c r="H28" s="15">
        <v>76000000</v>
      </c>
      <c r="I28" s="15">
        <v>0</v>
      </c>
      <c r="J28" s="30">
        <f t="shared" si="0"/>
        <v>76000000</v>
      </c>
      <c r="K28" s="13" t="s">
        <v>49</v>
      </c>
      <c r="L28" s="13" t="s">
        <v>192</v>
      </c>
    </row>
    <row r="29" spans="1:12" ht="99.75">
      <c r="A29" s="14">
        <v>45749</v>
      </c>
      <c r="B29" s="13" t="str">
        <f t="shared" si="2"/>
        <v>abr</v>
      </c>
      <c r="C29" s="13" t="s">
        <v>73</v>
      </c>
      <c r="D29" s="13" t="s">
        <v>97</v>
      </c>
      <c r="E29" s="13" t="s">
        <v>227</v>
      </c>
      <c r="F29" s="13" t="s">
        <v>646</v>
      </c>
      <c r="G29" s="15" t="s">
        <v>647</v>
      </c>
      <c r="H29" s="15">
        <v>1562512000</v>
      </c>
      <c r="I29" s="15">
        <v>0</v>
      </c>
      <c r="J29" s="30">
        <f t="shared" si="0"/>
        <v>1562512000</v>
      </c>
      <c r="K29" s="13" t="s">
        <v>72</v>
      </c>
      <c r="L29" s="13" t="s">
        <v>192</v>
      </c>
    </row>
    <row r="30" spans="1:12" ht="99.75">
      <c r="A30" s="14">
        <v>45784</v>
      </c>
      <c r="B30" s="13" t="str">
        <f t="shared" si="2"/>
        <v>may</v>
      </c>
      <c r="C30" s="13" t="s">
        <v>85</v>
      </c>
      <c r="D30" s="13" t="s">
        <v>97</v>
      </c>
      <c r="E30" s="13" t="s">
        <v>648</v>
      </c>
      <c r="F30" s="13" t="s">
        <v>649</v>
      </c>
      <c r="G30" s="15" t="s">
        <v>650</v>
      </c>
      <c r="H30" s="15">
        <v>204472820</v>
      </c>
      <c r="I30" s="15">
        <v>0</v>
      </c>
      <c r="J30" s="30">
        <f t="shared" si="0"/>
        <v>204472820</v>
      </c>
      <c r="K30" s="13" t="s">
        <v>78</v>
      </c>
      <c r="L30" s="13" t="s">
        <v>192</v>
      </c>
    </row>
    <row r="31" spans="1:12" ht="71.25">
      <c r="A31" s="23">
        <v>45784</v>
      </c>
      <c r="B31" s="13" t="str">
        <f t="shared" si="2"/>
        <v>may</v>
      </c>
      <c r="C31" s="18" t="s">
        <v>85</v>
      </c>
      <c r="D31" s="18" t="s">
        <v>97</v>
      </c>
      <c r="E31" s="18" t="s">
        <v>651</v>
      </c>
      <c r="F31" s="13" t="s">
        <v>652</v>
      </c>
      <c r="G31" s="15" t="s">
        <v>652</v>
      </c>
      <c r="H31" s="15">
        <v>541000000</v>
      </c>
      <c r="I31" s="15">
        <v>0</v>
      </c>
      <c r="J31" s="30">
        <f t="shared" si="0"/>
        <v>541000000</v>
      </c>
      <c r="K31" s="13" t="s">
        <v>78</v>
      </c>
      <c r="L31" s="13" t="s">
        <v>192</v>
      </c>
    </row>
    <row r="32" spans="1:12" ht="156.75">
      <c r="A32" s="21">
        <v>45784</v>
      </c>
      <c r="B32" s="13" t="str">
        <f t="shared" si="2"/>
        <v>may</v>
      </c>
      <c r="C32" s="24" t="s">
        <v>85</v>
      </c>
      <c r="D32" s="13" t="s">
        <v>52</v>
      </c>
      <c r="E32" s="13" t="s">
        <v>653</v>
      </c>
      <c r="F32" s="13" t="s">
        <v>654</v>
      </c>
      <c r="G32" s="15" t="s">
        <v>655</v>
      </c>
      <c r="H32" s="15">
        <v>43869000</v>
      </c>
      <c r="I32" s="15">
        <v>0</v>
      </c>
      <c r="J32" s="30">
        <f t="shared" ref="J32:J63" si="3">H32+I32</f>
        <v>43869000</v>
      </c>
      <c r="K32" s="13" t="s">
        <v>101</v>
      </c>
      <c r="L32" s="13" t="s">
        <v>192</v>
      </c>
    </row>
    <row r="33" spans="1:12" ht="85.5">
      <c r="A33" s="14">
        <v>45784</v>
      </c>
      <c r="B33" s="13" t="str">
        <f t="shared" si="2"/>
        <v>may</v>
      </c>
      <c r="C33" s="25" t="s">
        <v>85</v>
      </c>
      <c r="D33" s="13" t="s">
        <v>52</v>
      </c>
      <c r="E33" s="13" t="s">
        <v>574</v>
      </c>
      <c r="F33" s="13" t="s">
        <v>656</v>
      </c>
      <c r="G33" s="15" t="s">
        <v>657</v>
      </c>
      <c r="H33" s="15">
        <v>43869000</v>
      </c>
      <c r="I33" s="15">
        <v>0</v>
      </c>
      <c r="J33" s="30">
        <f t="shared" si="3"/>
        <v>43869000</v>
      </c>
      <c r="K33" s="13" t="s">
        <v>101</v>
      </c>
      <c r="L33" s="13" t="s">
        <v>192</v>
      </c>
    </row>
    <row r="34" spans="1:12" ht="128.25">
      <c r="A34" s="14">
        <v>45784</v>
      </c>
      <c r="B34" s="13" t="str">
        <f t="shared" si="2"/>
        <v>may</v>
      </c>
      <c r="C34" s="13" t="s">
        <v>85</v>
      </c>
      <c r="D34" s="13" t="s">
        <v>52</v>
      </c>
      <c r="E34" s="13" t="s">
        <v>574</v>
      </c>
      <c r="F34" s="13" t="s">
        <v>658</v>
      </c>
      <c r="G34" s="15" t="s">
        <v>659</v>
      </c>
      <c r="H34" s="15">
        <v>15658500</v>
      </c>
      <c r="I34" s="15">
        <v>0</v>
      </c>
      <c r="J34" s="30">
        <f t="shared" si="3"/>
        <v>15658500</v>
      </c>
      <c r="K34" s="13" t="s">
        <v>65</v>
      </c>
      <c r="L34" s="13" t="s">
        <v>192</v>
      </c>
    </row>
    <row r="35" spans="1:12" ht="71.25">
      <c r="A35" s="14">
        <v>45784</v>
      </c>
      <c r="B35" s="13" t="str">
        <f t="shared" si="2"/>
        <v>may</v>
      </c>
      <c r="C35" s="13" t="s">
        <v>85</v>
      </c>
      <c r="D35" s="13" t="s">
        <v>68</v>
      </c>
      <c r="E35" s="13" t="s">
        <v>574</v>
      </c>
      <c r="F35" s="13" t="s">
        <v>660</v>
      </c>
      <c r="G35" s="15" t="s">
        <v>661</v>
      </c>
      <c r="H35" s="15">
        <v>38900000</v>
      </c>
      <c r="I35" s="15">
        <v>0</v>
      </c>
      <c r="J35" s="30">
        <f t="shared" si="3"/>
        <v>38900000</v>
      </c>
      <c r="K35" s="13" t="s">
        <v>626</v>
      </c>
      <c r="L35" s="13" t="s">
        <v>192</v>
      </c>
    </row>
    <row r="36" spans="1:12" ht="128.25">
      <c r="A36" s="14">
        <v>45784</v>
      </c>
      <c r="B36" s="13" t="str">
        <f t="shared" si="2"/>
        <v>may</v>
      </c>
      <c r="C36" s="13" t="s">
        <v>85</v>
      </c>
      <c r="D36" s="13" t="s">
        <v>52</v>
      </c>
      <c r="E36" s="13" t="s">
        <v>574</v>
      </c>
      <c r="F36" s="13" t="s">
        <v>662</v>
      </c>
      <c r="G36" s="15" t="s">
        <v>663</v>
      </c>
      <c r="H36" s="15">
        <v>5000000</v>
      </c>
      <c r="I36" s="15">
        <v>0</v>
      </c>
      <c r="J36" s="30">
        <f t="shared" si="3"/>
        <v>5000000</v>
      </c>
      <c r="K36" s="13" t="s">
        <v>65</v>
      </c>
      <c r="L36" s="13" t="s">
        <v>192</v>
      </c>
    </row>
    <row r="37" spans="1:12" ht="85.5">
      <c r="A37" s="14">
        <v>45784</v>
      </c>
      <c r="B37" s="13" t="str">
        <f t="shared" ref="B37:B68" si="4">TEXT(A37,"MMM")</f>
        <v>may</v>
      </c>
      <c r="C37" s="13" t="s">
        <v>85</v>
      </c>
      <c r="D37" s="13" t="s">
        <v>52</v>
      </c>
      <c r="E37" s="13" t="s">
        <v>574</v>
      </c>
      <c r="F37" s="13" t="s">
        <v>664</v>
      </c>
      <c r="G37" s="15" t="s">
        <v>665</v>
      </c>
      <c r="H37" s="15">
        <v>214236765</v>
      </c>
      <c r="I37" s="15">
        <v>0</v>
      </c>
      <c r="J37" s="30">
        <f t="shared" si="3"/>
        <v>214236765</v>
      </c>
      <c r="K37" s="13" t="s">
        <v>101</v>
      </c>
      <c r="L37" s="13" t="s">
        <v>192</v>
      </c>
    </row>
    <row r="38" spans="1:12" ht="171">
      <c r="A38" s="14">
        <v>45784</v>
      </c>
      <c r="B38" s="13" t="str">
        <f t="shared" si="4"/>
        <v>may</v>
      </c>
      <c r="C38" s="13" t="s">
        <v>85</v>
      </c>
      <c r="D38" s="13" t="s">
        <v>86</v>
      </c>
      <c r="E38" s="13" t="s">
        <v>666</v>
      </c>
      <c r="F38" s="13" t="s">
        <v>667</v>
      </c>
      <c r="G38" s="15" t="s">
        <v>668</v>
      </c>
      <c r="H38" s="15">
        <v>0</v>
      </c>
      <c r="I38" s="15">
        <v>0</v>
      </c>
      <c r="J38" s="30">
        <f t="shared" si="3"/>
        <v>0</v>
      </c>
      <c r="K38" s="13" t="s">
        <v>626</v>
      </c>
      <c r="L38" s="13" t="s">
        <v>192</v>
      </c>
    </row>
    <row r="39" spans="1:12" ht="71.25">
      <c r="A39" s="14">
        <v>45784</v>
      </c>
      <c r="B39" s="13" t="str">
        <f t="shared" si="4"/>
        <v>may</v>
      </c>
      <c r="C39" s="13" t="s">
        <v>85</v>
      </c>
      <c r="D39" s="13" t="s">
        <v>111</v>
      </c>
      <c r="E39" s="13" t="s">
        <v>302</v>
      </c>
      <c r="F39" s="13" t="s">
        <v>669</v>
      </c>
      <c r="G39" s="15" t="s">
        <v>670</v>
      </c>
      <c r="H39" s="15">
        <v>42257500</v>
      </c>
      <c r="I39" s="15">
        <v>0</v>
      </c>
      <c r="J39" s="30">
        <f t="shared" si="3"/>
        <v>42257500</v>
      </c>
      <c r="K39" s="13" t="s">
        <v>39</v>
      </c>
      <c r="L39" s="13" t="s">
        <v>192</v>
      </c>
    </row>
    <row r="40" spans="1:12" ht="85.5">
      <c r="A40" s="14">
        <v>45784</v>
      </c>
      <c r="B40" s="13" t="str">
        <f t="shared" si="4"/>
        <v>may</v>
      </c>
      <c r="C40" s="13" t="s">
        <v>85</v>
      </c>
      <c r="D40" s="13" t="s">
        <v>97</v>
      </c>
      <c r="E40" s="13" t="s">
        <v>671</v>
      </c>
      <c r="F40" s="13" t="s">
        <v>672</v>
      </c>
      <c r="G40" s="15" t="s">
        <v>673</v>
      </c>
      <c r="H40" s="15">
        <v>28541259</v>
      </c>
      <c r="I40" s="15">
        <v>0</v>
      </c>
      <c r="J40" s="30">
        <f t="shared" si="3"/>
        <v>28541259</v>
      </c>
      <c r="K40" s="13" t="s">
        <v>39</v>
      </c>
      <c r="L40" s="13" t="s">
        <v>192</v>
      </c>
    </row>
    <row r="41" spans="1:12" ht="42.75">
      <c r="A41" s="14">
        <v>45796</v>
      </c>
      <c r="B41" s="13" t="str">
        <f t="shared" si="4"/>
        <v>may</v>
      </c>
      <c r="C41" s="13" t="s">
        <v>110</v>
      </c>
      <c r="D41" s="13" t="s">
        <v>97</v>
      </c>
      <c r="E41" s="13" t="s">
        <v>674</v>
      </c>
      <c r="F41" s="13" t="s">
        <v>675</v>
      </c>
      <c r="G41" s="15" t="s">
        <v>676</v>
      </c>
      <c r="H41" s="15">
        <v>1690519617</v>
      </c>
      <c r="I41" s="15">
        <v>0</v>
      </c>
      <c r="J41" s="30">
        <f t="shared" si="3"/>
        <v>1690519617</v>
      </c>
      <c r="K41" s="13" t="s">
        <v>626</v>
      </c>
      <c r="L41" s="13" t="s">
        <v>192</v>
      </c>
    </row>
    <row r="42" spans="1:12" ht="99.75">
      <c r="A42" s="14">
        <v>45798</v>
      </c>
      <c r="B42" s="13" t="str">
        <f t="shared" si="4"/>
        <v>may</v>
      </c>
      <c r="C42" s="13" t="s">
        <v>96</v>
      </c>
      <c r="D42" s="13" t="s">
        <v>97</v>
      </c>
      <c r="E42" s="13" t="s">
        <v>677</v>
      </c>
      <c r="F42" s="13" t="s">
        <v>678</v>
      </c>
      <c r="G42" s="15" t="s">
        <v>679</v>
      </c>
      <c r="H42" s="15">
        <v>800000000</v>
      </c>
      <c r="I42" s="15">
        <v>0</v>
      </c>
      <c r="J42" s="30">
        <f t="shared" si="3"/>
        <v>800000000</v>
      </c>
      <c r="K42" s="13" t="s">
        <v>72</v>
      </c>
      <c r="L42" s="13" t="s">
        <v>192</v>
      </c>
    </row>
    <row r="43" spans="1:12" ht="71.25">
      <c r="A43" s="14">
        <v>45798</v>
      </c>
      <c r="B43" s="13" t="str">
        <f t="shared" si="4"/>
        <v>may</v>
      </c>
      <c r="C43" s="13" t="s">
        <v>96</v>
      </c>
      <c r="D43" s="13" t="s">
        <v>97</v>
      </c>
      <c r="E43" s="13" t="s">
        <v>680</v>
      </c>
      <c r="F43" s="13" t="s">
        <v>681</v>
      </c>
      <c r="G43" s="15" t="s">
        <v>682</v>
      </c>
      <c r="H43" s="15">
        <v>1554017120</v>
      </c>
      <c r="I43" s="15">
        <v>0</v>
      </c>
      <c r="J43" s="30">
        <f t="shared" si="3"/>
        <v>1554017120</v>
      </c>
      <c r="K43" s="13" t="s">
        <v>65</v>
      </c>
      <c r="L43" s="13" t="s">
        <v>192</v>
      </c>
    </row>
    <row r="44" spans="1:12" ht="57">
      <c r="A44" s="14">
        <v>45805</v>
      </c>
      <c r="B44" s="13" t="str">
        <f t="shared" si="4"/>
        <v>may</v>
      </c>
      <c r="C44" s="13" t="s">
        <v>117</v>
      </c>
      <c r="D44" s="13" t="s">
        <v>97</v>
      </c>
      <c r="E44" s="13" t="s">
        <v>417</v>
      </c>
      <c r="F44" s="13" t="s">
        <v>683</v>
      </c>
      <c r="G44" s="15" t="s">
        <v>684</v>
      </c>
      <c r="H44" s="15">
        <v>50000000</v>
      </c>
      <c r="I44" s="15">
        <v>0</v>
      </c>
      <c r="J44" s="30">
        <f t="shared" si="3"/>
        <v>50000000</v>
      </c>
      <c r="K44" s="13" t="s">
        <v>39</v>
      </c>
      <c r="L44" s="13" t="s">
        <v>192</v>
      </c>
    </row>
    <row r="45" spans="1:12" ht="114">
      <c r="A45" s="14">
        <v>45812</v>
      </c>
      <c r="B45" s="13" t="str">
        <f t="shared" si="4"/>
        <v>jun</v>
      </c>
      <c r="C45" s="13" t="s">
        <v>106</v>
      </c>
      <c r="D45" s="13" t="s">
        <v>97</v>
      </c>
      <c r="E45" s="13" t="s">
        <v>685</v>
      </c>
      <c r="F45" s="13" t="s">
        <v>686</v>
      </c>
      <c r="G45" s="15" t="s">
        <v>687</v>
      </c>
      <c r="H45" s="15">
        <v>441770095</v>
      </c>
      <c r="I45" s="15">
        <v>35000000</v>
      </c>
      <c r="J45" s="30">
        <f t="shared" si="3"/>
        <v>476770095</v>
      </c>
      <c r="K45" s="13" t="s">
        <v>65</v>
      </c>
      <c r="L45" s="13" t="s">
        <v>192</v>
      </c>
    </row>
    <row r="46" spans="1:12" ht="71.25">
      <c r="A46" s="14">
        <v>45812</v>
      </c>
      <c r="B46" s="13" t="str">
        <f t="shared" si="4"/>
        <v>jun</v>
      </c>
      <c r="C46" s="13" t="s">
        <v>106</v>
      </c>
      <c r="D46" s="13" t="s">
        <v>74</v>
      </c>
      <c r="E46" s="13" t="s">
        <v>688</v>
      </c>
      <c r="F46" s="13" t="s">
        <v>689</v>
      </c>
      <c r="G46" s="15" t="s">
        <v>690</v>
      </c>
      <c r="H46" s="15">
        <v>300000000</v>
      </c>
      <c r="I46" s="15">
        <v>33333400</v>
      </c>
      <c r="J46" s="30">
        <f t="shared" si="3"/>
        <v>333333400</v>
      </c>
      <c r="K46" s="13" t="s">
        <v>72</v>
      </c>
      <c r="L46" s="13" t="s">
        <v>192</v>
      </c>
    </row>
    <row r="47" spans="1:12" ht="99.75">
      <c r="A47" s="14">
        <v>45812</v>
      </c>
      <c r="B47" s="13" t="str">
        <f t="shared" si="4"/>
        <v>jun</v>
      </c>
      <c r="C47" s="13" t="s">
        <v>106</v>
      </c>
      <c r="D47" s="13" t="s">
        <v>74</v>
      </c>
      <c r="E47" s="13" t="s">
        <v>691</v>
      </c>
      <c r="F47" s="13" t="s">
        <v>692</v>
      </c>
      <c r="G47" s="15" t="s">
        <v>693</v>
      </c>
      <c r="H47" s="15">
        <v>374100000</v>
      </c>
      <c r="I47" s="15">
        <v>41566666</v>
      </c>
      <c r="J47" s="30">
        <f t="shared" si="3"/>
        <v>415666666</v>
      </c>
      <c r="K47" s="13" t="s">
        <v>72</v>
      </c>
      <c r="L47" s="13" t="s">
        <v>192</v>
      </c>
    </row>
    <row r="48" spans="1:12" ht="71.25">
      <c r="A48" s="14">
        <v>45812</v>
      </c>
      <c r="B48" s="13" t="str">
        <f t="shared" si="4"/>
        <v>jun</v>
      </c>
      <c r="C48" s="13" t="s">
        <v>106</v>
      </c>
      <c r="D48" s="13" t="s">
        <v>111</v>
      </c>
      <c r="E48" s="13" t="s">
        <v>694</v>
      </c>
      <c r="F48" s="13" t="s">
        <v>695</v>
      </c>
      <c r="G48" s="15" t="s">
        <v>696</v>
      </c>
      <c r="H48" s="15">
        <v>529000000</v>
      </c>
      <c r="I48" s="15">
        <v>0</v>
      </c>
      <c r="J48" s="30">
        <f t="shared" si="3"/>
        <v>529000000</v>
      </c>
      <c r="K48" s="13" t="s">
        <v>697</v>
      </c>
      <c r="L48" s="13" t="s">
        <v>192</v>
      </c>
    </row>
    <row r="49" spans="1:12" ht="57">
      <c r="A49" s="14">
        <v>45821</v>
      </c>
      <c r="B49" s="13" t="str">
        <f t="shared" si="4"/>
        <v>jun</v>
      </c>
      <c r="C49" s="13" t="s">
        <v>125</v>
      </c>
      <c r="D49" s="13" t="s">
        <v>111</v>
      </c>
      <c r="E49" s="13" t="s">
        <v>698</v>
      </c>
      <c r="F49" s="13" t="s">
        <v>699</v>
      </c>
      <c r="G49" s="15" t="s">
        <v>700</v>
      </c>
      <c r="H49" s="15">
        <v>179800000</v>
      </c>
      <c r="I49" s="15">
        <v>0</v>
      </c>
      <c r="J49" s="30">
        <f t="shared" si="3"/>
        <v>179800000</v>
      </c>
      <c r="K49" s="13" t="s">
        <v>483</v>
      </c>
      <c r="L49" s="13" t="s">
        <v>192</v>
      </c>
    </row>
    <row r="50" spans="1:12" ht="57">
      <c r="A50" s="14">
        <v>45826</v>
      </c>
      <c r="B50" s="13" t="str">
        <f t="shared" si="4"/>
        <v>jun</v>
      </c>
      <c r="C50" s="13" t="s">
        <v>114</v>
      </c>
      <c r="D50" s="13" t="s">
        <v>97</v>
      </c>
      <c r="E50" s="13" t="s">
        <v>701</v>
      </c>
      <c r="F50" s="13" t="s">
        <v>702</v>
      </c>
      <c r="G50" s="15" t="s">
        <v>703</v>
      </c>
      <c r="H50" s="15">
        <v>944690000</v>
      </c>
      <c r="I50" s="15">
        <v>0</v>
      </c>
      <c r="J50" s="30">
        <f t="shared" si="3"/>
        <v>944690000</v>
      </c>
      <c r="K50" s="13" t="s">
        <v>72</v>
      </c>
      <c r="L50" s="13" t="s">
        <v>192</v>
      </c>
    </row>
    <row r="51" spans="1:12" ht="114">
      <c r="A51" s="14">
        <v>45826</v>
      </c>
      <c r="B51" s="13" t="str">
        <f t="shared" si="4"/>
        <v>jun</v>
      </c>
      <c r="C51" s="13" t="s">
        <v>114</v>
      </c>
      <c r="D51" s="13" t="s">
        <v>97</v>
      </c>
      <c r="E51" s="13" t="s">
        <v>704</v>
      </c>
      <c r="F51" s="13" t="s">
        <v>705</v>
      </c>
      <c r="G51" s="15" t="s">
        <v>706</v>
      </c>
      <c r="H51" s="15">
        <v>27701260</v>
      </c>
      <c r="I51" s="15">
        <v>0</v>
      </c>
      <c r="J51" s="30">
        <f t="shared" si="3"/>
        <v>27701260</v>
      </c>
      <c r="K51" s="13" t="s">
        <v>39</v>
      </c>
      <c r="L51" s="13" t="s">
        <v>192</v>
      </c>
    </row>
    <row r="52" spans="1:12" ht="71.25">
      <c r="A52" s="14">
        <v>45826</v>
      </c>
      <c r="B52" s="13" t="str">
        <f t="shared" si="4"/>
        <v>jun</v>
      </c>
      <c r="C52" s="13" t="s">
        <v>114</v>
      </c>
      <c r="D52" s="13" t="s">
        <v>97</v>
      </c>
      <c r="E52" s="13" t="s">
        <v>380</v>
      </c>
      <c r="F52" s="13" t="s">
        <v>707</v>
      </c>
      <c r="G52" s="15" t="s">
        <v>708</v>
      </c>
      <c r="H52" s="15">
        <v>495604000</v>
      </c>
      <c r="I52" s="15">
        <v>0</v>
      </c>
      <c r="J52" s="30">
        <f t="shared" si="3"/>
        <v>495604000</v>
      </c>
      <c r="K52" s="13" t="s">
        <v>709</v>
      </c>
      <c r="L52" s="13" t="s">
        <v>192</v>
      </c>
    </row>
    <row r="53" spans="1:12" ht="57">
      <c r="A53" s="14">
        <v>45826</v>
      </c>
      <c r="B53" s="13" t="str">
        <f t="shared" si="4"/>
        <v>jun</v>
      </c>
      <c r="C53" s="13" t="s">
        <v>114</v>
      </c>
      <c r="D53" s="13" t="s">
        <v>97</v>
      </c>
      <c r="E53" s="13" t="s">
        <v>710</v>
      </c>
      <c r="F53" s="13" t="s">
        <v>711</v>
      </c>
      <c r="G53" s="15" t="s">
        <v>712</v>
      </c>
      <c r="H53" s="15">
        <v>275000000</v>
      </c>
      <c r="I53" s="15">
        <v>70000000</v>
      </c>
      <c r="J53" s="30">
        <f t="shared" si="3"/>
        <v>345000000</v>
      </c>
      <c r="K53" s="13" t="s">
        <v>626</v>
      </c>
      <c r="L53" s="13" t="s">
        <v>192</v>
      </c>
    </row>
    <row r="54" spans="1:12" ht="156.75">
      <c r="A54" s="14">
        <v>45826</v>
      </c>
      <c r="B54" s="13" t="str">
        <f t="shared" si="4"/>
        <v>jun</v>
      </c>
      <c r="C54" s="13" t="s">
        <v>114</v>
      </c>
      <c r="D54" s="13" t="s">
        <v>74</v>
      </c>
      <c r="E54" s="13" t="s">
        <v>574</v>
      </c>
      <c r="F54" s="13" t="s">
        <v>713</v>
      </c>
      <c r="G54" s="15" t="s">
        <v>714</v>
      </c>
      <c r="H54" s="15">
        <v>60125000</v>
      </c>
      <c r="I54" s="15">
        <v>0</v>
      </c>
      <c r="J54" s="30">
        <f t="shared" si="3"/>
        <v>60125000</v>
      </c>
      <c r="K54" s="13" t="s">
        <v>39</v>
      </c>
      <c r="L54" s="13" t="s">
        <v>192</v>
      </c>
    </row>
    <row r="55" spans="1:12" ht="57">
      <c r="A55" s="14">
        <v>45840</v>
      </c>
      <c r="B55" s="13" t="str">
        <f t="shared" si="4"/>
        <v>jul</v>
      </c>
      <c r="C55" s="13" t="s">
        <v>121</v>
      </c>
      <c r="D55" s="13" t="s">
        <v>97</v>
      </c>
      <c r="E55" s="13" t="s">
        <v>715</v>
      </c>
      <c r="F55" s="13" t="s">
        <v>716</v>
      </c>
      <c r="G55" s="15" t="s">
        <v>717</v>
      </c>
      <c r="H55" s="15">
        <v>40000000</v>
      </c>
      <c r="I55" s="15">
        <v>0</v>
      </c>
      <c r="J55" s="30">
        <f t="shared" si="3"/>
        <v>40000000</v>
      </c>
      <c r="K55" s="13" t="s">
        <v>39</v>
      </c>
      <c r="L55" s="13" t="s">
        <v>192</v>
      </c>
    </row>
    <row r="56" spans="1:12" ht="57">
      <c r="A56" s="14">
        <v>45840</v>
      </c>
      <c r="B56" s="13" t="str">
        <f t="shared" si="4"/>
        <v>jul</v>
      </c>
      <c r="C56" s="13" t="s">
        <v>121</v>
      </c>
      <c r="D56" s="13" t="s">
        <v>97</v>
      </c>
      <c r="E56" s="13" t="s">
        <v>715</v>
      </c>
      <c r="F56" s="13" t="s">
        <v>718</v>
      </c>
      <c r="G56" s="15" t="s">
        <v>719</v>
      </c>
      <c r="H56" s="15">
        <v>20000000</v>
      </c>
      <c r="I56" s="15">
        <v>0</v>
      </c>
      <c r="J56" s="30">
        <f t="shared" si="3"/>
        <v>20000000</v>
      </c>
      <c r="K56" s="13" t="s">
        <v>39</v>
      </c>
      <c r="L56" s="13" t="s">
        <v>192</v>
      </c>
    </row>
    <row r="57" spans="1:12" ht="42.75">
      <c r="A57" s="14">
        <v>45840</v>
      </c>
      <c r="B57" s="13" t="str">
        <f t="shared" si="4"/>
        <v>jul</v>
      </c>
      <c r="C57" s="13" t="s">
        <v>121</v>
      </c>
      <c r="D57" s="13" t="s">
        <v>97</v>
      </c>
      <c r="E57" s="13" t="s">
        <v>720</v>
      </c>
      <c r="F57" s="13" t="s">
        <v>721</v>
      </c>
      <c r="G57" s="15" t="s">
        <v>722</v>
      </c>
      <c r="H57" s="15">
        <v>25000000</v>
      </c>
      <c r="I57" s="15">
        <v>0</v>
      </c>
      <c r="J57" s="30">
        <f t="shared" si="3"/>
        <v>25000000</v>
      </c>
      <c r="K57" s="13" t="s">
        <v>39</v>
      </c>
      <c r="L57" s="13" t="s">
        <v>192</v>
      </c>
    </row>
    <row r="58" spans="1:12" ht="42.75">
      <c r="A58" s="14">
        <v>45840</v>
      </c>
      <c r="B58" s="13" t="str">
        <f t="shared" si="4"/>
        <v>jul</v>
      </c>
      <c r="C58" s="13" t="s">
        <v>121</v>
      </c>
      <c r="D58" s="13" t="s">
        <v>97</v>
      </c>
      <c r="E58" s="13" t="s">
        <v>720</v>
      </c>
      <c r="F58" s="13" t="s">
        <v>723</v>
      </c>
      <c r="G58" s="15" t="s">
        <v>724</v>
      </c>
      <c r="H58" s="15">
        <v>25000000</v>
      </c>
      <c r="I58" s="15">
        <v>0</v>
      </c>
      <c r="J58" s="30">
        <f t="shared" si="3"/>
        <v>25000000</v>
      </c>
      <c r="K58" s="13" t="s">
        <v>39</v>
      </c>
      <c r="L58" s="13" t="s">
        <v>192</v>
      </c>
    </row>
    <row r="59" spans="1:12" ht="57">
      <c r="A59" s="14">
        <v>45840</v>
      </c>
      <c r="B59" s="13" t="str">
        <f t="shared" si="4"/>
        <v>jul</v>
      </c>
      <c r="C59" s="13" t="s">
        <v>121</v>
      </c>
      <c r="D59" s="13" t="s">
        <v>97</v>
      </c>
      <c r="E59" s="13" t="s">
        <v>725</v>
      </c>
      <c r="F59" s="13" t="s">
        <v>726</v>
      </c>
      <c r="G59" s="15" t="s">
        <v>727</v>
      </c>
      <c r="H59" s="15">
        <v>20000000</v>
      </c>
      <c r="I59" s="15">
        <v>0</v>
      </c>
      <c r="J59" s="30">
        <f t="shared" si="3"/>
        <v>20000000</v>
      </c>
      <c r="K59" s="13" t="s">
        <v>39</v>
      </c>
      <c r="L59" s="13" t="s">
        <v>192</v>
      </c>
    </row>
    <row r="60" spans="1:12" ht="57">
      <c r="A60" s="14">
        <v>45840</v>
      </c>
      <c r="B60" s="13" t="str">
        <f t="shared" si="4"/>
        <v>jul</v>
      </c>
      <c r="C60" s="13" t="s">
        <v>121</v>
      </c>
      <c r="D60" s="13" t="s">
        <v>97</v>
      </c>
      <c r="E60" s="13" t="s">
        <v>728</v>
      </c>
      <c r="F60" s="13" t="s">
        <v>729</v>
      </c>
      <c r="G60" s="15" t="s">
        <v>730</v>
      </c>
      <c r="H60" s="15">
        <v>40000000</v>
      </c>
      <c r="I60" s="15">
        <v>0</v>
      </c>
      <c r="J60" s="30">
        <f t="shared" si="3"/>
        <v>40000000</v>
      </c>
      <c r="K60" s="13" t="s">
        <v>39</v>
      </c>
      <c r="L60" s="13" t="s">
        <v>192</v>
      </c>
    </row>
    <row r="61" spans="1:12" ht="42.75">
      <c r="A61" s="14">
        <v>45840</v>
      </c>
      <c r="B61" s="13" t="str">
        <f t="shared" si="4"/>
        <v>jul</v>
      </c>
      <c r="C61" s="13" t="s">
        <v>121</v>
      </c>
      <c r="D61" s="13" t="s">
        <v>97</v>
      </c>
      <c r="E61" s="13" t="s">
        <v>731</v>
      </c>
      <c r="F61" s="13" t="s">
        <v>732</v>
      </c>
      <c r="G61" s="15" t="s">
        <v>733</v>
      </c>
      <c r="H61" s="15">
        <v>36000000</v>
      </c>
      <c r="I61" s="15">
        <v>0</v>
      </c>
      <c r="J61" s="30">
        <f t="shared" si="3"/>
        <v>36000000</v>
      </c>
      <c r="K61" s="13" t="s">
        <v>39</v>
      </c>
      <c r="L61" s="13" t="s">
        <v>192</v>
      </c>
    </row>
    <row r="62" spans="1:12" ht="57">
      <c r="A62" s="14">
        <v>45840</v>
      </c>
      <c r="B62" s="13" t="str">
        <f t="shared" si="4"/>
        <v>jul</v>
      </c>
      <c r="C62" s="13" t="s">
        <v>121</v>
      </c>
      <c r="D62" s="13" t="s">
        <v>97</v>
      </c>
      <c r="E62" s="13" t="s">
        <v>734</v>
      </c>
      <c r="F62" s="13" t="s">
        <v>735</v>
      </c>
      <c r="G62" s="15" t="s">
        <v>736</v>
      </c>
      <c r="H62" s="15">
        <v>50000000</v>
      </c>
      <c r="I62" s="15">
        <v>0</v>
      </c>
      <c r="J62" s="30">
        <f t="shared" si="3"/>
        <v>50000000</v>
      </c>
      <c r="K62" s="13" t="s">
        <v>39</v>
      </c>
      <c r="L62" s="13" t="s">
        <v>192</v>
      </c>
    </row>
    <row r="63" spans="1:12" ht="57">
      <c r="A63" s="14">
        <v>45840</v>
      </c>
      <c r="B63" s="13" t="str">
        <f t="shared" si="4"/>
        <v>jul</v>
      </c>
      <c r="C63" s="13" t="s">
        <v>121</v>
      </c>
      <c r="D63" s="13" t="s">
        <v>97</v>
      </c>
      <c r="E63" s="13" t="s">
        <v>734</v>
      </c>
      <c r="F63" s="13" t="s">
        <v>737</v>
      </c>
      <c r="G63" s="15" t="s">
        <v>738</v>
      </c>
      <c r="H63" s="15">
        <v>20000000</v>
      </c>
      <c r="I63" s="15">
        <v>0</v>
      </c>
      <c r="J63" s="30">
        <f t="shared" si="3"/>
        <v>20000000</v>
      </c>
      <c r="K63" s="13" t="s">
        <v>39</v>
      </c>
      <c r="L63" s="13" t="s">
        <v>192</v>
      </c>
    </row>
    <row r="64" spans="1:12" ht="57">
      <c r="A64" s="14">
        <v>45840</v>
      </c>
      <c r="B64" s="13" t="str">
        <f t="shared" si="4"/>
        <v>jul</v>
      </c>
      <c r="C64" s="13" t="s">
        <v>121</v>
      </c>
      <c r="D64" s="13" t="s">
        <v>97</v>
      </c>
      <c r="E64" s="13" t="s">
        <v>739</v>
      </c>
      <c r="F64" s="13" t="s">
        <v>740</v>
      </c>
      <c r="G64" s="15" t="s">
        <v>741</v>
      </c>
      <c r="H64" s="15">
        <v>70000000</v>
      </c>
      <c r="I64" s="15">
        <v>0</v>
      </c>
      <c r="J64" s="30">
        <f t="shared" ref="J64:J95" si="5">H64+I64</f>
        <v>70000000</v>
      </c>
      <c r="K64" s="13" t="s">
        <v>39</v>
      </c>
      <c r="L64" s="13" t="s">
        <v>192</v>
      </c>
    </row>
    <row r="65" spans="1:12" ht="71.25">
      <c r="A65" s="14">
        <v>45840</v>
      </c>
      <c r="B65" s="13" t="str">
        <f t="shared" si="4"/>
        <v>jul</v>
      </c>
      <c r="C65" s="13" t="s">
        <v>121</v>
      </c>
      <c r="D65" s="13" t="s">
        <v>97</v>
      </c>
      <c r="E65" s="13" t="s">
        <v>742</v>
      </c>
      <c r="F65" s="13" t="s">
        <v>743</v>
      </c>
      <c r="G65" s="15" t="s">
        <v>744</v>
      </c>
      <c r="H65" s="15">
        <v>40000000</v>
      </c>
      <c r="I65" s="15">
        <v>0</v>
      </c>
      <c r="J65" s="30">
        <f t="shared" si="5"/>
        <v>40000000</v>
      </c>
      <c r="K65" s="13" t="s">
        <v>39</v>
      </c>
      <c r="L65" s="13" t="s">
        <v>192</v>
      </c>
    </row>
    <row r="66" spans="1:12" ht="42.75">
      <c r="A66" s="14">
        <v>45840</v>
      </c>
      <c r="B66" s="13" t="str">
        <f t="shared" si="4"/>
        <v>jul</v>
      </c>
      <c r="C66" s="13" t="s">
        <v>121</v>
      </c>
      <c r="D66" s="13" t="s">
        <v>97</v>
      </c>
      <c r="E66" s="13" t="s">
        <v>745</v>
      </c>
      <c r="F66" s="13" t="s">
        <v>746</v>
      </c>
      <c r="G66" s="15" t="s">
        <v>747</v>
      </c>
      <c r="H66" s="15">
        <v>490000000</v>
      </c>
      <c r="I66" s="15">
        <v>0</v>
      </c>
      <c r="J66" s="30">
        <f t="shared" si="5"/>
        <v>490000000</v>
      </c>
      <c r="K66" s="13" t="s">
        <v>65</v>
      </c>
      <c r="L66" s="13" t="s">
        <v>192</v>
      </c>
    </row>
    <row r="67" spans="1:12" ht="99.75">
      <c r="A67" s="14">
        <v>45840</v>
      </c>
      <c r="B67" s="13" t="str">
        <f t="shared" si="4"/>
        <v>jul</v>
      </c>
      <c r="C67" s="13" t="s">
        <v>121</v>
      </c>
      <c r="D67" s="13" t="s">
        <v>97</v>
      </c>
      <c r="E67" s="13" t="s">
        <v>748</v>
      </c>
      <c r="F67" s="13" t="s">
        <v>749</v>
      </c>
      <c r="G67" s="15" t="s">
        <v>750</v>
      </c>
      <c r="H67" s="15">
        <v>685000000</v>
      </c>
      <c r="I67" s="15">
        <v>0</v>
      </c>
      <c r="J67" s="30">
        <f t="shared" si="5"/>
        <v>685000000</v>
      </c>
      <c r="K67" s="13" t="s">
        <v>483</v>
      </c>
      <c r="L67" s="13" t="s">
        <v>192</v>
      </c>
    </row>
    <row r="68" spans="1:12" ht="128.25">
      <c r="A68" s="14">
        <v>45840</v>
      </c>
      <c r="B68" s="13" t="str">
        <f t="shared" si="4"/>
        <v>jul</v>
      </c>
      <c r="C68" s="13" t="s">
        <v>121</v>
      </c>
      <c r="D68" s="13" t="s">
        <v>97</v>
      </c>
      <c r="E68" s="13" t="s">
        <v>751</v>
      </c>
      <c r="F68" s="13" t="s">
        <v>752</v>
      </c>
      <c r="G68" s="15" t="s">
        <v>753</v>
      </c>
      <c r="H68" s="15">
        <v>10000000000</v>
      </c>
      <c r="I68" s="15">
        <v>1329166667</v>
      </c>
      <c r="J68" s="30">
        <f t="shared" si="5"/>
        <v>11329166667</v>
      </c>
      <c r="K68" s="13" t="s">
        <v>57</v>
      </c>
      <c r="L68" s="13" t="s">
        <v>192</v>
      </c>
    </row>
    <row r="69" spans="1:12" ht="128.25">
      <c r="A69" s="14">
        <v>45840</v>
      </c>
      <c r="B69" s="13" t="str">
        <f t="shared" ref="B69:B100" si="6">TEXT(A69,"MMM")</f>
        <v>jul</v>
      </c>
      <c r="C69" s="13" t="s">
        <v>121</v>
      </c>
      <c r="D69" s="13" t="s">
        <v>18</v>
      </c>
      <c r="E69" s="13" t="s">
        <v>754</v>
      </c>
      <c r="F69" s="13" t="s">
        <v>755</v>
      </c>
      <c r="G69" s="15" t="s">
        <v>756</v>
      </c>
      <c r="H69" s="15">
        <v>207261600</v>
      </c>
      <c r="I69" s="15">
        <v>18505500</v>
      </c>
      <c r="J69" s="30">
        <f t="shared" si="5"/>
        <v>225767100</v>
      </c>
      <c r="K69" s="13" t="s">
        <v>39</v>
      </c>
      <c r="L69" s="13" t="s">
        <v>192</v>
      </c>
    </row>
    <row r="70" spans="1:12" ht="71.25">
      <c r="A70" s="14">
        <v>45854</v>
      </c>
      <c r="B70" s="13" t="str">
        <f t="shared" si="6"/>
        <v>jul</v>
      </c>
      <c r="C70" s="13" t="s">
        <v>129</v>
      </c>
      <c r="D70" s="13" t="s">
        <v>97</v>
      </c>
      <c r="E70" s="13" t="s">
        <v>574</v>
      </c>
      <c r="F70" s="13" t="s">
        <v>757</v>
      </c>
      <c r="G70" s="15" t="s">
        <v>758</v>
      </c>
      <c r="H70" s="15">
        <v>25300000</v>
      </c>
      <c r="I70" s="15">
        <v>0</v>
      </c>
      <c r="J70" s="30">
        <f t="shared" si="5"/>
        <v>25300000</v>
      </c>
      <c r="K70" s="13" t="s">
        <v>101</v>
      </c>
      <c r="L70" s="13" t="s">
        <v>192</v>
      </c>
    </row>
    <row r="71" spans="1:12" ht="71.25">
      <c r="A71" s="14">
        <v>45854</v>
      </c>
      <c r="B71" s="13" t="str">
        <f t="shared" si="6"/>
        <v>jul</v>
      </c>
      <c r="C71" s="13" t="s">
        <v>129</v>
      </c>
      <c r="D71" s="13" t="s">
        <v>97</v>
      </c>
      <c r="E71" s="13" t="s">
        <v>759</v>
      </c>
      <c r="F71" s="13" t="s">
        <v>760</v>
      </c>
      <c r="G71" s="15" t="s">
        <v>761</v>
      </c>
      <c r="H71" s="15">
        <v>0</v>
      </c>
      <c r="I71" s="15">
        <v>0</v>
      </c>
      <c r="J71" s="30">
        <f t="shared" si="5"/>
        <v>0</v>
      </c>
      <c r="K71" s="13" t="s">
        <v>57</v>
      </c>
      <c r="L71" s="13" t="s">
        <v>192</v>
      </c>
    </row>
    <row r="72" spans="1:12" ht="156.75">
      <c r="A72" s="14">
        <v>45854</v>
      </c>
      <c r="B72" s="13" t="str">
        <f t="shared" si="6"/>
        <v>jul</v>
      </c>
      <c r="C72" s="13" t="s">
        <v>129</v>
      </c>
      <c r="D72" s="13" t="s">
        <v>97</v>
      </c>
      <c r="E72" s="13" t="s">
        <v>565</v>
      </c>
      <c r="F72" s="13" t="s">
        <v>762</v>
      </c>
      <c r="G72" s="15" t="s">
        <v>763</v>
      </c>
      <c r="H72" s="15">
        <v>205400000</v>
      </c>
      <c r="I72" s="15">
        <v>0</v>
      </c>
      <c r="J72" s="30">
        <f t="shared" si="5"/>
        <v>205400000</v>
      </c>
      <c r="K72" s="13" t="s">
        <v>567</v>
      </c>
      <c r="L72" s="13" t="s">
        <v>192</v>
      </c>
    </row>
    <row r="73" spans="1:12" ht="142.5">
      <c r="A73" s="14">
        <v>45854</v>
      </c>
      <c r="B73" s="13" t="str">
        <f t="shared" si="6"/>
        <v>jul</v>
      </c>
      <c r="C73" s="13" t="s">
        <v>129</v>
      </c>
      <c r="D73" s="13" t="s">
        <v>74</v>
      </c>
      <c r="E73" s="13" t="s">
        <v>764</v>
      </c>
      <c r="F73" s="13" t="s">
        <v>765</v>
      </c>
      <c r="G73" s="15" t="s">
        <v>766</v>
      </c>
      <c r="H73" s="15">
        <v>735134716</v>
      </c>
      <c r="I73" s="15">
        <v>0</v>
      </c>
      <c r="J73" s="30">
        <f t="shared" si="5"/>
        <v>735134716</v>
      </c>
      <c r="K73" s="13" t="s">
        <v>57</v>
      </c>
      <c r="L73" s="13" t="s">
        <v>192</v>
      </c>
    </row>
    <row r="74" spans="1:12" ht="57">
      <c r="A74" s="14">
        <v>45854</v>
      </c>
      <c r="B74" s="13" t="str">
        <f t="shared" si="6"/>
        <v>jul</v>
      </c>
      <c r="C74" s="13" t="s">
        <v>129</v>
      </c>
      <c r="D74" s="13" t="s">
        <v>91</v>
      </c>
      <c r="E74" s="13" t="s">
        <v>767</v>
      </c>
      <c r="F74" s="13" t="s">
        <v>768</v>
      </c>
      <c r="G74" s="15" t="s">
        <v>769</v>
      </c>
      <c r="H74" s="15">
        <v>8550000</v>
      </c>
      <c r="I74" s="15">
        <v>0</v>
      </c>
      <c r="J74" s="30">
        <f t="shared" si="5"/>
        <v>8550000</v>
      </c>
      <c r="K74" s="13" t="s">
        <v>39</v>
      </c>
      <c r="L74" s="13" t="s">
        <v>192</v>
      </c>
    </row>
    <row r="75" spans="1:12">
      <c r="A75" s="14"/>
      <c r="B75" s="13" t="str">
        <f t="shared" si="6"/>
        <v>ene</v>
      </c>
      <c r="G75" s="15"/>
      <c r="H75" s="15"/>
      <c r="I75" s="15"/>
      <c r="J75" s="30">
        <f t="shared" si="5"/>
        <v>0</v>
      </c>
    </row>
    <row r="76" spans="1:12">
      <c r="A76" s="14"/>
      <c r="B76" s="13" t="str">
        <f t="shared" si="6"/>
        <v>ene</v>
      </c>
      <c r="G76" s="15"/>
      <c r="H76" s="15"/>
      <c r="I76" s="15"/>
      <c r="J76" s="30">
        <f t="shared" si="5"/>
        <v>0</v>
      </c>
    </row>
    <row r="77" spans="1:12">
      <c r="A77" s="14"/>
      <c r="B77" s="13" t="str">
        <f t="shared" si="6"/>
        <v>ene</v>
      </c>
      <c r="G77" s="15"/>
      <c r="H77" s="15"/>
      <c r="I77" s="15"/>
      <c r="J77" s="30">
        <f t="shared" si="5"/>
        <v>0</v>
      </c>
    </row>
    <row r="78" spans="1:12">
      <c r="A78" s="14"/>
      <c r="B78" s="13" t="str">
        <f t="shared" si="6"/>
        <v>ene</v>
      </c>
      <c r="G78" s="15"/>
      <c r="H78" s="15"/>
      <c r="I78" s="15"/>
      <c r="J78" s="30">
        <f t="shared" si="5"/>
        <v>0</v>
      </c>
    </row>
    <row r="79" spans="1:12">
      <c r="A79" s="14"/>
      <c r="B79" s="13" t="str">
        <f t="shared" si="6"/>
        <v>ene</v>
      </c>
      <c r="G79" s="15"/>
      <c r="H79" s="15"/>
      <c r="I79" s="15"/>
      <c r="J79" s="30">
        <f t="shared" si="5"/>
        <v>0</v>
      </c>
    </row>
    <row r="80" spans="1:12">
      <c r="A80" s="14"/>
      <c r="B80" s="13" t="str">
        <f t="shared" si="6"/>
        <v>ene</v>
      </c>
      <c r="G80" s="15"/>
      <c r="H80" s="15"/>
      <c r="I80" s="15"/>
      <c r="J80" s="30">
        <f t="shared" si="5"/>
        <v>0</v>
      </c>
    </row>
    <row r="81" spans="1:10">
      <c r="A81" s="14"/>
      <c r="B81" s="13" t="str">
        <f t="shared" si="6"/>
        <v>ene</v>
      </c>
      <c r="G81" s="15"/>
      <c r="H81" s="15"/>
      <c r="I81" s="15"/>
      <c r="J81" s="30">
        <f t="shared" si="5"/>
        <v>0</v>
      </c>
    </row>
    <row r="82" spans="1:10">
      <c r="A82" s="14"/>
      <c r="B82" s="13" t="str">
        <f t="shared" si="6"/>
        <v>ene</v>
      </c>
      <c r="G82" s="15"/>
      <c r="H82" s="15"/>
      <c r="I82" s="15"/>
      <c r="J82" s="30">
        <f t="shared" si="5"/>
        <v>0</v>
      </c>
    </row>
    <row r="83" spans="1:10">
      <c r="A83" s="14"/>
      <c r="B83" s="13" t="str">
        <f t="shared" si="6"/>
        <v>ene</v>
      </c>
      <c r="G83" s="15"/>
      <c r="H83" s="15"/>
      <c r="I83" s="15"/>
      <c r="J83" s="30">
        <f t="shared" si="5"/>
        <v>0</v>
      </c>
    </row>
    <row r="84" spans="1:10">
      <c r="A84" s="14"/>
      <c r="B84" s="13" t="str">
        <f t="shared" si="6"/>
        <v>ene</v>
      </c>
      <c r="G84" s="15"/>
      <c r="H84" s="15"/>
      <c r="I84" s="15"/>
      <c r="J84" s="30">
        <f t="shared" si="5"/>
        <v>0</v>
      </c>
    </row>
    <row r="85" spans="1:10">
      <c r="A85" s="14"/>
      <c r="B85" s="13" t="str">
        <f t="shared" si="6"/>
        <v>ene</v>
      </c>
      <c r="G85" s="15"/>
      <c r="H85" s="15"/>
      <c r="I85" s="15"/>
      <c r="J85" s="30">
        <f t="shared" si="5"/>
        <v>0</v>
      </c>
    </row>
    <row r="86" spans="1:10">
      <c r="A86" s="14"/>
      <c r="B86" s="13" t="str">
        <f t="shared" si="6"/>
        <v>ene</v>
      </c>
      <c r="G86" s="15"/>
      <c r="H86" s="15"/>
      <c r="I86" s="15"/>
      <c r="J86" s="30">
        <f t="shared" si="5"/>
        <v>0</v>
      </c>
    </row>
    <row r="87" spans="1:10">
      <c r="A87" s="14"/>
      <c r="B87" s="13" t="str">
        <f t="shared" si="6"/>
        <v>ene</v>
      </c>
      <c r="G87" s="15"/>
      <c r="H87" s="15"/>
      <c r="I87" s="15"/>
      <c r="J87" s="30">
        <f t="shared" si="5"/>
        <v>0</v>
      </c>
    </row>
    <row r="88" spans="1:10">
      <c r="A88" s="14"/>
      <c r="B88" s="13" t="str">
        <f t="shared" si="6"/>
        <v>ene</v>
      </c>
      <c r="G88" s="15"/>
      <c r="H88" s="15"/>
      <c r="I88" s="15"/>
      <c r="J88" s="30">
        <f t="shared" si="5"/>
        <v>0</v>
      </c>
    </row>
    <row r="89" spans="1:10">
      <c r="A89" s="14"/>
      <c r="B89" s="13" t="str">
        <f t="shared" si="6"/>
        <v>ene</v>
      </c>
      <c r="G89" s="15"/>
      <c r="H89" s="15"/>
      <c r="I89" s="15"/>
      <c r="J89" s="30">
        <f t="shared" si="5"/>
        <v>0</v>
      </c>
    </row>
    <row r="90" spans="1:10">
      <c r="A90" s="14"/>
      <c r="B90" s="13" t="str">
        <f t="shared" si="6"/>
        <v>ene</v>
      </c>
      <c r="G90" s="15"/>
      <c r="H90" s="15"/>
      <c r="I90" s="15"/>
      <c r="J90" s="30">
        <f t="shared" si="5"/>
        <v>0</v>
      </c>
    </row>
    <row r="91" spans="1:10">
      <c r="A91" s="14"/>
      <c r="B91" s="13" t="str">
        <f t="shared" si="6"/>
        <v>ene</v>
      </c>
      <c r="G91" s="15"/>
      <c r="H91" s="15"/>
      <c r="I91" s="15"/>
      <c r="J91" s="30">
        <f t="shared" si="5"/>
        <v>0</v>
      </c>
    </row>
    <row r="92" spans="1:10">
      <c r="A92" s="14"/>
      <c r="B92" s="13" t="str">
        <f t="shared" si="6"/>
        <v>ene</v>
      </c>
      <c r="G92" s="15"/>
      <c r="H92" s="15"/>
      <c r="I92" s="15"/>
      <c r="J92" s="30">
        <f t="shared" si="5"/>
        <v>0</v>
      </c>
    </row>
    <row r="93" spans="1:10">
      <c r="A93" s="14"/>
      <c r="B93" s="13" t="str">
        <f t="shared" si="6"/>
        <v>ene</v>
      </c>
      <c r="G93" s="15"/>
      <c r="H93" s="15"/>
      <c r="I93" s="15"/>
      <c r="J93" s="30">
        <f t="shared" si="5"/>
        <v>0</v>
      </c>
    </row>
    <row r="94" spans="1:10">
      <c r="A94" s="14"/>
      <c r="B94" s="13" t="str">
        <f t="shared" si="6"/>
        <v>ene</v>
      </c>
      <c r="G94" s="15"/>
      <c r="H94" s="15"/>
      <c r="I94" s="15"/>
      <c r="J94" s="30">
        <f t="shared" si="5"/>
        <v>0</v>
      </c>
    </row>
    <row r="95" spans="1:10">
      <c r="A95" s="14"/>
      <c r="B95" s="13" t="str">
        <f t="shared" si="6"/>
        <v>ene</v>
      </c>
      <c r="G95" s="15"/>
      <c r="H95" s="15"/>
      <c r="I95" s="15"/>
      <c r="J95" s="30">
        <f t="shared" si="5"/>
        <v>0</v>
      </c>
    </row>
    <row r="96" spans="1:10">
      <c r="A96" s="14"/>
      <c r="B96" s="13" t="str">
        <f t="shared" si="6"/>
        <v>ene</v>
      </c>
      <c r="G96" s="15"/>
      <c r="H96" s="15"/>
      <c r="I96" s="15"/>
      <c r="J96" s="30">
        <f t="shared" ref="J96:J127" si="7">H96+I96</f>
        <v>0</v>
      </c>
    </row>
    <row r="97" spans="1:10">
      <c r="A97" s="14"/>
      <c r="B97" s="13" t="str">
        <f t="shared" si="6"/>
        <v>ene</v>
      </c>
      <c r="G97" s="15"/>
      <c r="H97" s="15"/>
      <c r="I97" s="15"/>
      <c r="J97" s="30">
        <f t="shared" si="7"/>
        <v>0</v>
      </c>
    </row>
    <row r="98" spans="1:10">
      <c r="A98" s="14"/>
      <c r="B98" s="13" t="str">
        <f t="shared" si="6"/>
        <v>ene</v>
      </c>
      <c r="G98" s="15"/>
      <c r="H98" s="15"/>
      <c r="I98" s="15"/>
      <c r="J98" s="30">
        <f t="shared" si="7"/>
        <v>0</v>
      </c>
    </row>
    <row r="99" spans="1:10">
      <c r="A99" s="14"/>
      <c r="B99" s="13" t="str">
        <f t="shared" si="6"/>
        <v>ene</v>
      </c>
      <c r="G99" s="15"/>
      <c r="H99" s="15"/>
      <c r="I99" s="15"/>
      <c r="J99" s="30">
        <f t="shared" si="7"/>
        <v>0</v>
      </c>
    </row>
    <row r="100" spans="1:10">
      <c r="A100" s="14"/>
      <c r="B100" s="13" t="str">
        <f t="shared" si="6"/>
        <v>ene</v>
      </c>
      <c r="G100" s="15"/>
      <c r="H100" s="15"/>
      <c r="I100" s="15"/>
      <c r="J100" s="30">
        <f t="shared" si="7"/>
        <v>0</v>
      </c>
    </row>
    <row r="101" spans="1:10">
      <c r="A101" s="14"/>
      <c r="B101" s="13" t="str">
        <f t="shared" ref="B101:B132" si="8">TEXT(A101,"MMM")</f>
        <v>ene</v>
      </c>
      <c r="G101" s="15"/>
      <c r="H101" s="15"/>
      <c r="I101" s="15"/>
      <c r="J101" s="30">
        <f t="shared" si="7"/>
        <v>0</v>
      </c>
    </row>
    <row r="102" spans="1:10">
      <c r="A102" s="14"/>
      <c r="B102" s="13" t="str">
        <f t="shared" si="8"/>
        <v>ene</v>
      </c>
      <c r="G102" s="15"/>
      <c r="H102" s="15"/>
      <c r="I102" s="15"/>
      <c r="J102" s="30">
        <f t="shared" si="7"/>
        <v>0</v>
      </c>
    </row>
    <row r="103" spans="1:10">
      <c r="A103" s="14"/>
      <c r="B103" s="13" t="str">
        <f t="shared" si="8"/>
        <v>ene</v>
      </c>
      <c r="G103" s="15"/>
      <c r="H103" s="15"/>
      <c r="I103" s="15"/>
      <c r="J103" s="30">
        <f t="shared" si="7"/>
        <v>0</v>
      </c>
    </row>
    <row r="104" spans="1:10">
      <c r="A104" s="14"/>
      <c r="B104" s="13" t="str">
        <f t="shared" si="8"/>
        <v>ene</v>
      </c>
      <c r="G104" s="15"/>
      <c r="H104" s="15"/>
      <c r="I104" s="15"/>
      <c r="J104" s="30">
        <f t="shared" si="7"/>
        <v>0</v>
      </c>
    </row>
    <row r="105" spans="1:10">
      <c r="A105" s="14"/>
      <c r="B105" s="13" t="str">
        <f t="shared" si="8"/>
        <v>ene</v>
      </c>
      <c r="G105" s="15"/>
      <c r="H105" s="15"/>
      <c r="I105" s="15"/>
      <c r="J105" s="30">
        <f t="shared" si="7"/>
        <v>0</v>
      </c>
    </row>
    <row r="106" spans="1:10">
      <c r="A106" s="14"/>
      <c r="B106" s="13" t="str">
        <f t="shared" si="8"/>
        <v>ene</v>
      </c>
      <c r="G106" s="15"/>
      <c r="H106" s="15"/>
      <c r="I106" s="15"/>
      <c r="J106" s="30">
        <f t="shared" si="7"/>
        <v>0</v>
      </c>
    </row>
    <row r="107" spans="1:10">
      <c r="A107" s="14"/>
      <c r="B107" s="13" t="str">
        <f t="shared" si="8"/>
        <v>ene</v>
      </c>
      <c r="G107" s="15"/>
      <c r="H107" s="15"/>
      <c r="I107" s="15"/>
      <c r="J107" s="30">
        <f t="shared" si="7"/>
        <v>0</v>
      </c>
    </row>
    <row r="108" spans="1:10">
      <c r="A108" s="14"/>
      <c r="B108" s="13" t="str">
        <f t="shared" si="8"/>
        <v>ene</v>
      </c>
      <c r="G108" s="15"/>
      <c r="H108" s="15"/>
      <c r="I108" s="15"/>
      <c r="J108" s="30">
        <f t="shared" si="7"/>
        <v>0</v>
      </c>
    </row>
    <row r="109" spans="1:10">
      <c r="A109" s="14"/>
      <c r="B109" s="13" t="str">
        <f t="shared" si="8"/>
        <v>ene</v>
      </c>
      <c r="G109" s="15"/>
      <c r="H109" s="15"/>
      <c r="I109" s="15"/>
      <c r="J109" s="30">
        <f t="shared" si="7"/>
        <v>0</v>
      </c>
    </row>
    <row r="110" spans="1:10">
      <c r="A110" s="14"/>
      <c r="B110" s="13" t="str">
        <f t="shared" si="8"/>
        <v>ene</v>
      </c>
      <c r="G110" s="15"/>
      <c r="H110" s="15"/>
      <c r="I110" s="15"/>
      <c r="J110" s="30">
        <f t="shared" si="7"/>
        <v>0</v>
      </c>
    </row>
    <row r="111" spans="1:10">
      <c r="A111" s="14"/>
      <c r="B111" s="13" t="str">
        <f t="shared" si="8"/>
        <v>ene</v>
      </c>
      <c r="G111" s="15"/>
      <c r="H111" s="15"/>
      <c r="I111" s="15"/>
      <c r="J111" s="30">
        <f t="shared" si="7"/>
        <v>0</v>
      </c>
    </row>
    <row r="112" spans="1:10">
      <c r="A112" s="14"/>
      <c r="B112" s="13" t="str">
        <f t="shared" si="8"/>
        <v>ene</v>
      </c>
      <c r="G112" s="15"/>
      <c r="H112" s="15"/>
      <c r="I112" s="15"/>
      <c r="J112" s="30">
        <f t="shared" si="7"/>
        <v>0</v>
      </c>
    </row>
    <row r="113" spans="1:10">
      <c r="A113" s="14"/>
      <c r="B113" s="13" t="str">
        <f t="shared" si="8"/>
        <v>ene</v>
      </c>
      <c r="G113" s="15"/>
      <c r="H113" s="15"/>
      <c r="I113" s="15"/>
      <c r="J113" s="30">
        <f t="shared" si="7"/>
        <v>0</v>
      </c>
    </row>
    <row r="114" spans="1:10">
      <c r="A114" s="14"/>
      <c r="B114" s="13" t="str">
        <f t="shared" si="8"/>
        <v>ene</v>
      </c>
      <c r="G114" s="15"/>
      <c r="H114" s="15"/>
      <c r="I114" s="15"/>
      <c r="J114" s="30">
        <f t="shared" si="7"/>
        <v>0</v>
      </c>
    </row>
    <row r="115" spans="1:10">
      <c r="A115" s="14"/>
      <c r="B115" s="13" t="str">
        <f t="shared" si="8"/>
        <v>ene</v>
      </c>
      <c r="G115" s="15"/>
      <c r="H115" s="15"/>
      <c r="I115" s="15"/>
      <c r="J115" s="30">
        <f t="shared" si="7"/>
        <v>0</v>
      </c>
    </row>
    <row r="116" spans="1:10">
      <c r="A116" s="14"/>
      <c r="B116" s="13" t="str">
        <f t="shared" si="8"/>
        <v>ene</v>
      </c>
      <c r="G116" s="15"/>
      <c r="H116" s="15"/>
      <c r="I116" s="15"/>
      <c r="J116" s="30">
        <f t="shared" si="7"/>
        <v>0</v>
      </c>
    </row>
    <row r="117" spans="1:10">
      <c r="A117" s="14"/>
      <c r="B117" s="13" t="str">
        <f t="shared" si="8"/>
        <v>ene</v>
      </c>
      <c r="G117" s="15"/>
      <c r="H117" s="15"/>
      <c r="I117" s="15"/>
      <c r="J117" s="30">
        <f t="shared" si="7"/>
        <v>0</v>
      </c>
    </row>
    <row r="118" spans="1:10">
      <c r="A118" s="14"/>
      <c r="B118" s="13" t="str">
        <f t="shared" si="8"/>
        <v>ene</v>
      </c>
      <c r="G118" s="15"/>
      <c r="H118" s="15"/>
      <c r="I118" s="15"/>
      <c r="J118" s="30">
        <f t="shared" si="7"/>
        <v>0</v>
      </c>
    </row>
    <row r="119" spans="1:10">
      <c r="A119" s="14"/>
      <c r="B119" s="13" t="str">
        <f t="shared" si="8"/>
        <v>ene</v>
      </c>
      <c r="G119" s="15"/>
      <c r="H119" s="15"/>
      <c r="I119" s="15"/>
      <c r="J119" s="30">
        <f t="shared" si="7"/>
        <v>0</v>
      </c>
    </row>
    <row r="120" spans="1:10">
      <c r="A120" s="14"/>
      <c r="B120" s="13" t="str">
        <f t="shared" si="8"/>
        <v>ene</v>
      </c>
      <c r="G120" s="15"/>
      <c r="H120" s="15"/>
      <c r="I120" s="15"/>
      <c r="J120" s="30">
        <f t="shared" si="7"/>
        <v>0</v>
      </c>
    </row>
    <row r="121" spans="1:10">
      <c r="A121" s="14"/>
      <c r="B121" s="13" t="str">
        <f t="shared" si="8"/>
        <v>ene</v>
      </c>
      <c r="G121" s="15"/>
      <c r="H121" s="15"/>
      <c r="I121" s="15"/>
      <c r="J121" s="30">
        <f t="shared" si="7"/>
        <v>0</v>
      </c>
    </row>
    <row r="122" spans="1:10">
      <c r="A122" s="14"/>
      <c r="B122" s="13" t="str">
        <f t="shared" si="8"/>
        <v>ene</v>
      </c>
      <c r="G122" s="15"/>
      <c r="H122" s="15"/>
      <c r="I122" s="15"/>
      <c r="J122" s="30">
        <f t="shared" si="7"/>
        <v>0</v>
      </c>
    </row>
    <row r="123" spans="1:10">
      <c r="A123" s="14"/>
      <c r="B123" s="13" t="str">
        <f t="shared" si="8"/>
        <v>ene</v>
      </c>
      <c r="G123" s="15"/>
      <c r="H123" s="15"/>
      <c r="I123" s="15"/>
      <c r="J123" s="30">
        <f t="shared" si="7"/>
        <v>0</v>
      </c>
    </row>
    <row r="124" spans="1:10">
      <c r="A124" s="14"/>
      <c r="B124" s="13" t="str">
        <f t="shared" si="8"/>
        <v>ene</v>
      </c>
      <c r="G124" s="15"/>
      <c r="H124" s="15"/>
      <c r="I124" s="15"/>
      <c r="J124" s="30">
        <f t="shared" si="7"/>
        <v>0</v>
      </c>
    </row>
    <row r="125" spans="1:10">
      <c r="A125" s="14"/>
      <c r="B125" s="13" t="str">
        <f t="shared" si="8"/>
        <v>ene</v>
      </c>
      <c r="G125" s="15"/>
      <c r="H125" s="15"/>
      <c r="I125" s="15"/>
      <c r="J125" s="30">
        <f t="shared" si="7"/>
        <v>0</v>
      </c>
    </row>
    <row r="126" spans="1:10">
      <c r="A126" s="14"/>
      <c r="B126" s="13" t="str">
        <f t="shared" si="8"/>
        <v>ene</v>
      </c>
      <c r="G126" s="15"/>
      <c r="H126" s="15"/>
      <c r="I126" s="15"/>
      <c r="J126" s="30">
        <f t="shared" si="7"/>
        <v>0</v>
      </c>
    </row>
    <row r="127" spans="1:10">
      <c r="A127" s="14"/>
      <c r="B127" s="13" t="str">
        <f t="shared" si="8"/>
        <v>ene</v>
      </c>
      <c r="G127" s="15"/>
      <c r="H127" s="15"/>
      <c r="I127" s="15"/>
      <c r="J127" s="30">
        <f t="shared" si="7"/>
        <v>0</v>
      </c>
    </row>
    <row r="128" spans="1:10">
      <c r="A128" s="14"/>
      <c r="B128" s="13" t="str">
        <f t="shared" si="8"/>
        <v>ene</v>
      </c>
      <c r="G128" s="15"/>
      <c r="H128" s="15"/>
      <c r="I128" s="15"/>
      <c r="J128" s="30">
        <f t="shared" ref="J128:J158" si="9">H128+I128</f>
        <v>0</v>
      </c>
    </row>
    <row r="129" spans="1:10">
      <c r="A129" s="14"/>
      <c r="B129" s="13" t="str">
        <f t="shared" si="8"/>
        <v>ene</v>
      </c>
      <c r="G129" s="15"/>
      <c r="H129" s="15"/>
      <c r="I129" s="15"/>
      <c r="J129" s="30">
        <f t="shared" si="9"/>
        <v>0</v>
      </c>
    </row>
    <row r="130" spans="1:10">
      <c r="A130" s="14"/>
      <c r="B130" s="13" t="str">
        <f t="shared" si="8"/>
        <v>ene</v>
      </c>
      <c r="G130" s="15"/>
      <c r="H130" s="15"/>
      <c r="I130" s="15"/>
      <c r="J130" s="30">
        <f t="shared" si="9"/>
        <v>0</v>
      </c>
    </row>
    <row r="131" spans="1:10">
      <c r="A131" s="14"/>
      <c r="B131" s="13" t="str">
        <f t="shared" si="8"/>
        <v>ene</v>
      </c>
      <c r="G131" s="15"/>
      <c r="H131" s="15"/>
      <c r="I131" s="15"/>
      <c r="J131" s="30">
        <f t="shared" si="9"/>
        <v>0</v>
      </c>
    </row>
    <row r="132" spans="1:10">
      <c r="A132" s="14"/>
      <c r="B132" s="13" t="str">
        <f t="shared" si="8"/>
        <v>ene</v>
      </c>
      <c r="G132" s="15"/>
      <c r="H132" s="15"/>
      <c r="I132" s="15"/>
      <c r="J132" s="30">
        <f t="shared" si="9"/>
        <v>0</v>
      </c>
    </row>
    <row r="133" spans="1:10">
      <c r="A133" s="14"/>
      <c r="B133" s="13" t="str">
        <f t="shared" ref="B133:B158" si="10">TEXT(A133,"MMM")</f>
        <v>ene</v>
      </c>
      <c r="E133" s="15"/>
      <c r="G133" s="15"/>
      <c r="H133" s="15"/>
      <c r="I133" s="15"/>
      <c r="J133" s="30">
        <f t="shared" si="9"/>
        <v>0</v>
      </c>
    </row>
    <row r="134" spans="1:10">
      <c r="A134" s="14"/>
      <c r="B134" s="13" t="str">
        <f t="shared" si="10"/>
        <v>ene</v>
      </c>
      <c r="G134" s="15"/>
      <c r="H134" s="15"/>
      <c r="I134" s="15"/>
      <c r="J134" s="30">
        <f t="shared" si="9"/>
        <v>0</v>
      </c>
    </row>
    <row r="135" spans="1:10">
      <c r="A135" s="14"/>
      <c r="B135" s="13" t="str">
        <f t="shared" si="10"/>
        <v>ene</v>
      </c>
      <c r="G135" s="15"/>
      <c r="H135" s="15"/>
      <c r="I135" s="15"/>
      <c r="J135" s="30">
        <f t="shared" si="9"/>
        <v>0</v>
      </c>
    </row>
    <row r="136" spans="1:10">
      <c r="A136" s="14"/>
      <c r="B136" s="13" t="str">
        <f t="shared" si="10"/>
        <v>ene</v>
      </c>
      <c r="G136" s="15"/>
      <c r="H136" s="15"/>
      <c r="I136" s="15"/>
      <c r="J136" s="30">
        <f t="shared" si="9"/>
        <v>0</v>
      </c>
    </row>
    <row r="137" spans="1:10">
      <c r="A137" s="14"/>
      <c r="B137" s="13" t="str">
        <f t="shared" si="10"/>
        <v>ene</v>
      </c>
      <c r="G137" s="15"/>
      <c r="H137" s="15"/>
      <c r="I137" s="15"/>
      <c r="J137" s="30">
        <f t="shared" si="9"/>
        <v>0</v>
      </c>
    </row>
    <row r="138" spans="1:10">
      <c r="A138" s="14"/>
      <c r="B138" s="13" t="str">
        <f t="shared" si="10"/>
        <v>ene</v>
      </c>
      <c r="G138" s="15"/>
      <c r="H138" s="15"/>
      <c r="I138" s="15"/>
      <c r="J138" s="30">
        <f t="shared" si="9"/>
        <v>0</v>
      </c>
    </row>
    <row r="139" spans="1:10">
      <c r="A139" s="14"/>
      <c r="B139" s="13" t="str">
        <f t="shared" si="10"/>
        <v>ene</v>
      </c>
      <c r="G139" s="15"/>
      <c r="H139" s="15"/>
      <c r="I139" s="15"/>
      <c r="J139" s="30">
        <f t="shared" si="9"/>
        <v>0</v>
      </c>
    </row>
    <row r="140" spans="1:10">
      <c r="A140" s="14"/>
      <c r="B140" s="13" t="str">
        <f t="shared" si="10"/>
        <v>ene</v>
      </c>
      <c r="G140" s="15"/>
      <c r="H140" s="15"/>
      <c r="I140" s="15"/>
      <c r="J140" s="30">
        <f t="shared" si="9"/>
        <v>0</v>
      </c>
    </row>
    <row r="141" spans="1:10">
      <c r="A141" s="14"/>
      <c r="B141" s="13" t="str">
        <f t="shared" si="10"/>
        <v>ene</v>
      </c>
      <c r="G141" s="15"/>
      <c r="H141" s="15"/>
      <c r="I141" s="15"/>
      <c r="J141" s="30">
        <f t="shared" si="9"/>
        <v>0</v>
      </c>
    </row>
    <row r="142" spans="1:10">
      <c r="A142" s="14"/>
      <c r="B142" s="13" t="str">
        <f t="shared" si="10"/>
        <v>ene</v>
      </c>
      <c r="G142" s="15"/>
      <c r="H142" s="15"/>
      <c r="I142" s="15"/>
      <c r="J142" s="30">
        <f t="shared" si="9"/>
        <v>0</v>
      </c>
    </row>
    <row r="143" spans="1:10">
      <c r="A143" s="14"/>
      <c r="B143" s="13" t="str">
        <f t="shared" si="10"/>
        <v>ene</v>
      </c>
      <c r="G143" s="15"/>
      <c r="H143" s="15"/>
      <c r="I143" s="15"/>
      <c r="J143" s="30">
        <f t="shared" si="9"/>
        <v>0</v>
      </c>
    </row>
    <row r="144" spans="1:10">
      <c r="A144" s="14"/>
      <c r="B144" s="13" t="str">
        <f t="shared" si="10"/>
        <v>ene</v>
      </c>
      <c r="G144" s="15"/>
      <c r="H144" s="15"/>
      <c r="I144" s="15"/>
      <c r="J144" s="30">
        <f t="shared" si="9"/>
        <v>0</v>
      </c>
    </row>
    <row r="145" spans="1:10">
      <c r="A145" s="14"/>
      <c r="B145" s="13" t="str">
        <f t="shared" si="10"/>
        <v>ene</v>
      </c>
      <c r="G145" s="15"/>
      <c r="H145" s="15"/>
      <c r="I145" s="15"/>
      <c r="J145" s="30">
        <f t="shared" si="9"/>
        <v>0</v>
      </c>
    </row>
    <row r="146" spans="1:10">
      <c r="A146" s="14"/>
      <c r="B146" s="13" t="str">
        <f t="shared" si="10"/>
        <v>ene</v>
      </c>
      <c r="G146" s="15"/>
      <c r="H146" s="15"/>
      <c r="I146" s="15"/>
      <c r="J146" s="30">
        <f t="shared" si="9"/>
        <v>0</v>
      </c>
    </row>
    <row r="147" spans="1:10">
      <c r="A147" s="14"/>
      <c r="B147" s="13" t="str">
        <f t="shared" si="10"/>
        <v>ene</v>
      </c>
      <c r="G147" s="15"/>
      <c r="H147" s="15"/>
      <c r="I147" s="15"/>
      <c r="J147" s="30">
        <f t="shared" si="9"/>
        <v>0</v>
      </c>
    </row>
    <row r="148" spans="1:10" ht="17.25" customHeight="1">
      <c r="A148" s="14"/>
      <c r="B148" s="13" t="str">
        <f t="shared" si="10"/>
        <v>ene</v>
      </c>
      <c r="G148" s="15"/>
      <c r="H148" s="15"/>
      <c r="I148" s="15"/>
      <c r="J148" s="30">
        <f t="shared" si="9"/>
        <v>0</v>
      </c>
    </row>
    <row r="149" spans="1:10">
      <c r="A149" s="14"/>
      <c r="B149" s="13" t="str">
        <f t="shared" si="10"/>
        <v>ene</v>
      </c>
      <c r="G149" s="15"/>
      <c r="H149" s="15"/>
      <c r="I149" s="15"/>
      <c r="J149" s="30">
        <f t="shared" si="9"/>
        <v>0</v>
      </c>
    </row>
    <row r="150" spans="1:10">
      <c r="A150" s="14"/>
      <c r="B150" s="13" t="str">
        <f t="shared" si="10"/>
        <v>ene</v>
      </c>
      <c r="G150" s="15"/>
      <c r="H150" s="15"/>
      <c r="I150" s="15"/>
      <c r="J150" s="30">
        <f t="shared" si="9"/>
        <v>0</v>
      </c>
    </row>
    <row r="151" spans="1:10">
      <c r="A151" s="14"/>
      <c r="B151" s="13" t="str">
        <f t="shared" si="10"/>
        <v>ene</v>
      </c>
      <c r="G151" s="15"/>
      <c r="H151" s="15"/>
      <c r="I151" s="15"/>
      <c r="J151" s="30">
        <f t="shared" si="9"/>
        <v>0</v>
      </c>
    </row>
    <row r="152" spans="1:10">
      <c r="A152" s="14"/>
      <c r="B152" s="13" t="str">
        <f t="shared" si="10"/>
        <v>ene</v>
      </c>
      <c r="G152" s="15"/>
      <c r="H152" s="15"/>
      <c r="I152" s="15"/>
      <c r="J152" s="30">
        <f t="shared" si="9"/>
        <v>0</v>
      </c>
    </row>
    <row r="153" spans="1:10">
      <c r="A153" s="14"/>
      <c r="B153" s="13" t="str">
        <f t="shared" si="10"/>
        <v>ene</v>
      </c>
      <c r="G153" s="15"/>
      <c r="H153" s="15"/>
      <c r="I153" s="15"/>
      <c r="J153" s="30">
        <f t="shared" si="9"/>
        <v>0</v>
      </c>
    </row>
    <row r="154" spans="1:10">
      <c r="A154" s="14"/>
      <c r="B154" s="13" t="str">
        <f t="shared" si="10"/>
        <v>ene</v>
      </c>
      <c r="G154" s="15"/>
      <c r="H154" s="15"/>
      <c r="I154" s="15"/>
      <c r="J154" s="30">
        <f t="shared" si="9"/>
        <v>0</v>
      </c>
    </row>
    <row r="155" spans="1:10">
      <c r="A155" s="14"/>
      <c r="B155" s="13" t="str">
        <f t="shared" si="10"/>
        <v>ene</v>
      </c>
      <c r="G155" s="15"/>
      <c r="H155" s="15"/>
      <c r="I155" s="15"/>
      <c r="J155" s="30">
        <f t="shared" si="9"/>
        <v>0</v>
      </c>
    </row>
    <row r="156" spans="1:10">
      <c r="A156" s="14"/>
      <c r="B156" s="13" t="str">
        <f t="shared" si="10"/>
        <v>ene</v>
      </c>
      <c r="G156" s="15"/>
      <c r="H156" s="15"/>
      <c r="I156" s="15"/>
      <c r="J156" s="30">
        <f t="shared" si="9"/>
        <v>0</v>
      </c>
    </row>
    <row r="157" spans="1:10">
      <c r="A157" s="14"/>
      <c r="B157" s="13" t="str">
        <f t="shared" si="10"/>
        <v>ene</v>
      </c>
      <c r="G157" s="15"/>
      <c r="H157" s="15"/>
      <c r="I157" s="15"/>
      <c r="J157" s="30">
        <f t="shared" si="9"/>
        <v>0</v>
      </c>
    </row>
    <row r="158" spans="1:10">
      <c r="A158" s="14"/>
      <c r="B158" s="13" t="str">
        <f t="shared" si="10"/>
        <v>ene</v>
      </c>
      <c r="G158" s="15"/>
      <c r="H158" s="15"/>
      <c r="I158" s="15"/>
      <c r="J158" s="30">
        <f t="shared" si="9"/>
        <v>0</v>
      </c>
    </row>
    <row r="159" spans="1:10">
      <c r="A159" s="14"/>
      <c r="G159" s="15"/>
      <c r="H159" s="15"/>
      <c r="I159" s="15"/>
      <c r="J159" s="15">
        <f t="shared" ref="J159:J160" si="11">H159+I159</f>
        <v>0</v>
      </c>
    </row>
    <row r="160" spans="1:10">
      <c r="A160" s="14"/>
      <c r="G160" s="15"/>
      <c r="H160" s="15"/>
      <c r="I160" s="15"/>
      <c r="J160" s="15">
        <f t="shared" si="11"/>
        <v>0</v>
      </c>
    </row>
  </sheetData>
  <sheetProtection sheet="1" objects="1" scenarios="1"/>
  <conditionalFormatting sqref="F85:F126 F6:F7 F9:F32 F34:F83">
    <cfRule type="duplicateValues" dxfId="479" priority="3"/>
  </conditionalFormatting>
  <conditionalFormatting sqref="G2:G5">
    <cfRule type="duplicateValues" dxfId="478" priority="2"/>
  </conditionalFormatting>
  <dataValidations count="2">
    <dataValidation type="date" allowBlank="1" showInputMessage="1" showErrorMessage="1" sqref="A32 A2:A29 A34:A158" xr:uid="{BFAAE43B-F0CD-4871-AEBF-8688E3D392E1}">
      <formula1>36526</formula1>
      <formula2>48944</formula2>
    </dataValidation>
    <dataValidation allowBlank="1" showInputMessage="1" showErrorMessage="1" sqref="K121 E138:E139 E6:E29 F9:F17 K88 K81 F19:F83 K97 G158:I158 E132 K116:K117 K106:K111 E130 E82:E107 L2:L5 E109:E126 E32:E80 F85:F126 E2:I5 J2:J160 F6:F7 H6:I126 G6:G69 G71:G126" xr:uid="{547C527D-08A1-463B-813B-9D376B15C692}"/>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CB42B2CB-39F4-4F35-97C6-D749CD3EF0CB}">
          <x14:formula1>
            <xm:f>'LISTAS DESPLEGABLES'!$F$3:$F$21</xm:f>
          </x14:formula1>
          <xm:sqref>D4:D158</xm:sqref>
        </x14:dataValidation>
        <x14:dataValidation type="list" allowBlank="1" showInputMessage="1" showErrorMessage="1" xr:uid="{60698B2F-0F65-4DF8-8707-DA88E9154B18}">
          <x14:formula1>
            <xm:f>'LISTAS DESPLEGABLES'!$E$4:$E$50</xm:f>
          </x14:formula1>
          <xm:sqref>C4:C158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738-14AF-4CA6-932D-6F13307B81CC}">
  <sheetPr>
    <tabColor theme="6"/>
  </sheetPr>
  <dimension ref="A1:BO125"/>
  <sheetViews>
    <sheetView zoomScale="95" zoomScaleNormal="95" workbookViewId="0">
      <pane ySplit="2" topLeftCell="A110" activePane="bottomLeft" state="frozen"/>
      <selection activeCell="B1" sqref="B1"/>
      <selection pane="bottomLeft" activeCell="A2" sqref="A2:X121"/>
    </sheetView>
  </sheetViews>
  <sheetFormatPr baseColWidth="10" defaultColWidth="9" defaultRowHeight="15" customHeight="1"/>
  <cols>
    <col min="1" max="1" width="8" style="4" customWidth="1"/>
    <col min="2" max="2" width="17.375" style="4" customWidth="1"/>
    <col min="3" max="4" width="19.625" style="4" customWidth="1"/>
    <col min="5" max="5" width="21.375" style="4" customWidth="1"/>
    <col min="6" max="10" width="15.625" style="4" customWidth="1"/>
    <col min="11" max="11" width="17.25" style="4" customWidth="1"/>
    <col min="12" max="12" width="28.25" style="4" customWidth="1"/>
    <col min="13" max="13" width="13.375" style="4" customWidth="1"/>
    <col min="14" max="14" width="16.75" style="4" customWidth="1"/>
    <col min="15" max="15" width="23.375" style="4" customWidth="1"/>
    <col min="16" max="16" width="81.625" style="4" customWidth="1"/>
    <col min="17" max="19" width="25.625" style="4" customWidth="1"/>
    <col min="20" max="20" width="25.625" style="12" customWidth="1"/>
    <col min="21" max="21" width="27.875" style="11" customWidth="1"/>
    <col min="22" max="22" width="13.375" style="4" customWidth="1"/>
    <col min="23" max="23" width="21.625" style="4" customWidth="1"/>
    <col min="24" max="24" width="22.375" style="4" customWidth="1"/>
    <col min="25" max="35" width="20.625" style="4" customWidth="1"/>
    <col min="36" max="36" width="20.625" style="11" customWidth="1"/>
    <col min="37" max="38" width="20.625" style="4" customWidth="1"/>
    <col min="39" max="39" width="20.625" style="26" customWidth="1"/>
    <col min="40" max="56" width="30.625" style="4" customWidth="1"/>
    <col min="57" max="57" width="30.625" style="26" customWidth="1"/>
    <col min="58" max="67" width="30.625" style="4" customWidth="1"/>
    <col min="68" max="16384" width="9" style="4"/>
  </cols>
  <sheetData>
    <row r="1" spans="1:67" ht="26.25" customHeight="1">
      <c r="A1" s="168" t="s">
        <v>770</v>
      </c>
      <c r="B1" s="169"/>
      <c r="C1" s="169"/>
      <c r="D1" s="169"/>
      <c r="E1" s="169"/>
      <c r="F1" s="169"/>
      <c r="G1" s="169"/>
      <c r="H1" s="169"/>
      <c r="I1" s="169"/>
      <c r="J1" s="169"/>
      <c r="K1" s="169"/>
      <c r="L1" s="169"/>
      <c r="M1" s="169"/>
      <c r="N1" s="169"/>
      <c r="O1" s="169"/>
      <c r="P1" s="169"/>
      <c r="Q1" s="169"/>
      <c r="R1" s="169"/>
      <c r="S1" s="169"/>
      <c r="T1" s="169"/>
      <c r="U1" s="169"/>
      <c r="V1" s="169"/>
      <c r="W1" s="169"/>
      <c r="X1" s="170"/>
      <c r="Y1" s="171" t="s">
        <v>771</v>
      </c>
      <c r="Z1" s="172"/>
      <c r="AA1" s="172"/>
      <c r="AB1" s="172"/>
      <c r="AC1" s="172"/>
      <c r="AD1" s="172"/>
      <c r="AE1" s="172"/>
      <c r="AF1" s="172"/>
      <c r="AG1" s="172"/>
      <c r="AH1" s="172"/>
      <c r="AI1" s="172"/>
      <c r="AJ1" s="172"/>
      <c r="AK1" s="172"/>
      <c r="AL1" s="172"/>
      <c r="AM1" s="173"/>
      <c r="AN1" s="174" t="s">
        <v>772</v>
      </c>
      <c r="AO1" s="175"/>
      <c r="AP1" s="175"/>
      <c r="AQ1" s="175"/>
      <c r="AR1" s="175"/>
      <c r="AS1" s="175"/>
      <c r="AT1" s="175"/>
      <c r="AU1" s="175"/>
      <c r="AV1" s="175"/>
      <c r="AW1" s="175"/>
      <c r="AX1" s="175"/>
      <c r="AY1" s="175"/>
      <c r="AZ1" s="175"/>
      <c r="BA1" s="175"/>
      <c r="BB1" s="175"/>
      <c r="BC1" s="175"/>
      <c r="BD1" s="175"/>
      <c r="BE1" s="175"/>
      <c r="BF1" s="175"/>
      <c r="BG1" s="176"/>
      <c r="BH1" s="177" t="s">
        <v>773</v>
      </c>
      <c r="BI1" s="178"/>
      <c r="BJ1" s="178"/>
      <c r="BK1" s="178"/>
      <c r="BL1" s="178"/>
      <c r="BM1" s="178"/>
      <c r="BN1" s="178"/>
      <c r="BO1" s="179"/>
    </row>
    <row r="2" spans="1:67" s="6" customFormat="1" ht="91.5" customHeight="1">
      <c r="A2" s="49" t="s">
        <v>0</v>
      </c>
      <c r="B2" s="5" t="s">
        <v>774</v>
      </c>
      <c r="C2" s="6" t="s">
        <v>775</v>
      </c>
      <c r="D2" s="6" t="s">
        <v>776</v>
      </c>
      <c r="E2" s="6" t="s">
        <v>777</v>
      </c>
      <c r="F2" s="5" t="s">
        <v>778</v>
      </c>
      <c r="G2" s="5" t="s">
        <v>779</v>
      </c>
      <c r="H2" s="7" t="s">
        <v>780</v>
      </c>
      <c r="I2" s="32" t="s">
        <v>781</v>
      </c>
      <c r="J2" s="32" t="s">
        <v>782</v>
      </c>
      <c r="K2" s="32" t="s">
        <v>783</v>
      </c>
      <c r="L2" s="32" t="s">
        <v>180</v>
      </c>
      <c r="M2" s="32" t="s">
        <v>3</v>
      </c>
      <c r="N2" s="32" t="s">
        <v>9</v>
      </c>
      <c r="O2" s="32" t="s">
        <v>181</v>
      </c>
      <c r="P2" s="32" t="s">
        <v>182</v>
      </c>
      <c r="Q2" s="33" t="s">
        <v>183</v>
      </c>
      <c r="R2" s="33" t="s">
        <v>784</v>
      </c>
      <c r="S2" s="33" t="s">
        <v>185</v>
      </c>
      <c r="T2" s="33" t="s">
        <v>785</v>
      </c>
      <c r="U2" s="34" t="s">
        <v>186</v>
      </c>
      <c r="V2" s="5" t="s">
        <v>2</v>
      </c>
      <c r="W2" s="5" t="s">
        <v>10</v>
      </c>
      <c r="X2" s="5" t="s">
        <v>11</v>
      </c>
      <c r="Y2" s="52" t="s">
        <v>786</v>
      </c>
      <c r="Z2" s="5" t="s">
        <v>787</v>
      </c>
      <c r="AA2" s="5" t="s">
        <v>788</v>
      </c>
      <c r="AB2" s="5" t="s">
        <v>789</v>
      </c>
      <c r="AC2" s="5" t="s">
        <v>790</v>
      </c>
      <c r="AD2" s="5" t="s">
        <v>791</v>
      </c>
      <c r="AE2" s="5" t="s">
        <v>792</v>
      </c>
      <c r="AF2" s="5" t="s">
        <v>793</v>
      </c>
      <c r="AG2" s="5" t="s">
        <v>794</v>
      </c>
      <c r="AH2" s="5" t="s">
        <v>795</v>
      </c>
      <c r="AI2" s="5" t="s">
        <v>796</v>
      </c>
      <c r="AJ2" s="67" t="s">
        <v>187</v>
      </c>
      <c r="AK2" s="27" t="s">
        <v>797</v>
      </c>
      <c r="AL2" s="27" t="s">
        <v>798</v>
      </c>
      <c r="AM2" s="28" t="s">
        <v>799</v>
      </c>
      <c r="AN2" s="45" t="s">
        <v>800</v>
      </c>
      <c r="AO2" s="5" t="s">
        <v>801</v>
      </c>
      <c r="AP2" s="5" t="s">
        <v>802</v>
      </c>
      <c r="AQ2" s="5" t="s">
        <v>803</v>
      </c>
      <c r="AR2" s="5" t="s">
        <v>804</v>
      </c>
      <c r="AS2" s="5" t="s">
        <v>805</v>
      </c>
      <c r="AT2" s="5" t="s">
        <v>806</v>
      </c>
      <c r="AU2" s="5" t="s">
        <v>807</v>
      </c>
      <c r="AV2" s="5" t="s">
        <v>808</v>
      </c>
      <c r="AW2" s="5" t="s">
        <v>809</v>
      </c>
      <c r="AX2" s="5" t="s">
        <v>810</v>
      </c>
      <c r="AY2" s="5" t="s">
        <v>811</v>
      </c>
      <c r="AZ2" s="5" t="s">
        <v>812</v>
      </c>
      <c r="BA2" s="5" t="s">
        <v>813</v>
      </c>
      <c r="BB2" s="5" t="s">
        <v>814</v>
      </c>
      <c r="BC2" s="5" t="s">
        <v>815</v>
      </c>
      <c r="BD2" s="5" t="s">
        <v>816</v>
      </c>
      <c r="BE2" s="42" t="s">
        <v>817</v>
      </c>
      <c r="BF2" s="27" t="s">
        <v>818</v>
      </c>
      <c r="BG2" s="46" t="s">
        <v>13</v>
      </c>
      <c r="BH2" s="5" t="s">
        <v>819</v>
      </c>
      <c r="BI2" s="5" t="s">
        <v>820</v>
      </c>
      <c r="BJ2" s="5" t="s">
        <v>821</v>
      </c>
      <c r="BK2" s="5" t="s">
        <v>822</v>
      </c>
      <c r="BL2" s="5" t="s">
        <v>823</v>
      </c>
      <c r="BM2" s="5" t="s">
        <v>824</v>
      </c>
      <c r="BN2" s="31" t="s">
        <v>825</v>
      </c>
      <c r="BO2" s="8" t="s">
        <v>826</v>
      </c>
    </row>
    <row r="3" spans="1:67" ht="57">
      <c r="A3" s="9">
        <v>2020</v>
      </c>
      <c r="G3" s="10"/>
      <c r="H3" s="62">
        <v>44179</v>
      </c>
      <c r="I3" s="10" t="s">
        <v>827</v>
      </c>
      <c r="J3" s="10">
        <v>46022</v>
      </c>
      <c r="K3" s="4" t="s">
        <v>828</v>
      </c>
      <c r="L3" s="4" t="s">
        <v>130</v>
      </c>
      <c r="M3" s="4" t="str">
        <f t="shared" ref="M3:M34" ca="1" si="0">IF(J3="", "SUSCRITO", IF(J3&lt;=TODAY(), "FINALIZADO", "EN EJECUCIÓN"))</f>
        <v>EN EJECUCIÓN</v>
      </c>
      <c r="N3" s="4" t="s">
        <v>93</v>
      </c>
      <c r="O3" s="6" t="s">
        <v>829</v>
      </c>
      <c r="P3" s="4" t="s">
        <v>830</v>
      </c>
      <c r="Q3" s="37">
        <v>1500051991</v>
      </c>
      <c r="R3" s="37">
        <v>0</v>
      </c>
      <c r="S3" s="38">
        <f t="shared" ref="S3:S20" si="1">Q3+R3</f>
        <v>1500051991</v>
      </c>
      <c r="T3" s="39">
        <v>0</v>
      </c>
      <c r="V3" s="4" t="s">
        <v>831</v>
      </c>
      <c r="Y3" s="65"/>
      <c r="AJ3" s="68"/>
      <c r="AK3" s="4" cm="1">
        <f t="array" ref="AK3">SUMPRODUCT((Y3:AI3&lt;&gt;"Pendiente")*(Y3:AI3&lt;&gt;""))</f>
        <v>0</v>
      </c>
      <c r="AL3" s="4">
        <f>COUNTA(Tabla2[[#This Row],[INVITACIÓN]:[ACTA DE INICIO]])</f>
        <v>0</v>
      </c>
      <c r="AM3" s="26" t="e">
        <f t="shared" ref="AM3:AM34" si="2">AK3/AL3</f>
        <v>#DIV/0!</v>
      </c>
      <c r="AN3" s="47"/>
      <c r="BD3" s="4">
        <f>COUNTA(Tabla2[[#This Row],[(1)SOLICITUD DE  APERTURA FIRNANCIERA Y PRESUPUESTO 1 (FECHA) ]:[(15) FECHA DE CONTRATACIÓN ADMINISTRATIVO]])</f>
        <v>0</v>
      </c>
      <c r="BE3" s="26">
        <f>Tabla2[[#This Row],[NUMERO OK]]/15</f>
        <v>0</v>
      </c>
      <c r="BF3" s="4" t="e">
        <f t="shared" ref="BF3:BF34" ca="1" si="3">IF(ISBLANK(I3),"N/A",
   IF(TODAY()-I3&lt;=15,
      IF(BE3=100%,"EnTiempos","EnProceso"),
      IF(BE3&lt;80%,"RiesgoAlto",
         IF(BE3&lt;100%,"RiesgoMedio","Cumplido")
      )
   )
)</f>
        <v>#VALUE!</v>
      </c>
      <c r="BG3" s="48"/>
      <c r="BO3" s="8"/>
    </row>
    <row r="4" spans="1:67" ht="85.5">
      <c r="A4" s="9">
        <v>2021</v>
      </c>
      <c r="B4" s="35" t="s">
        <v>832</v>
      </c>
      <c r="C4" s="4" t="s">
        <v>832</v>
      </c>
      <c r="D4" s="4" t="s">
        <v>123</v>
      </c>
      <c r="E4" s="35" t="s">
        <v>832</v>
      </c>
      <c r="G4" s="10"/>
      <c r="H4" s="36">
        <v>44323</v>
      </c>
      <c r="I4" s="10">
        <v>44369</v>
      </c>
      <c r="J4" s="10">
        <v>46012</v>
      </c>
      <c r="K4" s="4" t="s">
        <v>833</v>
      </c>
      <c r="L4" s="4" t="s">
        <v>97</v>
      </c>
      <c r="M4" s="4" t="str">
        <f t="shared" ca="1" si="0"/>
        <v>EN EJECUCIÓN</v>
      </c>
      <c r="N4" s="4" t="s">
        <v>54</v>
      </c>
      <c r="O4" s="163" t="s">
        <v>834</v>
      </c>
      <c r="P4" s="4" t="s">
        <v>835</v>
      </c>
      <c r="Q4" s="37">
        <v>9259682085</v>
      </c>
      <c r="R4" s="37">
        <v>0</v>
      </c>
      <c r="S4" s="38">
        <f t="shared" si="1"/>
        <v>9259682085</v>
      </c>
      <c r="T4" s="39">
        <f>(Q4*12%)/112%</f>
        <v>992108794.82142854</v>
      </c>
      <c r="U4" s="64" t="s">
        <v>836</v>
      </c>
      <c r="V4" s="4" t="s">
        <v>837</v>
      </c>
      <c r="W4" s="4" t="s">
        <v>22</v>
      </c>
      <c r="X4" s="4" t="s">
        <v>35</v>
      </c>
      <c r="Y4" s="65" t="s">
        <v>17</v>
      </c>
      <c r="Z4" s="4" t="s">
        <v>24</v>
      </c>
      <c r="AA4" s="4" t="s">
        <v>17</v>
      </c>
      <c r="AB4" s="4" t="s">
        <v>24</v>
      </c>
      <c r="AC4" s="4" t="s">
        <v>17</v>
      </c>
      <c r="AD4" s="4" t="s">
        <v>24</v>
      </c>
      <c r="AE4" s="4" t="s">
        <v>24</v>
      </c>
      <c r="AF4" s="4" t="s">
        <v>24</v>
      </c>
      <c r="AG4" s="4" t="s">
        <v>24</v>
      </c>
      <c r="AH4" s="4" t="s">
        <v>24</v>
      </c>
      <c r="AI4" s="4" t="s">
        <v>24</v>
      </c>
      <c r="AJ4" s="68"/>
      <c r="AK4" s="4" cm="1">
        <f t="array" ref="AK4">SUMPRODUCT((Y4:AI4&lt;&gt;"Pendiente")*(Y4:AI4&lt;&gt;""))</f>
        <v>11</v>
      </c>
      <c r="AL4" s="4">
        <f>COUNTA(Tabla2[[#This Row],[INVITACIÓN]:[ACTA DE INICIO]])</f>
        <v>11</v>
      </c>
      <c r="AM4" s="26">
        <f t="shared" si="2"/>
        <v>1</v>
      </c>
      <c r="AN4" s="47"/>
      <c r="AP4" s="10"/>
      <c r="AQ4" s="10"/>
      <c r="AV4" s="10"/>
      <c r="BD4" s="4">
        <f>COUNTA(Tabla2[[#This Row],[(1)SOLICITUD DE  APERTURA FIRNANCIERA Y PRESUPUESTO 1 (FECHA) ]:[(15) FECHA DE CONTRATACIÓN ADMINISTRATIVO]])</f>
        <v>0</v>
      </c>
      <c r="BE4" s="26">
        <f>Tabla2[[#This Row],[NUMERO OK]]/15</f>
        <v>0</v>
      </c>
      <c r="BF4" s="4" t="str">
        <f t="shared" ca="1" si="3"/>
        <v>RiesgoAlto</v>
      </c>
      <c r="BG4" s="48"/>
      <c r="BO4" s="8"/>
    </row>
    <row r="5" spans="1:67" ht="71.25">
      <c r="A5" s="9">
        <v>2021</v>
      </c>
      <c r="G5" s="10"/>
      <c r="H5" s="62">
        <v>44351</v>
      </c>
      <c r="I5" s="10">
        <v>44351</v>
      </c>
      <c r="J5" s="10">
        <v>45700</v>
      </c>
      <c r="K5" s="4" t="s">
        <v>838</v>
      </c>
      <c r="L5" s="4" t="s">
        <v>74</v>
      </c>
      <c r="M5" s="4" t="str">
        <f t="shared" ca="1" si="0"/>
        <v>FINALIZADO</v>
      </c>
      <c r="N5" s="4" t="s">
        <v>44</v>
      </c>
      <c r="O5" s="6" t="s">
        <v>839</v>
      </c>
      <c r="P5" s="4" t="s">
        <v>840</v>
      </c>
      <c r="Q5" s="37">
        <v>577046931</v>
      </c>
      <c r="R5" s="37">
        <v>0</v>
      </c>
      <c r="S5" s="38">
        <f t="shared" si="1"/>
        <v>577046931</v>
      </c>
      <c r="T5" s="39">
        <f>(Q5*12%)/112%</f>
        <v>61826456.892857134</v>
      </c>
      <c r="V5" s="4" t="s">
        <v>841</v>
      </c>
      <c r="Y5" s="65"/>
      <c r="AJ5" s="68"/>
      <c r="AK5" s="4" cm="1">
        <f t="array" ref="AK5">SUMPRODUCT((Y5:AI5&lt;&gt;"Pendiente")*(Y5:AI5&lt;&gt;""))</f>
        <v>0</v>
      </c>
      <c r="AL5" s="4">
        <f>COUNTA(Tabla2[[#This Row],[INVITACIÓN]:[ACTA DE INICIO]])</f>
        <v>0</v>
      </c>
      <c r="AM5" s="26" t="e">
        <f t="shared" si="2"/>
        <v>#DIV/0!</v>
      </c>
      <c r="AN5" s="47"/>
      <c r="BD5" s="4">
        <f>COUNTA(Tabla2[[#This Row],[(1)SOLICITUD DE  APERTURA FIRNANCIERA Y PRESUPUESTO 1 (FECHA) ]:[(15) FECHA DE CONTRATACIÓN ADMINISTRATIVO]])</f>
        <v>0</v>
      </c>
      <c r="BE5" s="26">
        <f>Tabla2[[#This Row],[NUMERO OK]]/15</f>
        <v>0</v>
      </c>
      <c r="BF5" s="4" t="str">
        <f t="shared" ca="1" si="3"/>
        <v>RiesgoAlto</v>
      </c>
      <c r="BG5" s="48"/>
      <c r="BO5" s="8"/>
    </row>
    <row r="6" spans="1:67" ht="85.5">
      <c r="A6" s="9">
        <v>2022</v>
      </c>
      <c r="B6" s="35" t="s">
        <v>832</v>
      </c>
      <c r="C6" s="4" t="s">
        <v>832</v>
      </c>
      <c r="D6" s="4" t="s">
        <v>123</v>
      </c>
      <c r="E6" s="35" t="s">
        <v>832</v>
      </c>
      <c r="G6" s="10"/>
      <c r="H6" s="36">
        <v>44588</v>
      </c>
      <c r="I6" s="10">
        <v>44602</v>
      </c>
      <c r="J6" s="10">
        <v>46062</v>
      </c>
      <c r="K6" s="4" t="s">
        <v>842</v>
      </c>
      <c r="L6" s="4" t="s">
        <v>97</v>
      </c>
      <c r="M6" s="4" t="str">
        <f t="shared" ca="1" si="0"/>
        <v>EN EJECUCIÓN</v>
      </c>
      <c r="N6" s="4" t="s">
        <v>54</v>
      </c>
      <c r="O6" s="163" t="s">
        <v>834</v>
      </c>
      <c r="P6" s="4" t="s">
        <v>843</v>
      </c>
      <c r="Q6" s="37">
        <v>5408592000</v>
      </c>
      <c r="R6" s="37">
        <v>0</v>
      </c>
      <c r="S6" s="38">
        <f t="shared" si="1"/>
        <v>5408592000</v>
      </c>
      <c r="T6" s="39">
        <f>(Q6*12%)/112%</f>
        <v>579492000</v>
      </c>
      <c r="U6" s="11" t="s">
        <v>844</v>
      </c>
      <c r="V6" s="4" t="s">
        <v>845</v>
      </c>
      <c r="W6" s="4" t="s">
        <v>22</v>
      </c>
      <c r="X6" s="4" t="s">
        <v>35</v>
      </c>
      <c r="Y6" s="65" t="s">
        <v>17</v>
      </c>
      <c r="Z6" s="4" t="s">
        <v>24</v>
      </c>
      <c r="AA6" s="4" t="s">
        <v>24</v>
      </c>
      <c r="AB6" s="4" t="s">
        <v>24</v>
      </c>
      <c r="AC6" s="4" t="s">
        <v>17</v>
      </c>
      <c r="AD6" s="4" t="s">
        <v>24</v>
      </c>
      <c r="AE6" s="4" t="s">
        <v>24</v>
      </c>
      <c r="AF6" s="4" t="s">
        <v>24</v>
      </c>
      <c r="AG6" s="4" t="s">
        <v>24</v>
      </c>
      <c r="AH6" s="4" t="s">
        <v>24</v>
      </c>
      <c r="AI6" s="4" t="s">
        <v>24</v>
      </c>
      <c r="AJ6" s="68"/>
      <c r="AK6" s="4" cm="1">
        <f t="array" ref="AK6">SUMPRODUCT((Y6:AI6&lt;&gt;"Pendiente")*(Y6:AI6&lt;&gt;""))</f>
        <v>11</v>
      </c>
      <c r="AL6" s="4">
        <f>COUNTA(Tabla2[[#This Row],[INVITACIÓN]:[ACTA DE INICIO]])</f>
        <v>11</v>
      </c>
      <c r="AM6" s="26">
        <f t="shared" si="2"/>
        <v>1</v>
      </c>
      <c r="AN6" s="47"/>
      <c r="AP6" s="10"/>
      <c r="AQ6" s="10"/>
      <c r="AV6" s="10"/>
      <c r="BD6" s="4">
        <f>COUNTA(Tabla2[[#This Row],[(1)SOLICITUD DE  APERTURA FIRNANCIERA Y PRESUPUESTO 1 (FECHA) ]:[(15) FECHA DE CONTRATACIÓN ADMINISTRATIVO]])</f>
        <v>0</v>
      </c>
      <c r="BE6" s="26">
        <f>Tabla2[[#This Row],[NUMERO OK]]/15</f>
        <v>0</v>
      </c>
      <c r="BF6" s="4" t="str">
        <f t="shared" ca="1" si="3"/>
        <v>RiesgoAlto</v>
      </c>
      <c r="BG6" s="48"/>
      <c r="BO6" s="8"/>
    </row>
    <row r="7" spans="1:67" ht="142.5">
      <c r="A7" s="9">
        <v>2022</v>
      </c>
      <c r="G7" s="10"/>
      <c r="H7" s="62">
        <v>44589</v>
      </c>
      <c r="I7" s="10">
        <v>45685</v>
      </c>
      <c r="J7" s="10">
        <v>45684</v>
      </c>
      <c r="K7" s="4" t="s">
        <v>846</v>
      </c>
      <c r="L7" s="4" t="s">
        <v>30</v>
      </c>
      <c r="M7" s="4" t="str">
        <f t="shared" ca="1" si="0"/>
        <v>FINALIZADO</v>
      </c>
      <c r="N7" s="4" t="s">
        <v>99</v>
      </c>
      <c r="O7" s="6" t="s">
        <v>847</v>
      </c>
      <c r="P7" s="4" t="s">
        <v>848</v>
      </c>
      <c r="Q7" s="37">
        <v>766480432</v>
      </c>
      <c r="R7" s="37">
        <v>279517245</v>
      </c>
      <c r="S7" s="38">
        <f t="shared" si="1"/>
        <v>1045997677</v>
      </c>
      <c r="T7" s="39">
        <v>0</v>
      </c>
      <c r="V7" s="4" t="s">
        <v>222</v>
      </c>
      <c r="Y7" s="65"/>
      <c r="AJ7" s="8" t="s">
        <v>849</v>
      </c>
      <c r="AK7" s="4" cm="1">
        <f t="array" ref="AK7">SUMPRODUCT((Y7:AI7&lt;&gt;"Pendiente")*(Y7:AI7&lt;&gt;""))</f>
        <v>0</v>
      </c>
      <c r="AL7" s="4">
        <f>COUNTA(Tabla2[[#This Row],[INVITACIÓN]:[ACTA DE INICIO]])</f>
        <v>0</v>
      </c>
      <c r="AM7" s="26" t="e">
        <f t="shared" si="2"/>
        <v>#DIV/0!</v>
      </c>
      <c r="AN7" s="47"/>
      <c r="BD7" s="4">
        <f>COUNTA(Tabla2[[#This Row],[(1)SOLICITUD DE  APERTURA FIRNANCIERA Y PRESUPUESTO 1 (FECHA) ]:[(15) FECHA DE CONTRATACIÓN ADMINISTRATIVO]])</f>
        <v>0</v>
      </c>
      <c r="BE7" s="26">
        <f>Tabla2[[#This Row],[NUMERO OK]]/15</f>
        <v>0</v>
      </c>
      <c r="BF7" s="4" t="str">
        <f t="shared" ca="1" si="3"/>
        <v>RiesgoAlto</v>
      </c>
      <c r="BG7" s="48"/>
      <c r="BO7" s="8"/>
    </row>
    <row r="8" spans="1:67" ht="85.5">
      <c r="A8" s="9">
        <v>2022</v>
      </c>
      <c r="G8" s="10"/>
      <c r="H8" s="62">
        <v>44855</v>
      </c>
      <c r="I8" s="10">
        <v>44855</v>
      </c>
      <c r="J8" s="10">
        <v>45767</v>
      </c>
      <c r="K8" s="4" t="s">
        <v>850</v>
      </c>
      <c r="L8" s="4" t="s">
        <v>30</v>
      </c>
      <c r="M8" s="4" t="str">
        <f t="shared" ca="1" si="0"/>
        <v>FINALIZADO</v>
      </c>
      <c r="N8" s="4" t="s">
        <v>99</v>
      </c>
      <c r="O8" s="6" t="s">
        <v>847</v>
      </c>
      <c r="P8" s="4" t="s">
        <v>851</v>
      </c>
      <c r="Q8" s="37">
        <v>408305587</v>
      </c>
      <c r="R8" s="37">
        <v>606499128</v>
      </c>
      <c r="S8" s="38">
        <f t="shared" si="1"/>
        <v>1014804715</v>
      </c>
      <c r="T8" s="39">
        <v>0</v>
      </c>
      <c r="V8" s="4" t="s">
        <v>852</v>
      </c>
      <c r="Y8" s="65"/>
      <c r="AJ8" s="68"/>
      <c r="AK8" s="4" cm="1">
        <f t="array" ref="AK8">SUMPRODUCT((Y8:AI8&lt;&gt;"Pendiente")*(Y8:AI8&lt;&gt;""))</f>
        <v>0</v>
      </c>
      <c r="AL8" s="4">
        <f>COUNTA(Tabla2[[#This Row],[INVITACIÓN]:[ACTA DE INICIO]])</f>
        <v>0</v>
      </c>
      <c r="AM8" s="26" t="e">
        <f t="shared" si="2"/>
        <v>#DIV/0!</v>
      </c>
      <c r="AN8" s="47"/>
      <c r="BD8" s="4">
        <f>COUNTA(Tabla2[[#This Row],[(1)SOLICITUD DE  APERTURA FIRNANCIERA Y PRESUPUESTO 1 (FECHA) ]:[(15) FECHA DE CONTRATACIÓN ADMINISTRATIVO]])</f>
        <v>0</v>
      </c>
      <c r="BE8" s="26">
        <f>Tabla2[[#This Row],[NUMERO OK]]/15</f>
        <v>0</v>
      </c>
      <c r="BF8" s="4" t="str">
        <f t="shared" ca="1" si="3"/>
        <v>RiesgoAlto</v>
      </c>
      <c r="BG8" s="48"/>
      <c r="BO8" s="8"/>
    </row>
    <row r="9" spans="1:67" ht="71.25">
      <c r="A9" s="9">
        <v>2022</v>
      </c>
      <c r="G9" s="10"/>
      <c r="H9" s="62">
        <v>44917</v>
      </c>
      <c r="I9" s="10">
        <v>44918</v>
      </c>
      <c r="J9" s="10">
        <v>45830</v>
      </c>
      <c r="K9" s="4" t="s">
        <v>853</v>
      </c>
      <c r="L9" s="4" t="s">
        <v>107</v>
      </c>
      <c r="M9" s="4" t="str">
        <f t="shared" ca="1" si="0"/>
        <v>FINALIZADO</v>
      </c>
      <c r="N9" s="4" t="s">
        <v>21</v>
      </c>
      <c r="O9" s="6" t="s">
        <v>854</v>
      </c>
      <c r="P9" s="4" t="s">
        <v>855</v>
      </c>
      <c r="Q9" s="37">
        <v>680689715</v>
      </c>
      <c r="R9" s="37">
        <v>76000000</v>
      </c>
      <c r="S9" s="38">
        <f t="shared" si="1"/>
        <v>756689715</v>
      </c>
      <c r="T9" s="39">
        <v>0</v>
      </c>
      <c r="V9" s="4" t="s">
        <v>852</v>
      </c>
      <c r="Y9" s="65"/>
      <c r="AJ9" s="68"/>
      <c r="AK9" s="4" cm="1">
        <f t="array" ref="AK9">SUMPRODUCT((Y9:AI9&lt;&gt;"Pendiente")*(Y9:AI9&lt;&gt;""))</f>
        <v>0</v>
      </c>
      <c r="AL9" s="4">
        <f>COUNTA(Tabla2[[#This Row],[INVITACIÓN]:[ACTA DE INICIO]])</f>
        <v>0</v>
      </c>
      <c r="AM9" s="26" t="e">
        <f t="shared" si="2"/>
        <v>#DIV/0!</v>
      </c>
      <c r="AN9" s="47"/>
      <c r="BD9" s="4">
        <f>COUNTA(Tabla2[[#This Row],[(1)SOLICITUD DE  APERTURA FIRNANCIERA Y PRESUPUESTO 1 (FECHA) ]:[(15) FECHA DE CONTRATACIÓN ADMINISTRATIVO]])</f>
        <v>0</v>
      </c>
      <c r="BE9" s="26">
        <f>Tabla2[[#This Row],[NUMERO OK]]/15</f>
        <v>0</v>
      </c>
      <c r="BF9" s="4" t="str">
        <f t="shared" ca="1" si="3"/>
        <v>RiesgoAlto</v>
      </c>
      <c r="BG9" s="48"/>
      <c r="BO9" s="8"/>
    </row>
    <row r="10" spans="1:67" ht="57">
      <c r="A10" s="9">
        <v>2022</v>
      </c>
      <c r="G10" s="10"/>
      <c r="H10" s="62">
        <v>44923</v>
      </c>
      <c r="I10" s="10">
        <v>45033</v>
      </c>
      <c r="J10" s="10" t="s">
        <v>856</v>
      </c>
      <c r="K10" s="4" t="s">
        <v>857</v>
      </c>
      <c r="L10" s="4" t="s">
        <v>97</v>
      </c>
      <c r="M10" s="4" t="str">
        <f t="shared" ca="1" si="0"/>
        <v>EN EJECUCIÓN</v>
      </c>
      <c r="N10" s="4" t="s">
        <v>33</v>
      </c>
      <c r="O10" s="6" t="s">
        <v>858</v>
      </c>
      <c r="P10" s="4" t="s">
        <v>859</v>
      </c>
      <c r="Q10" s="37">
        <v>390823000</v>
      </c>
      <c r="R10" s="37">
        <v>0</v>
      </c>
      <c r="S10" s="38">
        <f t="shared" si="1"/>
        <v>390823000</v>
      </c>
      <c r="T10" s="39">
        <f>(Q10*12%)/112%</f>
        <v>41873892.857142851</v>
      </c>
      <c r="V10" s="4" t="s">
        <v>860</v>
      </c>
      <c r="W10" s="4" t="s">
        <v>22</v>
      </c>
      <c r="X10" s="4" t="s">
        <v>23</v>
      </c>
      <c r="Y10" s="65"/>
      <c r="AJ10" s="8" t="s">
        <v>861</v>
      </c>
      <c r="AK10" s="4" cm="1">
        <f t="array" ref="AK10">SUMPRODUCT((Y10:AI10&lt;&gt;"Pendiente")*(Y10:AI10&lt;&gt;""))</f>
        <v>0</v>
      </c>
      <c r="AL10" s="4">
        <f>COUNTA(Tabla2[[#This Row],[INVITACIÓN]:[ACTA DE INICIO]])</f>
        <v>0</v>
      </c>
      <c r="AM10" s="26" t="e">
        <f t="shared" si="2"/>
        <v>#DIV/0!</v>
      </c>
      <c r="AN10" s="47"/>
      <c r="BD10" s="4">
        <f>COUNTA(Tabla2[[#This Row],[(1)SOLICITUD DE  APERTURA FIRNANCIERA Y PRESUPUESTO 1 (FECHA) ]:[(15) FECHA DE CONTRATACIÓN ADMINISTRATIVO]])</f>
        <v>0</v>
      </c>
      <c r="BE10" s="26">
        <f>Tabla2[[#This Row],[NUMERO OK]]/15</f>
        <v>0</v>
      </c>
      <c r="BF10" s="4" t="str">
        <f t="shared" ca="1" si="3"/>
        <v>RiesgoAlto</v>
      </c>
      <c r="BG10" s="48"/>
      <c r="BO10" s="8"/>
    </row>
    <row r="11" spans="1:67" ht="57">
      <c r="A11" s="9">
        <v>2023</v>
      </c>
      <c r="G11" s="10"/>
      <c r="H11" s="62">
        <v>44999</v>
      </c>
      <c r="I11" s="10">
        <v>44999</v>
      </c>
      <c r="J11" s="10">
        <v>45816</v>
      </c>
      <c r="K11" s="4" t="s">
        <v>862</v>
      </c>
      <c r="L11" s="4" t="s">
        <v>30</v>
      </c>
      <c r="M11" s="4" t="str">
        <f t="shared" ca="1" si="0"/>
        <v>FINALIZADO</v>
      </c>
      <c r="N11" s="4" t="s">
        <v>99</v>
      </c>
      <c r="O11" s="6" t="s">
        <v>863</v>
      </c>
      <c r="P11" s="4" t="s">
        <v>864</v>
      </c>
      <c r="Q11" s="37">
        <v>271357297</v>
      </c>
      <c r="R11" s="37">
        <v>279443262</v>
      </c>
      <c r="S11" s="38">
        <f t="shared" si="1"/>
        <v>550800559</v>
      </c>
      <c r="T11" s="39">
        <v>0</v>
      </c>
      <c r="V11" s="4" t="s">
        <v>865</v>
      </c>
      <c r="W11" s="4" t="s">
        <v>34</v>
      </c>
      <c r="X11" s="4" t="s">
        <v>23</v>
      </c>
      <c r="Y11" s="65" t="s">
        <v>17</v>
      </c>
      <c r="Z11" s="4" t="s">
        <v>24</v>
      </c>
      <c r="AA11" s="4" t="s">
        <v>17</v>
      </c>
      <c r="AB11" s="4" t="s">
        <v>17</v>
      </c>
      <c r="AC11" s="4" t="s">
        <v>17</v>
      </c>
      <c r="AD11" s="4" t="s">
        <v>36</v>
      </c>
      <c r="AE11" s="4" t="s">
        <v>24</v>
      </c>
      <c r="AF11" s="4" t="s">
        <v>17</v>
      </c>
      <c r="AG11" s="4" t="s">
        <v>24</v>
      </c>
      <c r="AH11" s="4" t="s">
        <v>24</v>
      </c>
      <c r="AI11" s="4" t="s">
        <v>17</v>
      </c>
      <c r="AJ11" s="68"/>
      <c r="AK11" s="4" cm="1">
        <f t="array" ref="AK11">SUMPRODUCT((Y11:AI11&lt;&gt;"Pendiente")*(Y11:AI11&lt;&gt;""))</f>
        <v>10</v>
      </c>
      <c r="AL11" s="4">
        <f>COUNTA(Tabla2[[#This Row],[INVITACIÓN]:[ACTA DE INICIO]])</f>
        <v>11</v>
      </c>
      <c r="AM11" s="26">
        <f t="shared" si="2"/>
        <v>0.90909090909090906</v>
      </c>
      <c r="AN11" s="47"/>
      <c r="BD11" s="4">
        <f>COUNTA(Tabla2[[#This Row],[(1)SOLICITUD DE  APERTURA FIRNANCIERA Y PRESUPUESTO 1 (FECHA) ]:[(15) FECHA DE CONTRATACIÓN ADMINISTRATIVO]])</f>
        <v>0</v>
      </c>
      <c r="BE11" s="26">
        <f>Tabla2[[#This Row],[NUMERO OK]]/15</f>
        <v>0</v>
      </c>
      <c r="BF11" s="4" t="str">
        <f t="shared" ca="1" si="3"/>
        <v>RiesgoAlto</v>
      </c>
      <c r="BG11" s="48"/>
      <c r="BO11" s="8"/>
    </row>
    <row r="12" spans="1:67" ht="57">
      <c r="A12" s="9">
        <v>2023</v>
      </c>
      <c r="G12" s="10"/>
      <c r="H12" s="62">
        <v>45105</v>
      </c>
      <c r="I12" s="10">
        <v>45120</v>
      </c>
      <c r="J12" s="10">
        <v>45789</v>
      </c>
      <c r="K12" s="4" t="s">
        <v>866</v>
      </c>
      <c r="L12" s="4" t="s">
        <v>97</v>
      </c>
      <c r="M12" s="4" t="str">
        <f t="shared" ca="1" si="0"/>
        <v>FINALIZADO</v>
      </c>
      <c r="N12" s="4" t="s">
        <v>93</v>
      </c>
      <c r="O12" s="6" t="s">
        <v>867</v>
      </c>
      <c r="P12" s="4" t="s">
        <v>868</v>
      </c>
      <c r="Q12" s="37">
        <v>330437363</v>
      </c>
      <c r="R12" s="37">
        <v>80000000</v>
      </c>
      <c r="S12" s="38">
        <f t="shared" si="1"/>
        <v>410437363</v>
      </c>
      <c r="T12" s="39">
        <f t="shared" ref="T12:T51" si="4">(Q12*12%)/112%</f>
        <v>35404003.178571418</v>
      </c>
      <c r="V12" s="4" t="s">
        <v>140</v>
      </c>
      <c r="Y12" s="65"/>
      <c r="AJ12" s="68"/>
      <c r="AK12" s="4" cm="1">
        <f t="array" ref="AK12">SUMPRODUCT((Y12:AI12&lt;&gt;"Pendiente")*(Y12:AI12&lt;&gt;""))</f>
        <v>0</v>
      </c>
      <c r="AL12" s="4">
        <f>COUNTA(Tabla2[[#This Row],[INVITACIÓN]:[ACTA DE INICIO]])</f>
        <v>0</v>
      </c>
      <c r="AM12" s="26" t="e">
        <f t="shared" si="2"/>
        <v>#DIV/0!</v>
      </c>
      <c r="AN12" s="47"/>
      <c r="BD12" s="4">
        <f>COUNTA(Tabla2[[#This Row],[(1)SOLICITUD DE  APERTURA FIRNANCIERA Y PRESUPUESTO 1 (FECHA) ]:[(15) FECHA DE CONTRATACIÓN ADMINISTRATIVO]])</f>
        <v>0</v>
      </c>
      <c r="BE12" s="26">
        <f>Tabla2[[#This Row],[NUMERO OK]]/15</f>
        <v>0</v>
      </c>
      <c r="BF12" s="4" t="str">
        <f t="shared" ca="1" si="3"/>
        <v>RiesgoAlto</v>
      </c>
      <c r="BG12" s="48"/>
      <c r="BO12" s="8"/>
    </row>
    <row r="13" spans="1:67" ht="85.5">
      <c r="A13" s="9">
        <v>2024</v>
      </c>
      <c r="B13" s="35" t="s">
        <v>832</v>
      </c>
      <c r="C13" s="4" t="s">
        <v>832</v>
      </c>
      <c r="D13" s="4" t="s">
        <v>135</v>
      </c>
      <c r="E13" s="35" t="s">
        <v>832</v>
      </c>
      <c r="F13" s="4" t="s">
        <v>17</v>
      </c>
      <c r="G13" s="10"/>
      <c r="H13" s="36">
        <v>45372</v>
      </c>
      <c r="I13" s="10">
        <v>45490</v>
      </c>
      <c r="J13" s="10">
        <v>45673</v>
      </c>
      <c r="K13" s="4" t="s">
        <v>869</v>
      </c>
      <c r="L13" s="4" t="s">
        <v>86</v>
      </c>
      <c r="M13" s="4" t="str">
        <f t="shared" ca="1" si="0"/>
        <v>FINALIZADO</v>
      </c>
      <c r="N13" s="4" t="s">
        <v>93</v>
      </c>
      <c r="O13" s="163" t="s">
        <v>870</v>
      </c>
      <c r="P13" s="4" t="s">
        <v>871</v>
      </c>
      <c r="Q13" s="37">
        <v>142450000</v>
      </c>
      <c r="R13" s="37">
        <v>0</v>
      </c>
      <c r="S13" s="38">
        <f t="shared" si="1"/>
        <v>142450000</v>
      </c>
      <c r="T13" s="39">
        <f t="shared" si="4"/>
        <v>15262499.999999998</v>
      </c>
      <c r="U13" s="11" t="s">
        <v>872</v>
      </c>
      <c r="V13" s="4" t="s">
        <v>65</v>
      </c>
      <c r="W13" s="4" t="s">
        <v>55</v>
      </c>
      <c r="X13" s="4" t="s">
        <v>93</v>
      </c>
      <c r="Y13" s="65" t="s">
        <v>17</v>
      </c>
      <c r="Z13" s="4" t="s">
        <v>17</v>
      </c>
      <c r="AA13" s="4" t="s">
        <v>17</v>
      </c>
      <c r="AB13" s="4" t="s">
        <v>192</v>
      </c>
      <c r="AC13" s="4" t="s">
        <v>24</v>
      </c>
      <c r="AD13" s="4" t="s">
        <v>24</v>
      </c>
      <c r="AE13" s="4" t="s">
        <v>17</v>
      </c>
      <c r="AF13" s="4" t="s">
        <v>17</v>
      </c>
      <c r="AG13" s="4" t="s">
        <v>24</v>
      </c>
      <c r="AH13" s="4" t="s">
        <v>24</v>
      </c>
      <c r="AI13" s="4" t="s">
        <v>24</v>
      </c>
      <c r="AJ13" s="68"/>
      <c r="AK13" s="4" cm="1">
        <f t="array" ref="AK13">SUMPRODUCT((Y13:AI13&lt;&gt;"Pendiente")*(Y13:AI13&lt;&gt;""))</f>
        <v>11</v>
      </c>
      <c r="AL13" s="4">
        <f>COUNTA(Tabla2[[#This Row],[INVITACIÓN]:[ACTA DE INICIO]])</f>
        <v>11</v>
      </c>
      <c r="AM13" s="26">
        <f t="shared" si="2"/>
        <v>1</v>
      </c>
      <c r="AN13" s="47"/>
      <c r="AP13" s="10"/>
      <c r="AQ13" s="10"/>
      <c r="AV13" s="10"/>
      <c r="BD13" s="4">
        <f>COUNTA(Tabla2[[#This Row],[(1)SOLICITUD DE  APERTURA FIRNANCIERA Y PRESUPUESTO 1 (FECHA) ]:[(15) FECHA DE CONTRATACIÓN ADMINISTRATIVO]])</f>
        <v>0</v>
      </c>
      <c r="BE13" s="26">
        <f>Tabla2[[#This Row],[NUMERO OK]]/15</f>
        <v>0</v>
      </c>
      <c r="BF13" s="4" t="str">
        <f t="shared" ca="1" si="3"/>
        <v>RiesgoAlto</v>
      </c>
      <c r="BG13" s="48"/>
      <c r="BO13" s="8"/>
    </row>
    <row r="14" spans="1:67" ht="99.75">
      <c r="A14" s="54">
        <v>2024</v>
      </c>
      <c r="B14" s="35" t="s">
        <v>832</v>
      </c>
      <c r="C14" s="4" t="s">
        <v>832</v>
      </c>
      <c r="D14" s="4" t="s">
        <v>135</v>
      </c>
      <c r="E14" s="35" t="s">
        <v>832</v>
      </c>
      <c r="F14" s="55" t="s">
        <v>17</v>
      </c>
      <c r="G14" s="55"/>
      <c r="H14" s="36">
        <v>45409</v>
      </c>
      <c r="I14" s="10">
        <v>45418</v>
      </c>
      <c r="J14" s="10">
        <v>45721</v>
      </c>
      <c r="K14" s="55" t="s">
        <v>873</v>
      </c>
      <c r="L14" s="4" t="s">
        <v>86</v>
      </c>
      <c r="M14" s="55" t="str">
        <f t="shared" ca="1" si="0"/>
        <v>FINALIZADO</v>
      </c>
      <c r="N14" s="55" t="s">
        <v>874</v>
      </c>
      <c r="O14" s="164" t="s">
        <v>875</v>
      </c>
      <c r="P14" s="55" t="s">
        <v>876</v>
      </c>
      <c r="Q14" s="55">
        <v>1889071553</v>
      </c>
      <c r="R14" s="55">
        <v>188907155</v>
      </c>
      <c r="S14" s="38">
        <f t="shared" si="1"/>
        <v>2077978708</v>
      </c>
      <c r="T14" s="39">
        <f t="shared" si="4"/>
        <v>202400523.53571424</v>
      </c>
      <c r="U14" s="11" t="s">
        <v>877</v>
      </c>
      <c r="V14" s="4" t="s">
        <v>89</v>
      </c>
      <c r="W14" s="4" t="s">
        <v>34</v>
      </c>
      <c r="X14" s="4" t="s">
        <v>21</v>
      </c>
      <c r="Y14" s="57" t="s">
        <v>17</v>
      </c>
      <c r="Z14" s="55" t="s">
        <v>24</v>
      </c>
      <c r="AA14" s="55" t="s">
        <v>24</v>
      </c>
      <c r="AB14" s="55" t="s">
        <v>192</v>
      </c>
      <c r="AC14" s="55" t="s">
        <v>24</v>
      </c>
      <c r="AD14" s="55" t="s">
        <v>24</v>
      </c>
      <c r="AE14" s="55" t="s">
        <v>24</v>
      </c>
      <c r="AF14" s="55" t="s">
        <v>24</v>
      </c>
      <c r="AG14" s="55" t="s">
        <v>24</v>
      </c>
      <c r="AH14" s="55" t="s">
        <v>24</v>
      </c>
      <c r="AI14" s="55" t="s">
        <v>24</v>
      </c>
      <c r="AJ14" s="69"/>
      <c r="AK14" s="55" cm="1">
        <f t="array" ref="AK14">SUMPRODUCT((Y14:AI14&lt;&gt;"Pendiente")*(Y14:AI14&lt;&gt;""))</f>
        <v>11</v>
      </c>
      <c r="AL14" s="55">
        <f>COUNTA(Tabla2[[#This Row],[INVITACIÓN]:[ACTA DE INICIO]])</f>
        <v>11</v>
      </c>
      <c r="AM14" s="26">
        <f t="shared" si="2"/>
        <v>1</v>
      </c>
      <c r="AN14" s="57"/>
      <c r="AO14" s="55"/>
      <c r="AP14" s="55"/>
      <c r="AQ14" s="55"/>
      <c r="AR14" s="55"/>
      <c r="AS14" s="55"/>
      <c r="AT14" s="55"/>
      <c r="AU14" s="55"/>
      <c r="AV14" s="55"/>
      <c r="AW14" s="55"/>
      <c r="AX14" s="55"/>
      <c r="AY14" s="55"/>
      <c r="AZ14" s="55"/>
      <c r="BA14" s="55"/>
      <c r="BB14" s="55"/>
      <c r="BC14" s="55"/>
      <c r="BD14" s="55">
        <f>COUNTA(Tabla2[[#This Row],[(1)SOLICITUD DE  APERTURA FIRNANCIERA Y PRESUPUESTO 1 (FECHA) ]:[(15) FECHA DE CONTRATACIÓN ADMINISTRATIVO]])</f>
        <v>0</v>
      </c>
      <c r="BE14" s="55">
        <f>Tabla2[[#This Row],[NUMERO OK]]/15</f>
        <v>0</v>
      </c>
      <c r="BF14" s="55" t="str">
        <f t="shared" ca="1" si="3"/>
        <v>RiesgoAlto</v>
      </c>
      <c r="BG14" s="58"/>
      <c r="BH14" s="55"/>
      <c r="BI14" s="55"/>
      <c r="BJ14" s="55"/>
      <c r="BK14" s="55"/>
      <c r="BL14" s="55"/>
      <c r="BM14" s="55"/>
      <c r="BN14" s="55"/>
      <c r="BO14" s="56"/>
    </row>
    <row r="15" spans="1:67" ht="85.5">
      <c r="A15" s="9">
        <v>2024</v>
      </c>
      <c r="B15" s="35" t="s">
        <v>832</v>
      </c>
      <c r="C15" s="4" t="s">
        <v>832</v>
      </c>
      <c r="D15" s="4" t="s">
        <v>135</v>
      </c>
      <c r="E15" s="35" t="s">
        <v>832</v>
      </c>
      <c r="F15" s="4" t="s">
        <v>17</v>
      </c>
      <c r="G15" s="10"/>
      <c r="H15" s="36">
        <v>45442</v>
      </c>
      <c r="I15" s="10">
        <v>45455</v>
      </c>
      <c r="J15" s="10">
        <v>45747</v>
      </c>
      <c r="K15" s="4" t="s">
        <v>878</v>
      </c>
      <c r="L15" s="4" t="s">
        <v>97</v>
      </c>
      <c r="M15" s="4" t="str">
        <f t="shared" ca="1" si="0"/>
        <v>FINALIZADO</v>
      </c>
      <c r="N15" s="4" t="s">
        <v>93</v>
      </c>
      <c r="O15" s="163" t="s">
        <v>879</v>
      </c>
      <c r="P15" s="4" t="s">
        <v>880</v>
      </c>
      <c r="Q15" s="37">
        <v>1957000000</v>
      </c>
      <c r="R15" s="37">
        <v>0</v>
      </c>
      <c r="S15" s="38">
        <f t="shared" si="1"/>
        <v>1957000000</v>
      </c>
      <c r="T15" s="39">
        <f t="shared" si="4"/>
        <v>209678571.4285714</v>
      </c>
      <c r="U15" s="11" t="s">
        <v>881</v>
      </c>
      <c r="V15" s="4" t="s">
        <v>882</v>
      </c>
      <c r="W15" s="4" t="s">
        <v>22</v>
      </c>
      <c r="X15" s="4" t="s">
        <v>93</v>
      </c>
      <c r="Y15" s="65" t="s">
        <v>17</v>
      </c>
      <c r="Z15" s="4" t="s">
        <v>17</v>
      </c>
      <c r="AA15" s="4" t="s">
        <v>24</v>
      </c>
      <c r="AB15" s="4" t="s">
        <v>883</v>
      </c>
      <c r="AC15" s="4" t="s">
        <v>17</v>
      </c>
      <c r="AD15" s="4" t="s">
        <v>24</v>
      </c>
      <c r="AE15" s="4" t="s">
        <v>24</v>
      </c>
      <c r="AF15" s="4" t="s">
        <v>24</v>
      </c>
      <c r="AG15" s="4" t="s">
        <v>24</v>
      </c>
      <c r="AH15" s="4" t="s">
        <v>24</v>
      </c>
      <c r="AI15" s="4" t="s">
        <v>24</v>
      </c>
      <c r="AJ15" s="68"/>
      <c r="AK15" s="4" cm="1">
        <f t="array" ref="AK15">SUMPRODUCT((Y15:AI15&lt;&gt;"Pendiente")*(Y15:AI15&lt;&gt;""))</f>
        <v>11</v>
      </c>
      <c r="AL15" s="4">
        <f>COUNTA(Tabla2[[#This Row],[INVITACIÓN]:[ACTA DE INICIO]])</f>
        <v>11</v>
      </c>
      <c r="AM15" s="26">
        <f t="shared" si="2"/>
        <v>1</v>
      </c>
      <c r="AN15" s="47"/>
      <c r="AP15" s="10"/>
      <c r="AQ15" s="10"/>
      <c r="AV15" s="10"/>
      <c r="BD15" s="4">
        <f>COUNTA(Tabla2[[#This Row],[(1)SOLICITUD DE  APERTURA FIRNANCIERA Y PRESUPUESTO 1 (FECHA) ]:[(15) FECHA DE CONTRATACIÓN ADMINISTRATIVO]])</f>
        <v>0</v>
      </c>
      <c r="BE15" s="26">
        <f>Tabla2[[#This Row],[NUMERO OK]]/15</f>
        <v>0</v>
      </c>
      <c r="BF15" s="4" t="str">
        <f t="shared" ca="1" si="3"/>
        <v>RiesgoAlto</v>
      </c>
      <c r="BG15" s="48"/>
      <c r="BO15" s="8"/>
    </row>
    <row r="16" spans="1:67" ht="57">
      <c r="A16" s="9">
        <v>2024</v>
      </c>
      <c r="B16" s="35" t="s">
        <v>832</v>
      </c>
      <c r="C16" s="4" t="s">
        <v>832</v>
      </c>
      <c r="D16" s="4" t="s">
        <v>135</v>
      </c>
      <c r="E16" s="35" t="s">
        <v>832</v>
      </c>
      <c r="F16" s="4" t="s">
        <v>17</v>
      </c>
      <c r="G16" s="10"/>
      <c r="H16" s="36">
        <v>45506</v>
      </c>
      <c r="I16" s="10">
        <v>45525</v>
      </c>
      <c r="J16" s="10">
        <v>45708</v>
      </c>
      <c r="K16" s="4" t="s">
        <v>884</v>
      </c>
      <c r="L16" s="4" t="s">
        <v>52</v>
      </c>
      <c r="M16" s="4" t="str">
        <f t="shared" ca="1" si="0"/>
        <v>FINALIZADO</v>
      </c>
      <c r="N16" s="4" t="s">
        <v>93</v>
      </c>
      <c r="O16" s="163" t="s">
        <v>870</v>
      </c>
      <c r="P16" s="4" t="s">
        <v>885</v>
      </c>
      <c r="Q16" s="37">
        <v>25168000</v>
      </c>
      <c r="R16" s="37">
        <v>0</v>
      </c>
      <c r="S16" s="38">
        <f t="shared" si="1"/>
        <v>25168000</v>
      </c>
      <c r="T16" s="39">
        <f t="shared" si="4"/>
        <v>2696571.4285714282</v>
      </c>
      <c r="U16" s="11" t="s">
        <v>872</v>
      </c>
      <c r="V16" s="4" t="s">
        <v>65</v>
      </c>
      <c r="W16" s="4" t="s">
        <v>55</v>
      </c>
      <c r="X16" s="4" t="s">
        <v>93</v>
      </c>
      <c r="Y16" s="65" t="s">
        <v>17</v>
      </c>
      <c r="Z16" s="4" t="s">
        <v>17</v>
      </c>
      <c r="AA16" s="4" t="s">
        <v>17</v>
      </c>
      <c r="AB16" s="4" t="s">
        <v>192</v>
      </c>
      <c r="AC16" s="4" t="s">
        <v>24</v>
      </c>
      <c r="AD16" s="4" t="s">
        <v>24</v>
      </c>
      <c r="AE16" s="4" t="s">
        <v>17</v>
      </c>
      <c r="AF16" s="4" t="s">
        <v>17</v>
      </c>
      <c r="AG16" s="4" t="s">
        <v>24</v>
      </c>
      <c r="AH16" s="4" t="s">
        <v>24</v>
      </c>
      <c r="AI16" s="4" t="s">
        <v>24</v>
      </c>
      <c r="AJ16" s="68"/>
      <c r="AK16" s="4" cm="1">
        <f t="array" ref="AK16">SUMPRODUCT((Y16:AI16&lt;&gt;"Pendiente")*(Y16:AI16&lt;&gt;""))</f>
        <v>11</v>
      </c>
      <c r="AL16" s="4">
        <f>COUNTA(Tabla2[[#This Row],[INVITACIÓN]:[ACTA DE INICIO]])</f>
        <v>11</v>
      </c>
      <c r="AM16" s="26">
        <f t="shared" si="2"/>
        <v>1</v>
      </c>
      <c r="AN16" s="47"/>
      <c r="AP16" s="10"/>
      <c r="AQ16" s="10"/>
      <c r="AV16" s="10"/>
      <c r="BD16" s="4">
        <f>COUNTA(Tabla2[[#This Row],[(1)SOLICITUD DE  APERTURA FIRNANCIERA Y PRESUPUESTO 1 (FECHA) ]:[(15) FECHA DE CONTRATACIÓN ADMINISTRATIVO]])</f>
        <v>0</v>
      </c>
      <c r="BE16" s="26">
        <f>Tabla2[[#This Row],[NUMERO OK]]/15</f>
        <v>0</v>
      </c>
      <c r="BF16" s="4" t="str">
        <f t="shared" ca="1" si="3"/>
        <v>RiesgoAlto</v>
      </c>
      <c r="BG16" s="48"/>
      <c r="BO16" s="8"/>
    </row>
    <row r="17" spans="1:67" ht="57">
      <c r="A17" s="9">
        <v>2024</v>
      </c>
      <c r="B17" s="35" t="s">
        <v>832</v>
      </c>
      <c r="C17" s="4" t="s">
        <v>832</v>
      </c>
      <c r="D17" s="4" t="s">
        <v>123</v>
      </c>
      <c r="E17" s="35" t="s">
        <v>832</v>
      </c>
      <c r="G17" s="10"/>
      <c r="H17" s="36">
        <v>45509</v>
      </c>
      <c r="I17" s="10">
        <v>45509</v>
      </c>
      <c r="J17" s="10">
        <v>45762</v>
      </c>
      <c r="K17" s="4" t="s">
        <v>886</v>
      </c>
      <c r="L17" s="4" t="s">
        <v>97</v>
      </c>
      <c r="M17" s="4" t="str">
        <f t="shared" ca="1" si="0"/>
        <v>FINALIZADO</v>
      </c>
      <c r="N17" s="4" t="s">
        <v>33</v>
      </c>
      <c r="O17" s="163" t="s">
        <v>887</v>
      </c>
      <c r="P17" s="4" t="s">
        <v>888</v>
      </c>
      <c r="Q17" s="37">
        <v>1712294814</v>
      </c>
      <c r="R17" s="37">
        <v>0</v>
      </c>
      <c r="S17" s="38">
        <f t="shared" si="1"/>
        <v>1712294814</v>
      </c>
      <c r="T17" s="39">
        <f t="shared" si="4"/>
        <v>183460158.64285713</v>
      </c>
      <c r="U17" s="11" t="s">
        <v>872</v>
      </c>
      <c r="V17" s="4" t="s">
        <v>889</v>
      </c>
      <c r="W17" s="4" t="s">
        <v>22</v>
      </c>
      <c r="X17" s="4" t="s">
        <v>33</v>
      </c>
      <c r="Y17" s="65" t="s">
        <v>17</v>
      </c>
      <c r="Z17" s="4" t="s">
        <v>24</v>
      </c>
      <c r="AA17" s="4" t="s">
        <v>24</v>
      </c>
      <c r="AB17" s="4" t="s">
        <v>192</v>
      </c>
      <c r="AC17" s="4" t="s">
        <v>17</v>
      </c>
      <c r="AD17" s="4" t="s">
        <v>24</v>
      </c>
      <c r="AE17" s="4" t="s">
        <v>24</v>
      </c>
      <c r="AF17" s="4" t="s">
        <v>24</v>
      </c>
      <c r="AG17" s="4" t="s">
        <v>24</v>
      </c>
      <c r="AH17" s="4" t="s">
        <v>24</v>
      </c>
      <c r="AI17" s="4" t="s">
        <v>17</v>
      </c>
      <c r="AJ17" s="68"/>
      <c r="AK17" s="4" cm="1">
        <f t="array" ref="AK17">SUMPRODUCT((Y17:AI17&lt;&gt;"Pendiente")*(Y17:AI17&lt;&gt;""))</f>
        <v>11</v>
      </c>
      <c r="AL17" s="4">
        <f>COUNTA(Tabla2[[#This Row],[INVITACIÓN]:[ACTA DE INICIO]])</f>
        <v>11</v>
      </c>
      <c r="AM17" s="26">
        <f t="shared" si="2"/>
        <v>1</v>
      </c>
      <c r="AN17" s="47"/>
      <c r="AP17" s="10"/>
      <c r="AQ17" s="10"/>
      <c r="AV17" s="10"/>
      <c r="BD17" s="4">
        <f>COUNTA(Tabla2[[#This Row],[(1)SOLICITUD DE  APERTURA FIRNANCIERA Y PRESUPUESTO 1 (FECHA) ]:[(15) FECHA DE CONTRATACIÓN ADMINISTRATIVO]])</f>
        <v>0</v>
      </c>
      <c r="BE17" s="26">
        <f>Tabla2[[#This Row],[NUMERO OK]]/15</f>
        <v>0</v>
      </c>
      <c r="BF17" s="4" t="str">
        <f t="shared" ca="1" si="3"/>
        <v>RiesgoAlto</v>
      </c>
      <c r="BG17" s="48"/>
      <c r="BO17" s="8"/>
    </row>
    <row r="18" spans="1:67" ht="57">
      <c r="A18" s="9">
        <v>2024</v>
      </c>
      <c r="B18" s="35" t="s">
        <v>832</v>
      </c>
      <c r="C18" s="4" t="s">
        <v>832</v>
      </c>
      <c r="D18" s="4" t="s">
        <v>139</v>
      </c>
      <c r="E18" s="35" t="s">
        <v>832</v>
      </c>
      <c r="F18" s="4" t="s">
        <v>17</v>
      </c>
      <c r="G18" s="10"/>
      <c r="H18" s="36">
        <v>45513</v>
      </c>
      <c r="I18" s="10">
        <v>45554</v>
      </c>
      <c r="J18" s="10">
        <v>45695</v>
      </c>
      <c r="K18" s="4" t="s">
        <v>890</v>
      </c>
      <c r="L18" s="4" t="s">
        <v>97</v>
      </c>
      <c r="M18" s="4" t="str">
        <f t="shared" ca="1" si="0"/>
        <v>FINALIZADO</v>
      </c>
      <c r="N18" s="4" t="s">
        <v>99</v>
      </c>
      <c r="O18" s="163" t="s">
        <v>891</v>
      </c>
      <c r="P18" s="4" t="s">
        <v>892</v>
      </c>
      <c r="Q18" s="37">
        <v>708000000</v>
      </c>
      <c r="R18" s="37">
        <v>0</v>
      </c>
      <c r="S18" s="38">
        <f t="shared" si="1"/>
        <v>708000000</v>
      </c>
      <c r="T18" s="39">
        <f t="shared" si="4"/>
        <v>75857142.857142851</v>
      </c>
      <c r="U18" s="11" t="s">
        <v>872</v>
      </c>
      <c r="V18" s="4" t="s">
        <v>893</v>
      </c>
      <c r="W18" s="4" t="s">
        <v>22</v>
      </c>
      <c r="X18" s="4" t="s">
        <v>99</v>
      </c>
      <c r="Y18" s="65" t="s">
        <v>17</v>
      </c>
      <c r="Z18" s="4" t="s">
        <v>17</v>
      </c>
      <c r="AA18" s="4" t="s">
        <v>24</v>
      </c>
      <c r="AB18" s="4" t="s">
        <v>192</v>
      </c>
      <c r="AC18" s="4" t="s">
        <v>17</v>
      </c>
      <c r="AD18" s="4" t="s">
        <v>24</v>
      </c>
      <c r="AE18" s="4" t="s">
        <v>24</v>
      </c>
      <c r="AF18" s="4" t="s">
        <v>24</v>
      </c>
      <c r="AG18" s="4" t="s">
        <v>24</v>
      </c>
      <c r="AH18" s="4" t="s">
        <v>24</v>
      </c>
      <c r="AI18" s="4" t="s">
        <v>24</v>
      </c>
      <c r="AJ18" s="68"/>
      <c r="AK18" s="4" cm="1">
        <f t="array" ref="AK18">SUMPRODUCT((Y18:AI18&lt;&gt;"Pendiente")*(Y18:AI18&lt;&gt;""))</f>
        <v>11</v>
      </c>
      <c r="AL18" s="4">
        <f>COUNTA(Tabla2[[#This Row],[INVITACIÓN]:[ACTA DE INICIO]])</f>
        <v>11</v>
      </c>
      <c r="AM18" s="26">
        <f t="shared" si="2"/>
        <v>1</v>
      </c>
      <c r="AN18" s="47"/>
      <c r="AP18" s="10"/>
      <c r="AQ18" s="10"/>
      <c r="AV18" s="10"/>
      <c r="BD18" s="4">
        <f>COUNTA(Tabla2[[#This Row],[(1)SOLICITUD DE  APERTURA FIRNANCIERA Y PRESUPUESTO 1 (FECHA) ]:[(15) FECHA DE CONTRATACIÓN ADMINISTRATIVO]])</f>
        <v>0</v>
      </c>
      <c r="BE18" s="26">
        <f>Tabla2[[#This Row],[NUMERO OK]]/15</f>
        <v>0</v>
      </c>
      <c r="BF18" s="4" t="str">
        <f t="shared" ca="1" si="3"/>
        <v>RiesgoAlto</v>
      </c>
      <c r="BG18" s="48"/>
      <c r="BO18" s="8"/>
    </row>
    <row r="19" spans="1:67" ht="71.25">
      <c r="A19" s="9">
        <v>2024</v>
      </c>
      <c r="B19" s="35" t="s">
        <v>832</v>
      </c>
      <c r="C19" s="4" t="s">
        <v>832</v>
      </c>
      <c r="D19" s="4" t="s">
        <v>139</v>
      </c>
      <c r="E19" s="35" t="s">
        <v>832</v>
      </c>
      <c r="G19" s="10"/>
      <c r="H19" s="36">
        <v>45520</v>
      </c>
      <c r="I19" s="10">
        <v>45533</v>
      </c>
      <c r="J19" s="10">
        <v>45762</v>
      </c>
      <c r="K19" s="4" t="s">
        <v>894</v>
      </c>
      <c r="L19" s="4" t="s">
        <v>97</v>
      </c>
      <c r="M19" s="4" t="str">
        <f t="shared" ca="1" si="0"/>
        <v>FINALIZADO</v>
      </c>
      <c r="N19" s="4" t="s">
        <v>33</v>
      </c>
      <c r="O19" s="163" t="s">
        <v>891</v>
      </c>
      <c r="P19" s="4" t="s">
        <v>895</v>
      </c>
      <c r="Q19" s="37">
        <v>400000000</v>
      </c>
      <c r="R19" s="37">
        <v>0</v>
      </c>
      <c r="S19" s="38">
        <f t="shared" si="1"/>
        <v>400000000</v>
      </c>
      <c r="T19" s="39">
        <f t="shared" si="4"/>
        <v>42857142.857142851</v>
      </c>
      <c r="U19" s="11" t="s">
        <v>872</v>
      </c>
      <c r="V19" s="4" t="s">
        <v>896</v>
      </c>
      <c r="W19" s="4" t="s">
        <v>22</v>
      </c>
      <c r="X19" s="4" t="s">
        <v>33</v>
      </c>
      <c r="Y19" s="65" t="s">
        <v>17</v>
      </c>
      <c r="Z19" s="4" t="s">
        <v>17</v>
      </c>
      <c r="AA19" s="4" t="s">
        <v>17</v>
      </c>
      <c r="AB19" s="4" t="s">
        <v>192</v>
      </c>
      <c r="AC19" s="4" t="s">
        <v>17</v>
      </c>
      <c r="AD19" s="4" t="s">
        <v>24</v>
      </c>
      <c r="AE19" s="4" t="s">
        <v>24</v>
      </c>
      <c r="AF19" s="4" t="s">
        <v>24</v>
      </c>
      <c r="AG19" s="4" t="s">
        <v>24</v>
      </c>
      <c r="AH19" s="4" t="s">
        <v>24</v>
      </c>
      <c r="AI19" s="4" t="s">
        <v>24</v>
      </c>
      <c r="AJ19" s="68"/>
      <c r="AK19" s="4" cm="1">
        <f t="array" ref="AK19">SUMPRODUCT((Y19:AI19&lt;&gt;"Pendiente")*(Y19:AI19&lt;&gt;""))</f>
        <v>11</v>
      </c>
      <c r="AL19" s="4">
        <f>COUNTA(Tabla2[[#This Row],[INVITACIÓN]:[ACTA DE INICIO]])</f>
        <v>11</v>
      </c>
      <c r="AM19" s="26">
        <f t="shared" si="2"/>
        <v>1</v>
      </c>
      <c r="AN19" s="47"/>
      <c r="AP19" s="10"/>
      <c r="AQ19" s="10"/>
      <c r="AV19" s="10"/>
      <c r="BD19" s="4">
        <f>COUNTA(Tabla2[[#This Row],[(1)SOLICITUD DE  APERTURA FIRNANCIERA Y PRESUPUESTO 1 (FECHA) ]:[(15) FECHA DE CONTRATACIÓN ADMINISTRATIVO]])</f>
        <v>0</v>
      </c>
      <c r="BE19" s="26">
        <f>Tabla2[[#This Row],[NUMERO OK]]/15</f>
        <v>0</v>
      </c>
      <c r="BF19" s="4" t="str">
        <f t="shared" ca="1" si="3"/>
        <v>RiesgoAlto</v>
      </c>
      <c r="BG19" s="48"/>
      <c r="BO19" s="8"/>
    </row>
    <row r="20" spans="1:67" ht="57">
      <c r="A20" s="9">
        <v>2024</v>
      </c>
      <c r="B20" s="35" t="s">
        <v>832</v>
      </c>
      <c r="C20" s="4" t="s">
        <v>832</v>
      </c>
      <c r="D20" s="4" t="s">
        <v>135</v>
      </c>
      <c r="E20" s="35" t="s">
        <v>832</v>
      </c>
      <c r="G20" s="10"/>
      <c r="H20" s="36">
        <v>45520</v>
      </c>
      <c r="I20" s="10">
        <v>45539</v>
      </c>
      <c r="J20" s="10">
        <v>45903</v>
      </c>
      <c r="K20" s="4" t="s">
        <v>897</v>
      </c>
      <c r="L20" s="4" t="s">
        <v>52</v>
      </c>
      <c r="M20" s="4" t="str">
        <f t="shared" ca="1" si="0"/>
        <v>EN EJECUCIÓN</v>
      </c>
      <c r="N20" s="4" t="s">
        <v>93</v>
      </c>
      <c r="O20" s="163" t="s">
        <v>870</v>
      </c>
      <c r="P20" s="4" t="s">
        <v>898</v>
      </c>
      <c r="Q20" s="37">
        <v>476086000</v>
      </c>
      <c r="R20" s="37">
        <v>0</v>
      </c>
      <c r="S20" s="38">
        <f t="shared" si="1"/>
        <v>476086000</v>
      </c>
      <c r="T20" s="39">
        <f t="shared" si="4"/>
        <v>51009214.285714284</v>
      </c>
      <c r="U20" s="11" t="s">
        <v>872</v>
      </c>
      <c r="V20" s="4" t="s">
        <v>65</v>
      </c>
      <c r="W20" s="4" t="s">
        <v>55</v>
      </c>
      <c r="X20" s="4" t="s">
        <v>93</v>
      </c>
      <c r="Y20" s="65" t="s">
        <v>17</v>
      </c>
      <c r="Z20" s="4" t="s">
        <v>17</v>
      </c>
      <c r="AA20" s="4" t="s">
        <v>17</v>
      </c>
      <c r="AB20" s="4" t="s">
        <v>192</v>
      </c>
      <c r="AC20" s="4" t="s">
        <v>24</v>
      </c>
      <c r="AD20" s="4" t="s">
        <v>24</v>
      </c>
      <c r="AE20" s="4" t="s">
        <v>17</v>
      </c>
      <c r="AF20" s="4" t="s">
        <v>17</v>
      </c>
      <c r="AG20" s="4" t="s">
        <v>24</v>
      </c>
      <c r="AH20" s="4" t="s">
        <v>24</v>
      </c>
      <c r="AI20" s="4" t="s">
        <v>24</v>
      </c>
      <c r="AJ20" s="68"/>
      <c r="AK20" s="4" cm="1">
        <f t="array" ref="AK20">SUMPRODUCT((Y20:AI20&lt;&gt;"Pendiente")*(Y20:AI20&lt;&gt;""))</f>
        <v>11</v>
      </c>
      <c r="AL20" s="4">
        <f>COUNTA(Tabla2[[#This Row],[INVITACIÓN]:[ACTA DE INICIO]])</f>
        <v>11</v>
      </c>
      <c r="AM20" s="26">
        <f t="shared" si="2"/>
        <v>1</v>
      </c>
      <c r="AN20" s="47"/>
      <c r="AP20" s="10"/>
      <c r="AQ20" s="10"/>
      <c r="AV20" s="10"/>
      <c r="BD20" s="4">
        <f>COUNTA(Tabla2[[#This Row],[(1)SOLICITUD DE  APERTURA FIRNANCIERA Y PRESUPUESTO 1 (FECHA) ]:[(15) FECHA DE CONTRATACIÓN ADMINISTRATIVO]])</f>
        <v>0</v>
      </c>
      <c r="BE20" s="26">
        <f>Tabla2[[#This Row],[NUMERO OK]]/15</f>
        <v>0</v>
      </c>
      <c r="BF20" s="4" t="str">
        <f t="shared" ca="1" si="3"/>
        <v>RiesgoAlto</v>
      </c>
      <c r="BG20" s="48"/>
      <c r="BO20" s="8"/>
    </row>
    <row r="21" spans="1:67" ht="114">
      <c r="A21" s="9">
        <v>2024</v>
      </c>
      <c r="B21" s="35" t="s">
        <v>832</v>
      </c>
      <c r="C21" s="4" t="s">
        <v>832</v>
      </c>
      <c r="D21" s="4" t="s">
        <v>123</v>
      </c>
      <c r="E21" s="35" t="s">
        <v>832</v>
      </c>
      <c r="F21" s="4" t="s">
        <v>17</v>
      </c>
      <c r="G21" s="10"/>
      <c r="H21" s="36">
        <v>45525</v>
      </c>
      <c r="I21" s="10">
        <v>45567</v>
      </c>
      <c r="J21" s="10">
        <v>45746</v>
      </c>
      <c r="K21" s="4" t="s">
        <v>899</v>
      </c>
      <c r="L21" s="4" t="s">
        <v>74</v>
      </c>
      <c r="M21" s="4" t="str">
        <f t="shared" ca="1" si="0"/>
        <v>FINALIZADO</v>
      </c>
      <c r="N21" s="4" t="s">
        <v>93</v>
      </c>
      <c r="O21" s="163" t="s">
        <v>870</v>
      </c>
      <c r="P21" s="4" t="s">
        <v>900</v>
      </c>
      <c r="Q21" s="37">
        <v>64880000</v>
      </c>
      <c r="R21" s="37">
        <v>0</v>
      </c>
      <c r="S21" s="53" t="s">
        <v>901</v>
      </c>
      <c r="T21" s="39">
        <f t="shared" si="4"/>
        <v>6951428.5714285709</v>
      </c>
      <c r="U21" s="11" t="s">
        <v>872</v>
      </c>
      <c r="V21" s="4" t="s">
        <v>65</v>
      </c>
      <c r="W21" s="4" t="s">
        <v>55</v>
      </c>
      <c r="X21" s="4" t="s">
        <v>93</v>
      </c>
      <c r="Y21" s="65" t="s">
        <v>17</v>
      </c>
      <c r="Z21" s="4" t="s">
        <v>17</v>
      </c>
      <c r="AA21" s="4" t="s">
        <v>17</v>
      </c>
      <c r="AB21" s="4" t="s">
        <v>192</v>
      </c>
      <c r="AC21" s="4" t="s">
        <v>24</v>
      </c>
      <c r="AD21" s="4" t="s">
        <v>24</v>
      </c>
      <c r="AE21" s="4" t="s">
        <v>17</v>
      </c>
      <c r="AF21" s="4" t="s">
        <v>17</v>
      </c>
      <c r="AG21" s="4" t="s">
        <v>24</v>
      </c>
      <c r="AH21" s="4" t="s">
        <v>24</v>
      </c>
      <c r="AI21" s="4" t="s">
        <v>24</v>
      </c>
      <c r="AJ21" s="68"/>
      <c r="AK21" s="4" cm="1">
        <f t="array" ref="AK21">SUMPRODUCT((Y21:AI21&lt;&gt;"Pendiente")*(Y21:AI21&lt;&gt;""))</f>
        <v>11</v>
      </c>
      <c r="AL21" s="4">
        <f>COUNTA(Tabla2[[#This Row],[INVITACIÓN]:[ACTA DE INICIO]])</f>
        <v>11</v>
      </c>
      <c r="AM21" s="26">
        <f t="shared" si="2"/>
        <v>1</v>
      </c>
      <c r="AN21" s="47"/>
      <c r="AP21" s="10"/>
      <c r="AQ21" s="10"/>
      <c r="AV21" s="10"/>
      <c r="BD21" s="4">
        <f>COUNTA(Tabla2[[#This Row],[(1)SOLICITUD DE  APERTURA FIRNANCIERA Y PRESUPUESTO 1 (FECHA) ]:[(15) FECHA DE CONTRATACIÓN ADMINISTRATIVO]])</f>
        <v>0</v>
      </c>
      <c r="BE21" s="26">
        <f>Tabla2[[#This Row],[NUMERO OK]]/15</f>
        <v>0</v>
      </c>
      <c r="BF21" s="4" t="str">
        <f t="shared" ca="1" si="3"/>
        <v>RiesgoAlto</v>
      </c>
      <c r="BG21" s="48"/>
      <c r="BO21" s="8"/>
    </row>
    <row r="22" spans="1:67" ht="57">
      <c r="A22" s="9">
        <v>2024</v>
      </c>
      <c r="B22" s="35" t="s">
        <v>832</v>
      </c>
      <c r="C22" s="4" t="s">
        <v>832</v>
      </c>
      <c r="D22" s="4" t="s">
        <v>135</v>
      </c>
      <c r="E22" s="35" t="s">
        <v>832</v>
      </c>
      <c r="G22" s="10"/>
      <c r="H22" s="36">
        <v>45525</v>
      </c>
      <c r="I22" s="10">
        <v>45527</v>
      </c>
      <c r="J22" s="10">
        <v>45891</v>
      </c>
      <c r="K22" s="4" t="s">
        <v>902</v>
      </c>
      <c r="L22" s="4" t="s">
        <v>52</v>
      </c>
      <c r="M22" s="4" t="str">
        <f t="shared" ca="1" si="0"/>
        <v>EN EJECUCIÓN</v>
      </c>
      <c r="N22" s="4" t="s">
        <v>93</v>
      </c>
      <c r="O22" s="163" t="s">
        <v>870</v>
      </c>
      <c r="P22" s="4" t="s">
        <v>903</v>
      </c>
      <c r="Q22" s="37">
        <v>102609200</v>
      </c>
      <c r="R22" s="37">
        <v>0</v>
      </c>
      <c r="S22" s="38">
        <f t="shared" ref="S22:S53" si="5">Q22+R22</f>
        <v>102609200</v>
      </c>
      <c r="T22" s="39">
        <f t="shared" si="4"/>
        <v>10993842.857142856</v>
      </c>
      <c r="U22" s="11" t="s">
        <v>872</v>
      </c>
      <c r="V22" s="4" t="s">
        <v>65</v>
      </c>
      <c r="W22" s="4" t="s">
        <v>55</v>
      </c>
      <c r="X22" s="4" t="s">
        <v>93</v>
      </c>
      <c r="Y22" s="65" t="s">
        <v>17</v>
      </c>
      <c r="Z22" s="4" t="s">
        <v>17</v>
      </c>
      <c r="AA22" s="4" t="s">
        <v>17</v>
      </c>
      <c r="AB22" s="4" t="s">
        <v>192</v>
      </c>
      <c r="AC22" s="4" t="s">
        <v>24</v>
      </c>
      <c r="AD22" s="4" t="s">
        <v>24</v>
      </c>
      <c r="AE22" s="4" t="s">
        <v>17</v>
      </c>
      <c r="AF22" s="4" t="s">
        <v>17</v>
      </c>
      <c r="AG22" s="4" t="s">
        <v>24</v>
      </c>
      <c r="AH22" s="4" t="s">
        <v>24</v>
      </c>
      <c r="AI22" s="4" t="s">
        <v>24</v>
      </c>
      <c r="AJ22" s="68"/>
      <c r="AK22" s="4" cm="1">
        <f t="array" ref="AK22">SUMPRODUCT((Y22:AI22&lt;&gt;"Pendiente")*(Y22:AI22&lt;&gt;""))</f>
        <v>11</v>
      </c>
      <c r="AL22" s="4">
        <f>COUNTA(Tabla2[[#This Row],[INVITACIÓN]:[ACTA DE INICIO]])</f>
        <v>11</v>
      </c>
      <c r="AM22" s="26">
        <f t="shared" si="2"/>
        <v>1</v>
      </c>
      <c r="AN22" s="47"/>
      <c r="AP22" s="10"/>
      <c r="AQ22" s="10"/>
      <c r="AV22" s="10"/>
      <c r="BD22" s="4">
        <f>COUNTA(Tabla2[[#This Row],[(1)SOLICITUD DE  APERTURA FIRNANCIERA Y PRESUPUESTO 1 (FECHA) ]:[(15) FECHA DE CONTRATACIÓN ADMINISTRATIVO]])</f>
        <v>0</v>
      </c>
      <c r="BE22" s="26">
        <f>Tabla2[[#This Row],[NUMERO OK]]/15</f>
        <v>0</v>
      </c>
      <c r="BF22" s="4" t="str">
        <f t="shared" ca="1" si="3"/>
        <v>RiesgoAlto</v>
      </c>
      <c r="BG22" s="48"/>
      <c r="BO22" s="8"/>
    </row>
    <row r="23" spans="1:67" ht="99.75">
      <c r="A23" s="9">
        <v>2024</v>
      </c>
      <c r="B23" s="35" t="s">
        <v>832</v>
      </c>
      <c r="C23" s="4" t="s">
        <v>832</v>
      </c>
      <c r="D23" s="4" t="s">
        <v>135</v>
      </c>
      <c r="E23" s="35" t="s">
        <v>832</v>
      </c>
      <c r="G23" s="10"/>
      <c r="H23" s="36">
        <v>45525</v>
      </c>
      <c r="I23" s="10">
        <v>45530</v>
      </c>
      <c r="J23" s="10">
        <v>45894</v>
      </c>
      <c r="K23" s="4" t="s">
        <v>904</v>
      </c>
      <c r="L23" s="4" t="s">
        <v>52</v>
      </c>
      <c r="M23" s="4" t="str">
        <f t="shared" ca="1" si="0"/>
        <v>EN EJECUCIÓN</v>
      </c>
      <c r="N23" s="4" t="s">
        <v>93</v>
      </c>
      <c r="O23" s="163" t="s">
        <v>870</v>
      </c>
      <c r="P23" s="4" t="s">
        <v>905</v>
      </c>
      <c r="Q23" s="37">
        <v>123544350</v>
      </c>
      <c r="R23" s="37">
        <v>0</v>
      </c>
      <c r="S23" s="38">
        <f t="shared" si="5"/>
        <v>123544350</v>
      </c>
      <c r="T23" s="39">
        <f t="shared" si="4"/>
        <v>13236894.642857142</v>
      </c>
      <c r="U23" s="11" t="s">
        <v>872</v>
      </c>
      <c r="V23" s="4" t="s">
        <v>65</v>
      </c>
      <c r="W23" s="4" t="s">
        <v>55</v>
      </c>
      <c r="X23" s="4" t="s">
        <v>93</v>
      </c>
      <c r="Y23" s="65" t="s">
        <v>17</v>
      </c>
      <c r="Z23" s="4" t="s">
        <v>17</v>
      </c>
      <c r="AA23" s="4" t="s">
        <v>17</v>
      </c>
      <c r="AB23" s="4" t="s">
        <v>192</v>
      </c>
      <c r="AC23" s="4" t="s">
        <v>24</v>
      </c>
      <c r="AD23" s="4" t="s">
        <v>24</v>
      </c>
      <c r="AE23" s="4" t="s">
        <v>17</v>
      </c>
      <c r="AF23" s="4" t="s">
        <v>17</v>
      </c>
      <c r="AG23" s="4" t="s">
        <v>24</v>
      </c>
      <c r="AH23" s="4" t="s">
        <v>24</v>
      </c>
      <c r="AI23" s="4" t="s">
        <v>24</v>
      </c>
      <c r="AJ23" s="68"/>
      <c r="AK23" s="4" cm="1">
        <f t="array" ref="AK23">SUMPRODUCT((Y23:AI23&lt;&gt;"Pendiente")*(Y23:AI23&lt;&gt;""))</f>
        <v>11</v>
      </c>
      <c r="AL23" s="4">
        <f>COUNTA(Tabla2[[#This Row],[INVITACIÓN]:[ACTA DE INICIO]])</f>
        <v>11</v>
      </c>
      <c r="AM23" s="26">
        <f t="shared" si="2"/>
        <v>1</v>
      </c>
      <c r="AN23" s="47"/>
      <c r="AP23" s="10"/>
      <c r="AQ23" s="10"/>
      <c r="AV23" s="10"/>
      <c r="BD23" s="4">
        <f>COUNTA(Tabla2[[#This Row],[(1)SOLICITUD DE  APERTURA FIRNANCIERA Y PRESUPUESTO 1 (FECHA) ]:[(15) FECHA DE CONTRATACIÓN ADMINISTRATIVO]])</f>
        <v>0</v>
      </c>
      <c r="BE23" s="26">
        <f>Tabla2[[#This Row],[NUMERO OK]]/15</f>
        <v>0</v>
      </c>
      <c r="BF23" s="4" t="str">
        <f t="shared" ca="1" si="3"/>
        <v>RiesgoAlto</v>
      </c>
      <c r="BG23" s="48"/>
      <c r="BO23" s="8"/>
    </row>
    <row r="24" spans="1:67" ht="71.25">
      <c r="A24" s="9">
        <v>2024</v>
      </c>
      <c r="B24" s="35" t="s">
        <v>832</v>
      </c>
      <c r="C24" s="4" t="s">
        <v>832</v>
      </c>
      <c r="D24" s="4" t="s">
        <v>135</v>
      </c>
      <c r="E24" s="35" t="s">
        <v>832</v>
      </c>
      <c r="G24" s="10"/>
      <c r="H24" s="36">
        <v>45525</v>
      </c>
      <c r="I24" s="10">
        <v>45558</v>
      </c>
      <c r="J24" s="10">
        <v>45922</v>
      </c>
      <c r="K24" s="4" t="s">
        <v>906</v>
      </c>
      <c r="L24" s="4" t="s">
        <v>52</v>
      </c>
      <c r="M24" s="4" t="str">
        <f t="shared" ca="1" si="0"/>
        <v>EN EJECUCIÓN</v>
      </c>
      <c r="N24" s="4" t="s">
        <v>93</v>
      </c>
      <c r="O24" s="163" t="s">
        <v>870</v>
      </c>
      <c r="P24" s="4" t="s">
        <v>907</v>
      </c>
      <c r="Q24" s="37">
        <v>218701000</v>
      </c>
      <c r="R24" s="37">
        <v>0</v>
      </c>
      <c r="S24" s="38">
        <f t="shared" si="5"/>
        <v>218701000</v>
      </c>
      <c r="T24" s="39">
        <f t="shared" si="4"/>
        <v>23432249.999999996</v>
      </c>
      <c r="U24" s="11" t="s">
        <v>872</v>
      </c>
      <c r="V24" s="4" t="s">
        <v>101</v>
      </c>
      <c r="W24" s="4" t="s">
        <v>55</v>
      </c>
      <c r="X24" s="4" t="s">
        <v>93</v>
      </c>
      <c r="Y24" s="65" t="s">
        <v>17</v>
      </c>
      <c r="Z24" s="4" t="s">
        <v>17</v>
      </c>
      <c r="AA24" s="4" t="s">
        <v>17</v>
      </c>
      <c r="AB24" s="4" t="s">
        <v>192</v>
      </c>
      <c r="AC24" s="4" t="s">
        <v>24</v>
      </c>
      <c r="AD24" s="4" t="s">
        <v>24</v>
      </c>
      <c r="AE24" s="4" t="s">
        <v>17</v>
      </c>
      <c r="AF24" s="4" t="s">
        <v>17</v>
      </c>
      <c r="AG24" s="4" t="s">
        <v>24</v>
      </c>
      <c r="AH24" s="4" t="s">
        <v>24</v>
      </c>
      <c r="AI24" s="4" t="s">
        <v>24</v>
      </c>
      <c r="AJ24" s="68"/>
      <c r="AK24" s="4" cm="1">
        <f t="array" ref="AK24">SUMPRODUCT((Y24:AI24&lt;&gt;"Pendiente")*(Y24:AI24&lt;&gt;""))</f>
        <v>11</v>
      </c>
      <c r="AL24" s="4">
        <f>COUNTA(Tabla2[[#This Row],[INVITACIÓN]:[ACTA DE INICIO]])</f>
        <v>11</v>
      </c>
      <c r="AM24" s="26">
        <f t="shared" si="2"/>
        <v>1</v>
      </c>
      <c r="AN24" s="47"/>
      <c r="AP24" s="10"/>
      <c r="AQ24" s="10"/>
      <c r="AV24" s="10"/>
      <c r="BD24" s="4">
        <f>COUNTA(Tabla2[[#This Row],[(1)SOLICITUD DE  APERTURA FIRNANCIERA Y PRESUPUESTO 1 (FECHA) ]:[(15) FECHA DE CONTRATACIÓN ADMINISTRATIVO]])</f>
        <v>0</v>
      </c>
      <c r="BE24" s="26">
        <f>Tabla2[[#This Row],[NUMERO OK]]/15</f>
        <v>0</v>
      </c>
      <c r="BF24" s="4" t="str">
        <f t="shared" ca="1" si="3"/>
        <v>RiesgoAlto</v>
      </c>
      <c r="BG24" s="48"/>
      <c r="BO24" s="8"/>
    </row>
    <row r="25" spans="1:67" s="55" customFormat="1" ht="85.5">
      <c r="A25" s="9">
        <v>2024</v>
      </c>
      <c r="B25" s="4"/>
      <c r="C25" s="4"/>
      <c r="D25" s="4"/>
      <c r="E25" s="4"/>
      <c r="F25" s="4"/>
      <c r="G25" s="10"/>
      <c r="H25" s="62">
        <v>45547</v>
      </c>
      <c r="I25" s="10">
        <v>45558</v>
      </c>
      <c r="J25" s="10">
        <v>45679</v>
      </c>
      <c r="K25" s="4" t="s">
        <v>908</v>
      </c>
      <c r="L25" s="4" t="s">
        <v>97</v>
      </c>
      <c r="M25" s="4" t="str">
        <f t="shared" ca="1" si="0"/>
        <v>FINALIZADO</v>
      </c>
      <c r="N25" s="4" t="s">
        <v>93</v>
      </c>
      <c r="O25" s="6" t="s">
        <v>909</v>
      </c>
      <c r="P25" s="4" t="s">
        <v>910</v>
      </c>
      <c r="Q25" s="37">
        <v>111464444</v>
      </c>
      <c r="R25" s="37">
        <v>0</v>
      </c>
      <c r="S25" s="38">
        <f t="shared" si="5"/>
        <v>111464444</v>
      </c>
      <c r="T25" s="39">
        <f t="shared" si="4"/>
        <v>11942618.999999998</v>
      </c>
      <c r="U25" s="4" t="s">
        <v>911</v>
      </c>
      <c r="V25" s="4" t="s">
        <v>49</v>
      </c>
      <c r="W25" s="4" t="s">
        <v>22</v>
      </c>
      <c r="X25" s="4" t="s">
        <v>23</v>
      </c>
      <c r="Y25" s="65"/>
      <c r="Z25" s="4"/>
      <c r="AA25" s="4"/>
      <c r="AB25" s="4"/>
      <c r="AC25" s="4"/>
      <c r="AD25" s="4"/>
      <c r="AE25" s="4"/>
      <c r="AF25" s="4"/>
      <c r="AG25" s="4"/>
      <c r="AH25" s="4"/>
      <c r="AI25" s="4"/>
      <c r="AJ25" s="68"/>
      <c r="AK25" s="4" cm="1">
        <f t="array" ref="AK25">SUMPRODUCT((Y25:AI25&lt;&gt;"Pendiente")*(Y25:AI25&lt;&gt;""))</f>
        <v>0</v>
      </c>
      <c r="AL25" s="4">
        <f>COUNTA(Tabla2[[#This Row],[INVITACIÓN]:[ACTA DE INICIO]])</f>
        <v>0</v>
      </c>
      <c r="AM25" s="26" t="e">
        <f t="shared" si="2"/>
        <v>#DIV/0!</v>
      </c>
      <c r="AN25" s="47"/>
      <c r="AO25" s="4"/>
      <c r="AP25" s="4"/>
      <c r="AQ25" s="4"/>
      <c r="AR25" s="4"/>
      <c r="AS25" s="4"/>
      <c r="AT25" s="4"/>
      <c r="AU25" s="4"/>
      <c r="AV25" s="4"/>
      <c r="AW25" s="4"/>
      <c r="AX25" s="4"/>
      <c r="AY25" s="4"/>
      <c r="AZ25" s="4"/>
      <c r="BA25" s="4"/>
      <c r="BB25" s="4"/>
      <c r="BC25" s="4"/>
      <c r="BD25" s="4">
        <f>COUNTA(Tabla2[[#This Row],[(1)SOLICITUD DE  APERTURA FIRNANCIERA Y PRESUPUESTO 1 (FECHA) ]:[(15) FECHA DE CONTRATACIÓN ADMINISTRATIVO]])</f>
        <v>0</v>
      </c>
      <c r="BE25" s="26">
        <f>Tabla2[[#This Row],[NUMERO OK]]/15</f>
        <v>0</v>
      </c>
      <c r="BF25" s="4" t="str">
        <f t="shared" ca="1" si="3"/>
        <v>RiesgoAlto</v>
      </c>
      <c r="BG25" s="48"/>
      <c r="BH25" s="4"/>
      <c r="BI25" s="4"/>
      <c r="BJ25" s="4"/>
      <c r="BK25" s="4"/>
      <c r="BL25" s="4"/>
      <c r="BM25" s="4"/>
      <c r="BN25" s="4"/>
      <c r="BO25" s="8"/>
    </row>
    <row r="26" spans="1:67" ht="57">
      <c r="A26" s="9">
        <v>2024</v>
      </c>
      <c r="B26" s="35" t="s">
        <v>832</v>
      </c>
      <c r="C26" s="4" t="s">
        <v>832</v>
      </c>
      <c r="D26" s="4" t="s">
        <v>123</v>
      </c>
      <c r="E26" s="35" t="s">
        <v>832</v>
      </c>
      <c r="G26" s="10"/>
      <c r="H26" s="36">
        <v>45560</v>
      </c>
      <c r="I26" s="10">
        <v>45568</v>
      </c>
      <c r="J26" s="10">
        <v>45777</v>
      </c>
      <c r="K26" s="4" t="s">
        <v>912</v>
      </c>
      <c r="L26" s="4" t="s">
        <v>97</v>
      </c>
      <c r="M26" s="4" t="str">
        <f t="shared" ca="1" si="0"/>
        <v>FINALIZADO</v>
      </c>
      <c r="N26" s="4" t="s">
        <v>93</v>
      </c>
      <c r="O26" s="163" t="s">
        <v>913</v>
      </c>
      <c r="P26" s="4" t="s">
        <v>914</v>
      </c>
      <c r="Q26" s="37">
        <v>300600000</v>
      </c>
      <c r="R26" s="37">
        <v>0</v>
      </c>
      <c r="S26" s="38">
        <f t="shared" si="5"/>
        <v>300600000</v>
      </c>
      <c r="T26" s="39">
        <f t="shared" si="4"/>
        <v>32207142.857142854</v>
      </c>
      <c r="U26" s="11" t="s">
        <v>200</v>
      </c>
      <c r="V26" s="4" t="s">
        <v>915</v>
      </c>
      <c r="W26" s="4" t="s">
        <v>22</v>
      </c>
      <c r="X26" s="4" t="s">
        <v>93</v>
      </c>
      <c r="Y26" s="65" t="s">
        <v>17</v>
      </c>
      <c r="Z26" s="4" t="s">
        <v>24</v>
      </c>
      <c r="AA26" s="4" t="s">
        <v>24</v>
      </c>
      <c r="AB26" s="4" t="s">
        <v>192</v>
      </c>
      <c r="AC26" s="4" t="s">
        <v>17</v>
      </c>
      <c r="AD26" s="4" t="s">
        <v>24</v>
      </c>
      <c r="AE26" s="4" t="s">
        <v>24</v>
      </c>
      <c r="AF26" s="4" t="s">
        <v>24</v>
      </c>
      <c r="AG26" s="4" t="s">
        <v>24</v>
      </c>
      <c r="AH26" s="4" t="s">
        <v>24</v>
      </c>
      <c r="AI26" s="4" t="s">
        <v>24</v>
      </c>
      <c r="AJ26" s="68"/>
      <c r="AK26" s="4" cm="1">
        <f t="array" ref="AK26">SUMPRODUCT((Y26:AI26&lt;&gt;"Pendiente")*(Y26:AI26&lt;&gt;""))</f>
        <v>11</v>
      </c>
      <c r="AL26" s="4">
        <f>COUNTA(Tabla2[[#This Row],[INVITACIÓN]:[ACTA DE INICIO]])</f>
        <v>11</v>
      </c>
      <c r="AM26" s="26">
        <f t="shared" si="2"/>
        <v>1</v>
      </c>
      <c r="AN26" s="47"/>
      <c r="AP26" s="10"/>
      <c r="AQ26" s="10"/>
      <c r="AV26" s="10"/>
      <c r="BD26" s="4">
        <f>COUNTA(Tabla2[[#This Row],[(1)SOLICITUD DE  APERTURA FIRNANCIERA Y PRESUPUESTO 1 (FECHA) ]:[(15) FECHA DE CONTRATACIÓN ADMINISTRATIVO]])</f>
        <v>0</v>
      </c>
      <c r="BE26" s="26">
        <f>Tabla2[[#This Row],[NUMERO OK]]/15</f>
        <v>0</v>
      </c>
      <c r="BF26" s="4" t="str">
        <f t="shared" ca="1" si="3"/>
        <v>RiesgoAlto</v>
      </c>
      <c r="BG26" s="48"/>
      <c r="BO26" s="8"/>
    </row>
    <row r="27" spans="1:67" ht="242.25">
      <c r="A27" s="9">
        <v>2024</v>
      </c>
      <c r="G27" s="10"/>
      <c r="H27" s="62">
        <v>45594</v>
      </c>
      <c r="I27" s="62">
        <v>45595</v>
      </c>
      <c r="J27" s="62">
        <v>45672</v>
      </c>
      <c r="K27" s="4" t="s">
        <v>916</v>
      </c>
      <c r="L27" s="4" t="s">
        <v>68</v>
      </c>
      <c r="M27" s="4" t="str">
        <f t="shared" ca="1" si="0"/>
        <v>FINALIZADO</v>
      </c>
      <c r="N27" s="4" t="s">
        <v>93</v>
      </c>
      <c r="O27" s="6" t="s">
        <v>917</v>
      </c>
      <c r="P27" s="4" t="s">
        <v>918</v>
      </c>
      <c r="Q27" s="37">
        <v>65000000</v>
      </c>
      <c r="R27" s="37">
        <v>0</v>
      </c>
      <c r="S27" s="38">
        <f t="shared" si="5"/>
        <v>65000000</v>
      </c>
      <c r="T27" s="39">
        <f t="shared" si="4"/>
        <v>6964285.7142857136</v>
      </c>
      <c r="U27" s="4" t="s">
        <v>919</v>
      </c>
      <c r="V27" s="4" t="s">
        <v>920</v>
      </c>
      <c r="W27" s="4" t="s">
        <v>22</v>
      </c>
      <c r="X27" s="4" t="s">
        <v>23</v>
      </c>
      <c r="Y27" s="65" t="s">
        <v>24</v>
      </c>
      <c r="Z27" s="4" t="s">
        <v>17</v>
      </c>
      <c r="AA27" s="4" t="s">
        <v>24</v>
      </c>
      <c r="AB27" s="4" t="s">
        <v>17</v>
      </c>
      <c r="AC27" s="4" t="s">
        <v>24</v>
      </c>
      <c r="AD27" s="4" t="s">
        <v>24</v>
      </c>
      <c r="AE27" s="4" t="s">
        <v>24</v>
      </c>
      <c r="AF27" s="4" t="s">
        <v>24</v>
      </c>
      <c r="AG27" s="4" t="s">
        <v>24</v>
      </c>
      <c r="AH27" s="4" t="s">
        <v>24</v>
      </c>
      <c r="AI27" s="4" t="s">
        <v>24</v>
      </c>
      <c r="AJ27" s="68"/>
      <c r="AK27" s="4" cm="1">
        <f t="array" ref="AK27">SUMPRODUCT((Y27:AI27&lt;&gt;"Pendiente")*(Y27:AI27&lt;&gt;""))</f>
        <v>11</v>
      </c>
      <c r="AL27" s="4">
        <f>COUNTA(Tabla2[[#This Row],[INVITACIÓN]:[ACTA DE INICIO]])</f>
        <v>11</v>
      </c>
      <c r="AM27" s="26">
        <f t="shared" si="2"/>
        <v>1</v>
      </c>
      <c r="AN27" s="47"/>
      <c r="BD27" s="4">
        <f>COUNTA(Tabla2[[#This Row],[(1)SOLICITUD DE  APERTURA FIRNANCIERA Y PRESUPUESTO 1 (FECHA) ]:[(15) FECHA DE CONTRATACIÓN ADMINISTRATIVO]])</f>
        <v>0</v>
      </c>
      <c r="BE27" s="26">
        <f>Tabla2[[#This Row],[NUMERO OK]]/15</f>
        <v>0</v>
      </c>
      <c r="BF27" s="4" t="str">
        <f t="shared" ca="1" si="3"/>
        <v>RiesgoAlto</v>
      </c>
      <c r="BG27" s="48"/>
      <c r="BO27" s="8"/>
    </row>
    <row r="28" spans="1:67" ht="156.75">
      <c r="A28" s="9">
        <v>2024</v>
      </c>
      <c r="B28" s="35" t="s">
        <v>832</v>
      </c>
      <c r="C28" s="4" t="s">
        <v>832</v>
      </c>
      <c r="D28" s="4" t="s">
        <v>135</v>
      </c>
      <c r="E28" s="35" t="s">
        <v>832</v>
      </c>
      <c r="G28" s="10"/>
      <c r="H28" s="36">
        <v>45602</v>
      </c>
      <c r="I28" s="10">
        <v>45614</v>
      </c>
      <c r="J28" s="10">
        <v>45750</v>
      </c>
      <c r="K28" s="4" t="s">
        <v>921</v>
      </c>
      <c r="L28" s="4" t="s">
        <v>68</v>
      </c>
      <c r="M28" s="4" t="str">
        <f t="shared" ca="1" si="0"/>
        <v>FINALIZADO</v>
      </c>
      <c r="N28" s="4" t="s">
        <v>93</v>
      </c>
      <c r="O28" s="163" t="s">
        <v>870</v>
      </c>
      <c r="P28" s="4" t="s">
        <v>922</v>
      </c>
      <c r="Q28" s="37">
        <v>15525000</v>
      </c>
      <c r="R28" s="37">
        <v>0</v>
      </c>
      <c r="S28" s="38">
        <f t="shared" si="5"/>
        <v>15525000</v>
      </c>
      <c r="T28" s="39">
        <f t="shared" si="4"/>
        <v>1663392.857142857</v>
      </c>
      <c r="U28" s="11" t="s">
        <v>923</v>
      </c>
      <c r="V28" s="4" t="s">
        <v>924</v>
      </c>
      <c r="W28" s="4" t="s">
        <v>55</v>
      </c>
      <c r="X28" s="4" t="s">
        <v>93</v>
      </c>
      <c r="Y28" s="65" t="s">
        <v>17</v>
      </c>
      <c r="Z28" s="4" t="s">
        <v>17</v>
      </c>
      <c r="AA28" s="4" t="s">
        <v>17</v>
      </c>
      <c r="AB28" s="4" t="s">
        <v>192</v>
      </c>
      <c r="AC28" s="4" t="s">
        <v>24</v>
      </c>
      <c r="AD28" s="4" t="s">
        <v>24</v>
      </c>
      <c r="AE28" s="4" t="s">
        <v>17</v>
      </c>
      <c r="AF28" s="4" t="s">
        <v>17</v>
      </c>
      <c r="AG28" s="4" t="s">
        <v>24</v>
      </c>
      <c r="AH28" s="4" t="s">
        <v>24</v>
      </c>
      <c r="AI28" s="4" t="s">
        <v>24</v>
      </c>
      <c r="AJ28" s="68"/>
      <c r="AK28" s="4" cm="1">
        <f t="array" ref="AK28">SUMPRODUCT((Y28:AI28&lt;&gt;"Pendiente")*(Y28:AI28&lt;&gt;""))</f>
        <v>11</v>
      </c>
      <c r="AL28" s="4">
        <f>COUNTA(Tabla2[[#This Row],[INVITACIÓN]:[ACTA DE INICIO]])</f>
        <v>11</v>
      </c>
      <c r="AM28" s="26">
        <f t="shared" si="2"/>
        <v>1</v>
      </c>
      <c r="AN28" s="47"/>
      <c r="AP28" s="10"/>
      <c r="AQ28" s="10"/>
      <c r="AV28" s="10"/>
      <c r="BD28" s="4">
        <f>COUNTA(Tabla2[[#This Row],[(1)SOLICITUD DE  APERTURA FIRNANCIERA Y PRESUPUESTO 1 (FECHA) ]:[(15) FECHA DE CONTRATACIÓN ADMINISTRATIVO]])</f>
        <v>0</v>
      </c>
      <c r="BE28" s="26">
        <f>Tabla2[[#This Row],[NUMERO OK]]/15</f>
        <v>0</v>
      </c>
      <c r="BF28" s="4" t="str">
        <f t="shared" ca="1" si="3"/>
        <v>RiesgoAlto</v>
      </c>
      <c r="BG28" s="48"/>
      <c r="BO28" s="8"/>
    </row>
    <row r="29" spans="1:67" ht="57">
      <c r="A29" s="9">
        <v>2024</v>
      </c>
      <c r="B29" s="35" t="s">
        <v>832</v>
      </c>
      <c r="C29" s="4" t="s">
        <v>832</v>
      </c>
      <c r="D29" s="4" t="s">
        <v>123</v>
      </c>
      <c r="E29" s="35" t="s">
        <v>832</v>
      </c>
      <c r="G29" s="10"/>
      <c r="H29" s="36">
        <v>45609</v>
      </c>
      <c r="I29" s="10">
        <v>45618</v>
      </c>
      <c r="J29" s="10">
        <v>45798</v>
      </c>
      <c r="K29" s="4" t="s">
        <v>925</v>
      </c>
      <c r="L29" s="4" t="s">
        <v>97</v>
      </c>
      <c r="M29" s="4" t="str">
        <f t="shared" ca="1" si="0"/>
        <v>FINALIZADO</v>
      </c>
      <c r="N29" s="4" t="s">
        <v>33</v>
      </c>
      <c r="O29" s="163" t="s">
        <v>926</v>
      </c>
      <c r="P29" s="4" t="s">
        <v>927</v>
      </c>
      <c r="Q29" s="37">
        <v>1500000000</v>
      </c>
      <c r="R29" s="37">
        <v>0</v>
      </c>
      <c r="S29" s="38">
        <f t="shared" si="5"/>
        <v>1500000000</v>
      </c>
      <c r="T29" s="39">
        <f t="shared" si="4"/>
        <v>160714285.7142857</v>
      </c>
      <c r="U29" s="11" t="s">
        <v>928</v>
      </c>
      <c r="V29" s="4" t="s">
        <v>65</v>
      </c>
      <c r="W29" s="4" t="s">
        <v>22</v>
      </c>
      <c r="X29" s="4" t="s">
        <v>33</v>
      </c>
      <c r="Y29" s="65" t="s">
        <v>24</v>
      </c>
      <c r="Z29" s="4" t="s">
        <v>17</v>
      </c>
      <c r="AA29" s="4" t="s">
        <v>24</v>
      </c>
      <c r="AB29" s="4" t="s">
        <v>192</v>
      </c>
      <c r="AC29" s="4" t="s">
        <v>17</v>
      </c>
      <c r="AD29" s="4" t="s">
        <v>24</v>
      </c>
      <c r="AE29" s="4" t="s">
        <v>24</v>
      </c>
      <c r="AF29" s="4" t="s">
        <v>17</v>
      </c>
      <c r="AG29" s="4" t="s">
        <v>24</v>
      </c>
      <c r="AH29" s="4" t="s">
        <v>24</v>
      </c>
      <c r="AI29" s="4" t="s">
        <v>24</v>
      </c>
      <c r="AJ29" s="68" t="s">
        <v>929</v>
      </c>
      <c r="AK29" s="4" cm="1">
        <f t="array" ref="AK29">SUMPRODUCT((Y29:AI29&lt;&gt;"Pendiente")*(Y29:AI29&lt;&gt;""))</f>
        <v>11</v>
      </c>
      <c r="AL29" s="4">
        <f>COUNTA(Tabla2[[#This Row],[INVITACIÓN]:[ACTA DE INICIO]])</f>
        <v>11</v>
      </c>
      <c r="AM29" s="26">
        <f t="shared" si="2"/>
        <v>1</v>
      </c>
      <c r="AN29" s="47"/>
      <c r="AP29" s="10"/>
      <c r="AQ29" s="10"/>
      <c r="AV29" s="10"/>
      <c r="BD29" s="4">
        <f>COUNTA(Tabla2[[#This Row],[(1)SOLICITUD DE  APERTURA FIRNANCIERA Y PRESUPUESTO 1 (FECHA) ]:[(15) FECHA DE CONTRATACIÓN ADMINISTRATIVO]])</f>
        <v>0</v>
      </c>
      <c r="BE29" s="26">
        <f>Tabla2[[#This Row],[NUMERO OK]]/15</f>
        <v>0</v>
      </c>
      <c r="BF29" s="4" t="str">
        <f t="shared" ca="1" si="3"/>
        <v>RiesgoAlto</v>
      </c>
      <c r="BG29" s="48"/>
      <c r="BO29" s="8"/>
    </row>
    <row r="30" spans="1:67" ht="185.25">
      <c r="A30" s="9">
        <v>2024</v>
      </c>
      <c r="B30" s="35"/>
      <c r="C30" s="4" t="s">
        <v>163</v>
      </c>
      <c r="D30" s="4" t="s">
        <v>123</v>
      </c>
      <c r="E30" s="35"/>
      <c r="G30" s="10"/>
      <c r="H30" s="36">
        <v>45609</v>
      </c>
      <c r="I30" s="10">
        <v>45616</v>
      </c>
      <c r="J30" s="10">
        <v>45805</v>
      </c>
      <c r="K30" s="4" t="s">
        <v>930</v>
      </c>
      <c r="L30" s="4" t="s">
        <v>97</v>
      </c>
      <c r="M30" s="4" t="str">
        <f t="shared" ca="1" si="0"/>
        <v>FINALIZADO</v>
      </c>
      <c r="N30" s="4" t="s">
        <v>21</v>
      </c>
      <c r="O30" s="6" t="s">
        <v>931</v>
      </c>
      <c r="P30" s="4" t="s">
        <v>932</v>
      </c>
      <c r="Q30" s="37">
        <v>1078997482</v>
      </c>
      <c r="R30" s="37">
        <v>0</v>
      </c>
      <c r="S30" s="38">
        <f t="shared" si="5"/>
        <v>1078997482</v>
      </c>
      <c r="T30" s="39">
        <f t="shared" si="4"/>
        <v>115606873.07142855</v>
      </c>
      <c r="U30" s="11" t="s">
        <v>192</v>
      </c>
      <c r="V30" s="4" t="s">
        <v>933</v>
      </c>
      <c r="W30" s="4" t="s">
        <v>22</v>
      </c>
      <c r="X30" s="4" t="s">
        <v>23</v>
      </c>
      <c r="Y30" s="65" t="s">
        <v>17</v>
      </c>
      <c r="Z30" s="4" t="s">
        <v>24</v>
      </c>
      <c r="AA30" s="4" t="s">
        <v>17</v>
      </c>
      <c r="AB30" s="4" t="s">
        <v>24</v>
      </c>
      <c r="AC30" s="4" t="s">
        <v>17</v>
      </c>
      <c r="AD30" s="4" t="s">
        <v>934</v>
      </c>
      <c r="AE30" s="4" t="s">
        <v>24</v>
      </c>
      <c r="AF30" s="4" t="s">
        <v>24</v>
      </c>
      <c r="AG30" s="4" t="s">
        <v>24</v>
      </c>
      <c r="AH30" s="4" t="s">
        <v>24</v>
      </c>
      <c r="AI30" s="4" t="s">
        <v>24</v>
      </c>
      <c r="AJ30" s="8" t="s">
        <v>935</v>
      </c>
      <c r="AK30" s="4" cm="1">
        <f t="array" ref="AK30">SUMPRODUCT((Y30:AI30&lt;&gt;"Pendiente")*(Y30:AI30&lt;&gt;""))</f>
        <v>11</v>
      </c>
      <c r="AL30" s="4">
        <f>COUNTA(Tabla2[[#This Row],[INVITACIÓN]:[ACTA DE INICIO]])</f>
        <v>11</v>
      </c>
      <c r="AM30" s="26">
        <f t="shared" si="2"/>
        <v>1</v>
      </c>
      <c r="AN30" s="47">
        <v>45608</v>
      </c>
      <c r="AO30" s="10">
        <v>45693</v>
      </c>
      <c r="BD30" s="4">
        <f>COUNTA(Tabla2[[#This Row],[(1)SOLICITUD DE  APERTURA FIRNANCIERA Y PRESUPUESTO 1 (FECHA) ]:[(15) FECHA DE CONTRATACIÓN ADMINISTRATIVO]])</f>
        <v>2</v>
      </c>
      <c r="BE30" s="26">
        <f>Tabla2[[#This Row],[NUMERO OK]]/15</f>
        <v>0.13333333333333333</v>
      </c>
      <c r="BF30" s="4" t="str">
        <f t="shared" ca="1" si="3"/>
        <v>RiesgoAlto</v>
      </c>
      <c r="BG30" s="48"/>
      <c r="BO30" s="8"/>
    </row>
    <row r="31" spans="1:67" ht="85.5">
      <c r="A31" s="9">
        <v>2024</v>
      </c>
      <c r="B31" s="35"/>
      <c r="C31" s="4" t="s">
        <v>163</v>
      </c>
      <c r="D31" s="4" t="s">
        <v>135</v>
      </c>
      <c r="E31" s="35" t="s">
        <v>936</v>
      </c>
      <c r="G31" s="10"/>
      <c r="H31" s="36">
        <v>45623</v>
      </c>
      <c r="I31" s="10">
        <v>45653</v>
      </c>
      <c r="J31" s="10">
        <v>45864</v>
      </c>
      <c r="K31" s="4" t="s">
        <v>937</v>
      </c>
      <c r="L31" s="4" t="s">
        <v>97</v>
      </c>
      <c r="M31" s="4" t="str">
        <f t="shared" ca="1" si="0"/>
        <v>FINALIZADO</v>
      </c>
      <c r="N31" s="4" t="s">
        <v>44</v>
      </c>
      <c r="O31" s="6" t="s">
        <v>938</v>
      </c>
      <c r="P31" s="4" t="s">
        <v>939</v>
      </c>
      <c r="Q31" s="37">
        <v>1418446006</v>
      </c>
      <c r="R31" s="37">
        <v>0</v>
      </c>
      <c r="S31" s="38">
        <f t="shared" si="5"/>
        <v>1418446006</v>
      </c>
      <c r="T31" s="39">
        <f t="shared" si="4"/>
        <v>151976357.78571427</v>
      </c>
      <c r="U31" s="11" t="s">
        <v>940</v>
      </c>
      <c r="V31" s="4" t="s">
        <v>72</v>
      </c>
      <c r="W31" s="4" t="s">
        <v>941</v>
      </c>
      <c r="X31" s="4" t="s">
        <v>23</v>
      </c>
      <c r="Y31" s="65" t="s">
        <v>17</v>
      </c>
      <c r="Z31" s="4" t="s">
        <v>24</v>
      </c>
      <c r="AA31" s="4" t="s">
        <v>24</v>
      </c>
      <c r="AB31" s="4" t="s">
        <v>192</v>
      </c>
      <c r="AC31" s="4" t="s">
        <v>17</v>
      </c>
      <c r="AD31" s="4" t="s">
        <v>24</v>
      </c>
      <c r="AE31" s="4" t="s">
        <v>24</v>
      </c>
      <c r="AF31" s="4" t="s">
        <v>17</v>
      </c>
      <c r="AG31" s="4" t="s">
        <v>24</v>
      </c>
      <c r="AH31" s="4" t="s">
        <v>24</v>
      </c>
      <c r="AI31" s="4" t="s">
        <v>24</v>
      </c>
      <c r="AJ31" s="68" t="s">
        <v>192</v>
      </c>
      <c r="AK31" s="4" cm="1">
        <f t="array" ref="AK31">SUMPRODUCT((Y31:AI31&lt;&gt;"Pendiente")*(Y31:AI31&lt;&gt;""))</f>
        <v>11</v>
      </c>
      <c r="AL31" s="4">
        <f>COUNTA(Tabla2[[#This Row],[INVITACIÓN]:[ACTA DE INICIO]])</f>
        <v>11</v>
      </c>
      <c r="AM31" s="26">
        <f t="shared" si="2"/>
        <v>1</v>
      </c>
      <c r="AN31" s="47">
        <v>45631</v>
      </c>
      <c r="AO31" s="4" t="s">
        <v>832</v>
      </c>
      <c r="AP31" s="10">
        <v>45636</v>
      </c>
      <c r="AQ31" s="10">
        <v>45642</v>
      </c>
      <c r="AR31" s="4" t="s">
        <v>942</v>
      </c>
      <c r="AS31" s="4" t="s">
        <v>943</v>
      </c>
      <c r="AT31" s="4" t="s">
        <v>944</v>
      </c>
      <c r="AU31" s="4" t="s">
        <v>832</v>
      </c>
      <c r="AV31" s="10">
        <v>45653</v>
      </c>
      <c r="AW31" s="4" t="s">
        <v>832</v>
      </c>
      <c r="AX31" s="10">
        <v>45650</v>
      </c>
      <c r="AY31" s="10">
        <v>45651</v>
      </c>
      <c r="AZ31" s="10">
        <v>45651</v>
      </c>
      <c r="BA31" s="10">
        <v>45652</v>
      </c>
      <c r="BB31" s="10">
        <v>45652</v>
      </c>
      <c r="BC31" s="4" t="s">
        <v>945</v>
      </c>
      <c r="BD31" s="4">
        <f>COUNTA(Tabla2[[#This Row],[(1)SOLICITUD DE  APERTURA FIRNANCIERA Y PRESUPUESTO 1 (FECHA) ]:[(15) FECHA DE CONTRATACIÓN ADMINISTRATIVO]])</f>
        <v>15</v>
      </c>
      <c r="BE31" s="26">
        <f>Tabla2[[#This Row],[NUMERO OK]]/15</f>
        <v>1</v>
      </c>
      <c r="BF31" s="4" t="str">
        <f t="shared" ca="1" si="3"/>
        <v>Cumplido</v>
      </c>
      <c r="BG31" s="48"/>
      <c r="BO31" s="8"/>
    </row>
    <row r="32" spans="1:67" ht="57">
      <c r="A32" s="9">
        <v>2024</v>
      </c>
      <c r="B32" s="35"/>
      <c r="C32" s="4" t="s">
        <v>164</v>
      </c>
      <c r="D32" s="4" t="s">
        <v>123</v>
      </c>
      <c r="E32" s="35" t="s">
        <v>936</v>
      </c>
      <c r="G32" s="10"/>
      <c r="H32" s="36">
        <v>45630</v>
      </c>
      <c r="I32" s="10">
        <v>45636</v>
      </c>
      <c r="J32" s="10">
        <v>45754</v>
      </c>
      <c r="K32" s="4" t="s">
        <v>946</v>
      </c>
      <c r="L32" s="4" t="s">
        <v>97</v>
      </c>
      <c r="M32" s="4" t="str">
        <f t="shared" ca="1" si="0"/>
        <v>FINALIZADO</v>
      </c>
      <c r="N32" s="4" t="s">
        <v>44</v>
      </c>
      <c r="O32" s="6" t="s">
        <v>947</v>
      </c>
      <c r="P32" s="4" t="s">
        <v>948</v>
      </c>
      <c r="Q32" s="37">
        <v>126672629.87</v>
      </c>
      <c r="R32" s="37">
        <v>0</v>
      </c>
      <c r="S32" s="38">
        <f t="shared" si="5"/>
        <v>126672629.87</v>
      </c>
      <c r="T32" s="39">
        <f t="shared" si="4"/>
        <v>13572067.486071426</v>
      </c>
      <c r="U32" s="11" t="s">
        <v>949</v>
      </c>
      <c r="V32" s="4" t="s">
        <v>950</v>
      </c>
      <c r="W32" s="4" t="s">
        <v>22</v>
      </c>
      <c r="X32" s="4" t="s">
        <v>23</v>
      </c>
      <c r="Y32" s="65" t="s">
        <v>17</v>
      </c>
      <c r="Z32" s="4" t="s">
        <v>24</v>
      </c>
      <c r="AA32" s="4" t="s">
        <v>24</v>
      </c>
      <c r="AB32" s="4" t="s">
        <v>192</v>
      </c>
      <c r="AC32" s="4" t="s">
        <v>17</v>
      </c>
      <c r="AD32" s="4" t="s">
        <v>24</v>
      </c>
      <c r="AE32" s="4" t="s">
        <v>24</v>
      </c>
      <c r="AF32" s="4" t="s">
        <v>24</v>
      </c>
      <c r="AG32" s="4" t="s">
        <v>24</v>
      </c>
      <c r="AH32" s="4" t="s">
        <v>24</v>
      </c>
      <c r="AI32" s="4" t="s">
        <v>24</v>
      </c>
      <c r="AJ32" s="68" t="s">
        <v>951</v>
      </c>
      <c r="AK32" s="4" cm="1">
        <f t="array" ref="AK32">SUMPRODUCT((Y32:AI32&lt;&gt;"Pendiente")*(Y32:AI32&lt;&gt;""))</f>
        <v>11</v>
      </c>
      <c r="AL32" s="4">
        <f>COUNTA(Tabla2[[#This Row],[INVITACIÓN]:[ACTA DE INICIO]])</f>
        <v>11</v>
      </c>
      <c r="AM32" s="26">
        <f t="shared" si="2"/>
        <v>1</v>
      </c>
      <c r="AN32" s="47">
        <v>45631</v>
      </c>
      <c r="AO32" s="10">
        <v>45635</v>
      </c>
      <c r="AP32" s="10">
        <v>45636</v>
      </c>
      <c r="AQ32" s="10"/>
      <c r="AR32" s="4" t="s">
        <v>952</v>
      </c>
      <c r="AS32" s="4" t="s">
        <v>943</v>
      </c>
      <c r="AT32" s="4" t="s">
        <v>953</v>
      </c>
      <c r="AU32" s="4" t="s">
        <v>832</v>
      </c>
      <c r="AV32" s="10">
        <v>45636</v>
      </c>
      <c r="AW32" s="4" t="s">
        <v>832</v>
      </c>
      <c r="AX32" s="10">
        <v>45649</v>
      </c>
      <c r="AY32" s="10">
        <v>45649</v>
      </c>
      <c r="AZ32" s="10">
        <v>45649</v>
      </c>
      <c r="BA32" s="10">
        <v>45671</v>
      </c>
      <c r="BB32" s="10">
        <v>45685</v>
      </c>
      <c r="BC32" s="4" t="s">
        <v>945</v>
      </c>
      <c r="BD32" s="4">
        <f>COUNTA(Tabla2[[#This Row],[(1)SOLICITUD DE  APERTURA FIRNANCIERA Y PRESUPUESTO 1 (FECHA) ]:[(15) FECHA DE CONTRATACIÓN ADMINISTRATIVO]])</f>
        <v>14</v>
      </c>
      <c r="BE32" s="26">
        <f>Tabla2[[#This Row],[NUMERO OK]]/15</f>
        <v>0.93333333333333335</v>
      </c>
      <c r="BF32" s="4" t="str">
        <f t="shared" ca="1" si="3"/>
        <v>RiesgoMedio</v>
      </c>
      <c r="BG32" s="48"/>
      <c r="BO32" s="8"/>
    </row>
    <row r="33" spans="1:67" ht="57">
      <c r="A33" s="9">
        <v>2024</v>
      </c>
      <c r="B33" s="35" t="s">
        <v>832</v>
      </c>
      <c r="C33" s="4" t="s">
        <v>832</v>
      </c>
      <c r="D33" s="4" t="s">
        <v>123</v>
      </c>
      <c r="E33" s="35" t="s">
        <v>832</v>
      </c>
      <c r="G33" s="10"/>
      <c r="H33" s="36">
        <v>45630</v>
      </c>
      <c r="I33" s="10">
        <v>45632</v>
      </c>
      <c r="J33" s="10">
        <v>45991</v>
      </c>
      <c r="K33" s="4" t="s">
        <v>954</v>
      </c>
      <c r="L33" s="4" t="s">
        <v>97</v>
      </c>
      <c r="M33" s="4" t="str">
        <f t="shared" ca="1" si="0"/>
        <v>EN EJECUCIÓN</v>
      </c>
      <c r="N33" s="4" t="s">
        <v>874</v>
      </c>
      <c r="O33" s="163" t="s">
        <v>463</v>
      </c>
      <c r="P33" s="4" t="s">
        <v>955</v>
      </c>
      <c r="Q33" s="37">
        <v>845530500</v>
      </c>
      <c r="R33" s="37">
        <v>0</v>
      </c>
      <c r="S33" s="38">
        <f t="shared" si="5"/>
        <v>845530500</v>
      </c>
      <c r="T33" s="39">
        <f t="shared" si="4"/>
        <v>90592553.571428567</v>
      </c>
      <c r="U33" s="11" t="s">
        <v>956</v>
      </c>
      <c r="V33" s="4" t="s">
        <v>290</v>
      </c>
      <c r="W33" s="4" t="s">
        <v>22</v>
      </c>
      <c r="X33" s="4" t="s">
        <v>21</v>
      </c>
      <c r="Y33" s="65" t="s">
        <v>24</v>
      </c>
      <c r="Z33" s="4" t="s">
        <v>24</v>
      </c>
      <c r="AA33" s="4" t="s">
        <v>17</v>
      </c>
      <c r="AB33" s="4" t="s">
        <v>192</v>
      </c>
      <c r="AC33" s="4" t="s">
        <v>17</v>
      </c>
      <c r="AD33" s="4" t="s">
        <v>24</v>
      </c>
      <c r="AE33" s="4" t="s">
        <v>24</v>
      </c>
      <c r="AF33" s="4" t="s">
        <v>24</v>
      </c>
      <c r="AG33" s="4" t="s">
        <v>24</v>
      </c>
      <c r="AH33" s="4" t="s">
        <v>24</v>
      </c>
      <c r="AI33" s="4" t="s">
        <v>24</v>
      </c>
      <c r="AJ33" s="8" t="s">
        <v>957</v>
      </c>
      <c r="AK33" s="4" cm="1">
        <f t="array" ref="AK33">SUMPRODUCT((Y33:AI33&lt;&gt;"Pendiente")*(Y33:AI33&lt;&gt;""))</f>
        <v>11</v>
      </c>
      <c r="AL33" s="4">
        <f>COUNTA(Tabla2[[#This Row],[INVITACIÓN]:[ACTA DE INICIO]])</f>
        <v>11</v>
      </c>
      <c r="AM33" s="26">
        <f t="shared" si="2"/>
        <v>1</v>
      </c>
      <c r="AN33" s="47"/>
      <c r="AP33" s="10"/>
      <c r="AQ33" s="10"/>
      <c r="AV33" s="10"/>
      <c r="BD33" s="4">
        <f>COUNTA(Tabla2[[#This Row],[(1)SOLICITUD DE  APERTURA FIRNANCIERA Y PRESUPUESTO 1 (FECHA) ]:[(15) FECHA DE CONTRATACIÓN ADMINISTRATIVO]])</f>
        <v>0</v>
      </c>
      <c r="BE33" s="26">
        <f>Tabla2[[#This Row],[NUMERO OK]]/15</f>
        <v>0</v>
      </c>
      <c r="BF33" s="4" t="str">
        <f t="shared" ca="1" si="3"/>
        <v>RiesgoAlto</v>
      </c>
      <c r="BG33" s="48"/>
      <c r="BO33" s="8"/>
    </row>
    <row r="34" spans="1:67" ht="42.75">
      <c r="A34" s="9">
        <v>2024</v>
      </c>
      <c r="B34" s="35"/>
      <c r="C34" s="4" t="s">
        <v>167</v>
      </c>
      <c r="D34" s="4" t="s">
        <v>127</v>
      </c>
      <c r="E34" s="35" t="s">
        <v>958</v>
      </c>
      <c r="F34" s="4" t="s">
        <v>14</v>
      </c>
      <c r="G34" s="10"/>
      <c r="H34" s="36">
        <v>45635</v>
      </c>
      <c r="I34" s="10">
        <v>45698</v>
      </c>
      <c r="J34" s="10">
        <v>45787</v>
      </c>
      <c r="K34" s="4" t="s">
        <v>959</v>
      </c>
      <c r="L34" s="4" t="s">
        <v>97</v>
      </c>
      <c r="M34" s="4" t="str">
        <f t="shared" ca="1" si="0"/>
        <v>FINALIZADO</v>
      </c>
      <c r="N34" s="4" t="s">
        <v>33</v>
      </c>
      <c r="O34" s="6" t="s">
        <v>333</v>
      </c>
      <c r="P34" s="4" t="s">
        <v>960</v>
      </c>
      <c r="Q34" s="37">
        <v>471353344</v>
      </c>
      <c r="R34" s="37">
        <v>0</v>
      </c>
      <c r="S34" s="38">
        <f t="shared" si="5"/>
        <v>471353344</v>
      </c>
      <c r="T34" s="39">
        <f t="shared" si="4"/>
        <v>50502143.999999993</v>
      </c>
      <c r="U34" s="11" t="s">
        <v>961</v>
      </c>
      <c r="V34" s="4" t="s">
        <v>39</v>
      </c>
      <c r="W34" s="4" t="s">
        <v>22</v>
      </c>
      <c r="X34" s="4" t="s">
        <v>23</v>
      </c>
      <c r="Y34" s="65" t="s">
        <v>17</v>
      </c>
      <c r="Z34" s="4" t="s">
        <v>24</v>
      </c>
      <c r="AA34" s="4" t="s">
        <v>24</v>
      </c>
      <c r="AB34" s="4" t="s">
        <v>192</v>
      </c>
      <c r="AC34" s="4" t="s">
        <v>17</v>
      </c>
      <c r="AD34" s="4" t="s">
        <v>24</v>
      </c>
      <c r="AE34" s="4" t="s">
        <v>24</v>
      </c>
      <c r="AF34" s="4" t="s">
        <v>24</v>
      </c>
      <c r="AG34" s="4" t="s">
        <v>24</v>
      </c>
      <c r="AH34" s="4" t="s">
        <v>24</v>
      </c>
      <c r="AI34" s="4" t="s">
        <v>24</v>
      </c>
      <c r="AJ34" s="68" t="s">
        <v>962</v>
      </c>
      <c r="AK34" s="4" cm="1">
        <f t="array" ref="AK34">SUMPRODUCT((Y34:AI34&lt;&gt;"Pendiente")*(Y34:AI34&lt;&gt;""))</f>
        <v>11</v>
      </c>
      <c r="AL34" s="4">
        <f>COUNTA(Tabla2[[#This Row],[INVITACIÓN]:[ACTA DE INICIO]])</f>
        <v>11</v>
      </c>
      <c r="AM34" s="26">
        <f t="shared" si="2"/>
        <v>1</v>
      </c>
      <c r="AN34" s="47">
        <v>45644</v>
      </c>
      <c r="AO34" s="10">
        <v>45693</v>
      </c>
      <c r="AP34" s="10">
        <v>45686</v>
      </c>
      <c r="AQ34" s="10">
        <v>45681</v>
      </c>
      <c r="AR34" s="4" t="s">
        <v>963</v>
      </c>
      <c r="AS34" s="4" t="s">
        <v>964</v>
      </c>
      <c r="AT34" s="4" t="s">
        <v>965</v>
      </c>
      <c r="AU34" s="10">
        <v>45721</v>
      </c>
      <c r="AV34" s="73">
        <v>45749</v>
      </c>
      <c r="AW34" s="4" t="s">
        <v>966</v>
      </c>
      <c r="AX34" s="10">
        <v>45321</v>
      </c>
      <c r="AY34" s="10">
        <v>45699</v>
      </c>
      <c r="AZ34" s="10">
        <v>45745</v>
      </c>
      <c r="BA34" s="60">
        <v>45749</v>
      </c>
      <c r="BB34" s="60">
        <v>45749</v>
      </c>
      <c r="BC34" s="60">
        <v>45753</v>
      </c>
      <c r="BD34" s="4">
        <f>COUNTA(Tabla2[[#This Row],[(1)SOLICITUD DE  APERTURA FIRNANCIERA Y PRESUPUESTO 1 (FECHA) ]:[(15) FECHA DE CONTRATACIÓN ADMINISTRATIVO]])</f>
        <v>15</v>
      </c>
      <c r="BE34" s="26">
        <f>Tabla2[[#This Row],[NUMERO OK]]/15</f>
        <v>1</v>
      </c>
      <c r="BF34" s="4" t="str">
        <f t="shared" ca="1" si="3"/>
        <v>Cumplido</v>
      </c>
      <c r="BG34" s="48"/>
      <c r="BO34" s="8"/>
    </row>
    <row r="35" spans="1:67" ht="128.25">
      <c r="A35" s="9">
        <v>2024</v>
      </c>
      <c r="B35" s="35"/>
      <c r="C35" s="4" t="s">
        <v>162</v>
      </c>
      <c r="D35" s="4" t="s">
        <v>127</v>
      </c>
      <c r="E35" s="35" t="s">
        <v>104</v>
      </c>
      <c r="G35" s="10"/>
      <c r="H35" s="36">
        <v>45636</v>
      </c>
      <c r="I35" s="10">
        <v>45646</v>
      </c>
      <c r="J35" s="10">
        <v>45802</v>
      </c>
      <c r="K35" s="4" t="s">
        <v>967</v>
      </c>
      <c r="L35" s="4" t="s">
        <v>97</v>
      </c>
      <c r="M35" s="4" t="str">
        <f t="shared" ref="M35:M66" ca="1" si="6">IF(J35="", "SUSCRITO", IF(J35&lt;=TODAY(), "FINALIZADO", "EN EJECUCIÓN"))</f>
        <v>FINALIZADO</v>
      </c>
      <c r="N35" s="4" t="s">
        <v>33</v>
      </c>
      <c r="O35" s="6" t="s">
        <v>968</v>
      </c>
      <c r="P35" s="4" t="s">
        <v>969</v>
      </c>
      <c r="Q35" s="37">
        <v>305000000</v>
      </c>
      <c r="R35" s="37">
        <v>0</v>
      </c>
      <c r="S35" s="38">
        <f t="shared" si="5"/>
        <v>305000000</v>
      </c>
      <c r="T35" s="39">
        <f t="shared" si="4"/>
        <v>32678571.428571425</v>
      </c>
      <c r="U35" s="11" t="s">
        <v>970</v>
      </c>
      <c r="V35" s="4" t="s">
        <v>971</v>
      </c>
      <c r="W35" s="4" t="s">
        <v>22</v>
      </c>
      <c r="X35" s="4" t="s">
        <v>23</v>
      </c>
      <c r="Y35" s="65" t="s">
        <v>24</v>
      </c>
      <c r="Z35" s="4" t="s">
        <v>24</v>
      </c>
      <c r="AA35" s="4" t="s">
        <v>24</v>
      </c>
      <c r="AB35" s="4" t="s">
        <v>192</v>
      </c>
      <c r="AC35" s="4" t="s">
        <v>17</v>
      </c>
      <c r="AD35" s="4" t="s">
        <v>24</v>
      </c>
      <c r="AE35" s="4" t="s">
        <v>24</v>
      </c>
      <c r="AF35" s="4" t="s">
        <v>24</v>
      </c>
      <c r="AG35" s="4" t="s">
        <v>24</v>
      </c>
      <c r="AH35" s="4" t="s">
        <v>24</v>
      </c>
      <c r="AI35" s="4" t="s">
        <v>24</v>
      </c>
      <c r="AJ35" s="68" t="s">
        <v>972</v>
      </c>
      <c r="AK35" s="4" cm="1">
        <f t="array" ref="AK35">SUMPRODUCT((Y35:AI35&lt;&gt;"Pendiente")*(Y35:AI35&lt;&gt;""))</f>
        <v>11</v>
      </c>
      <c r="AL35" s="4">
        <f>COUNTA(Tabla2[[#This Row],[INVITACIÓN]:[ACTA DE INICIO]])</f>
        <v>11</v>
      </c>
      <c r="AM35" s="26">
        <f t="shared" ref="AM35:AM66" si="7">AK35/AL35</f>
        <v>1</v>
      </c>
      <c r="AN35" s="47">
        <v>45644</v>
      </c>
      <c r="AO35" s="10">
        <v>45496</v>
      </c>
      <c r="AP35" s="10">
        <v>45712</v>
      </c>
      <c r="AQ35" s="10">
        <v>45712</v>
      </c>
      <c r="AR35" s="4" t="s">
        <v>973</v>
      </c>
      <c r="AS35" s="4" t="s">
        <v>974</v>
      </c>
      <c r="AT35" s="4" t="s">
        <v>832</v>
      </c>
      <c r="AU35" s="10">
        <v>45705</v>
      </c>
      <c r="AV35" s="10">
        <v>45706</v>
      </c>
      <c r="AW35" s="4" t="s">
        <v>975</v>
      </c>
      <c r="AX35" s="10">
        <v>45732</v>
      </c>
      <c r="AY35" s="10">
        <v>45734</v>
      </c>
      <c r="AZ35" s="4" t="s">
        <v>832</v>
      </c>
      <c r="BA35" s="10">
        <v>45734</v>
      </c>
      <c r="BB35" s="4" t="s">
        <v>832</v>
      </c>
      <c r="BC35" s="4" t="s">
        <v>976</v>
      </c>
      <c r="BD35" s="4">
        <f>COUNTA(Tabla2[[#This Row],[(1)SOLICITUD DE  APERTURA FIRNANCIERA Y PRESUPUESTO 1 (FECHA) ]:[(15) FECHA DE CONTRATACIÓN ADMINISTRATIVO]])</f>
        <v>15</v>
      </c>
      <c r="BE35" s="26">
        <f>Tabla2[[#This Row],[NUMERO OK]]/15</f>
        <v>1</v>
      </c>
      <c r="BF35" s="4" t="str">
        <f t="shared" ref="BF35:BF66" ca="1" si="8">IF(ISBLANK(I35),"N/A",
   IF(TODAY()-I35&lt;=15,
      IF(BE35=100%,"EnTiempos","EnProceso"),
      IF(BE35&lt;80%,"RiesgoAlto",
         IF(BE35&lt;100%,"RiesgoMedio","Cumplido")
      )
   )
)</f>
        <v>Cumplido</v>
      </c>
      <c r="BG35" s="48"/>
      <c r="BO35" s="8"/>
    </row>
    <row r="36" spans="1:67" ht="71.25">
      <c r="A36" s="9">
        <v>2024</v>
      </c>
      <c r="B36" s="35"/>
      <c r="C36" s="4" t="s">
        <v>164</v>
      </c>
      <c r="D36" s="4" t="s">
        <v>131</v>
      </c>
      <c r="E36" s="35" t="s">
        <v>104</v>
      </c>
      <c r="G36" s="10"/>
      <c r="H36" s="36">
        <v>45643</v>
      </c>
      <c r="I36" s="10">
        <v>45666</v>
      </c>
      <c r="J36" s="10">
        <v>45816</v>
      </c>
      <c r="K36" s="4" t="s">
        <v>977</v>
      </c>
      <c r="L36" s="4" t="s">
        <v>52</v>
      </c>
      <c r="M36" s="4" t="str">
        <f t="shared" ca="1" si="6"/>
        <v>FINALIZADO</v>
      </c>
      <c r="N36" s="4" t="s">
        <v>93</v>
      </c>
      <c r="O36" s="6" t="s">
        <v>978</v>
      </c>
      <c r="P36" s="4" t="s">
        <v>979</v>
      </c>
      <c r="Q36" s="37">
        <v>50894807</v>
      </c>
      <c r="R36" s="37">
        <v>15268442</v>
      </c>
      <c r="S36" s="38">
        <f t="shared" si="5"/>
        <v>66163249</v>
      </c>
      <c r="T36" s="39">
        <f t="shared" si="4"/>
        <v>5453015.0357142854</v>
      </c>
      <c r="U36" s="11" t="s">
        <v>980</v>
      </c>
      <c r="V36" s="4" t="s">
        <v>57</v>
      </c>
      <c r="W36" s="4" t="s">
        <v>34</v>
      </c>
      <c r="X36" s="4" t="s">
        <v>23</v>
      </c>
      <c r="Y36" s="65" t="s">
        <v>24</v>
      </c>
      <c r="Z36" s="4" t="s">
        <v>24</v>
      </c>
      <c r="AA36" s="4" t="s">
        <v>17</v>
      </c>
      <c r="AB36" s="4" t="s">
        <v>192</v>
      </c>
      <c r="AC36" s="4" t="s">
        <v>24</v>
      </c>
      <c r="AD36" s="4" t="s">
        <v>24</v>
      </c>
      <c r="AE36" s="4" t="s">
        <v>24</v>
      </c>
      <c r="AF36" s="4" t="s">
        <v>24</v>
      </c>
      <c r="AG36" s="4" t="s">
        <v>24</v>
      </c>
      <c r="AH36" s="4" t="s">
        <v>24</v>
      </c>
      <c r="AI36" s="4" t="s">
        <v>24</v>
      </c>
      <c r="AJ36" s="70" t="s">
        <v>981</v>
      </c>
      <c r="AK36" s="4" cm="1">
        <f t="array" ref="AK36">SUMPRODUCT((Y36:AI36&lt;&gt;"Pendiente")*(Y36:AI36&lt;&gt;""))</f>
        <v>11</v>
      </c>
      <c r="AL36" s="4">
        <f>COUNTA(Tabla2[[#This Row],[INVITACIÓN]:[ACTA DE INICIO]])</f>
        <v>11</v>
      </c>
      <c r="AM36" s="26">
        <f t="shared" si="7"/>
        <v>1</v>
      </c>
      <c r="AN36" s="47">
        <v>45667</v>
      </c>
      <c r="AO36" s="10">
        <v>45701</v>
      </c>
      <c r="AP36" s="10"/>
      <c r="AQ36" s="10">
        <v>45708</v>
      </c>
      <c r="AS36" s="29" t="s">
        <v>982</v>
      </c>
      <c r="AT36" s="4" t="s">
        <v>832</v>
      </c>
      <c r="AU36" s="10"/>
      <c r="AV36" s="10">
        <v>45748</v>
      </c>
      <c r="AW36" s="4" t="s">
        <v>983</v>
      </c>
      <c r="AX36" s="10"/>
      <c r="AZ36" s="4" t="s">
        <v>832</v>
      </c>
      <c r="BB36" s="4" t="s">
        <v>832</v>
      </c>
      <c r="BC36" s="4" t="s">
        <v>976</v>
      </c>
      <c r="BD36" s="4">
        <f>COUNTA(Tabla2[[#This Row],[(1)SOLICITUD DE  APERTURA FIRNANCIERA Y PRESUPUESTO 1 (FECHA) ]:[(15) FECHA DE CONTRATACIÓN ADMINISTRATIVO]])</f>
        <v>9</v>
      </c>
      <c r="BE36" s="26">
        <f>Tabla2[[#This Row],[NUMERO OK]]/15</f>
        <v>0.6</v>
      </c>
      <c r="BF36" s="4" t="str">
        <f t="shared" ca="1" si="8"/>
        <v>RiesgoAlto</v>
      </c>
      <c r="BG36" s="48"/>
      <c r="BO36" s="8"/>
    </row>
    <row r="37" spans="1:67" ht="85.5">
      <c r="A37" s="9">
        <v>2024</v>
      </c>
      <c r="B37" s="35"/>
      <c r="C37" s="4" t="s">
        <v>164</v>
      </c>
      <c r="D37" s="4" t="s">
        <v>139</v>
      </c>
      <c r="E37" s="35" t="s">
        <v>104</v>
      </c>
      <c r="G37" s="10"/>
      <c r="H37" s="36">
        <v>45643</v>
      </c>
      <c r="I37" s="10">
        <v>45653</v>
      </c>
      <c r="J37" s="10">
        <v>45961</v>
      </c>
      <c r="K37" s="4" t="s">
        <v>984</v>
      </c>
      <c r="L37" s="4" t="s">
        <v>97</v>
      </c>
      <c r="M37" s="4" t="str">
        <f t="shared" ca="1" si="6"/>
        <v>EN EJECUCIÓN</v>
      </c>
      <c r="N37" s="4" t="s">
        <v>44</v>
      </c>
      <c r="O37" s="6" t="s">
        <v>985</v>
      </c>
      <c r="P37" s="4" t="s">
        <v>986</v>
      </c>
      <c r="Q37" s="37">
        <v>2150000000</v>
      </c>
      <c r="R37" s="37">
        <v>0</v>
      </c>
      <c r="S37" s="38">
        <f t="shared" si="5"/>
        <v>2150000000</v>
      </c>
      <c r="T37" s="39">
        <f t="shared" si="4"/>
        <v>230357142.85714284</v>
      </c>
      <c r="U37" s="11" t="s">
        <v>987</v>
      </c>
      <c r="V37" s="4" t="s">
        <v>988</v>
      </c>
      <c r="W37" s="4" t="s">
        <v>22</v>
      </c>
      <c r="X37" s="4" t="s">
        <v>23</v>
      </c>
      <c r="Y37" s="65" t="s">
        <v>24</v>
      </c>
      <c r="Z37" s="4" t="s">
        <v>24</v>
      </c>
      <c r="AA37" s="4" t="s">
        <v>24</v>
      </c>
      <c r="AB37" s="4" t="s">
        <v>192</v>
      </c>
      <c r="AC37" s="4" t="s">
        <v>17</v>
      </c>
      <c r="AD37" s="4" t="s">
        <v>24</v>
      </c>
      <c r="AE37" s="4" t="s">
        <v>24</v>
      </c>
      <c r="AF37" s="4" t="s">
        <v>24</v>
      </c>
      <c r="AG37" s="4" t="s">
        <v>24</v>
      </c>
      <c r="AH37" s="4" t="s">
        <v>24</v>
      </c>
      <c r="AI37" s="4" t="s">
        <v>24</v>
      </c>
      <c r="AJ37" s="68" t="s">
        <v>989</v>
      </c>
      <c r="AK37" s="4" cm="1">
        <f t="array" ref="AK37">SUMPRODUCT((Y37:AI37&lt;&gt;"Pendiente")*(Y37:AI37&lt;&gt;""))</f>
        <v>11</v>
      </c>
      <c r="AL37" s="4">
        <f>COUNTA(Tabla2[[#This Row],[INVITACIÓN]:[ACTA DE INICIO]])</f>
        <v>11</v>
      </c>
      <c r="AM37" s="26">
        <f t="shared" si="7"/>
        <v>1</v>
      </c>
      <c r="AN37" s="47">
        <v>45667</v>
      </c>
      <c r="AO37" s="10">
        <v>45664</v>
      </c>
      <c r="AP37" s="10">
        <v>45709</v>
      </c>
      <c r="AQ37" s="10">
        <v>45712</v>
      </c>
      <c r="AR37" s="4" t="s">
        <v>974</v>
      </c>
      <c r="AS37" s="4" t="s">
        <v>990</v>
      </c>
      <c r="AU37" s="10">
        <v>45694</v>
      </c>
      <c r="AV37" s="10">
        <v>45695</v>
      </c>
      <c r="AW37" s="4" t="s">
        <v>991</v>
      </c>
      <c r="BC37" s="4" t="s">
        <v>976</v>
      </c>
      <c r="BD37" s="4">
        <f>COUNTA(Tabla2[[#This Row],[(1)SOLICITUD DE  APERTURA FIRNANCIERA Y PRESUPUESTO 1 (FECHA) ]:[(15) FECHA DE CONTRATACIÓN ADMINISTRATIVO]])</f>
        <v>9</v>
      </c>
      <c r="BE37" s="26">
        <f>Tabla2[[#This Row],[NUMERO OK]]/15</f>
        <v>0.6</v>
      </c>
      <c r="BF37" s="4" t="str">
        <f t="shared" ca="1" si="8"/>
        <v>RiesgoAlto</v>
      </c>
      <c r="BG37" s="48"/>
      <c r="BO37" s="8"/>
    </row>
    <row r="38" spans="1:67" ht="60">
      <c r="A38" s="9">
        <v>2024</v>
      </c>
      <c r="B38" s="35"/>
      <c r="C38" s="4" t="s">
        <v>166</v>
      </c>
      <c r="D38" s="4" t="s">
        <v>123</v>
      </c>
      <c r="E38" s="35" t="s">
        <v>992</v>
      </c>
      <c r="G38" s="10"/>
      <c r="H38" s="36">
        <v>45645</v>
      </c>
      <c r="I38" s="10">
        <v>45653</v>
      </c>
      <c r="J38" s="10">
        <v>45834</v>
      </c>
      <c r="K38" s="4" t="s">
        <v>993</v>
      </c>
      <c r="L38" s="4" t="s">
        <v>103</v>
      </c>
      <c r="M38" s="4" t="str">
        <f t="shared" ca="1" si="6"/>
        <v>FINALIZADO</v>
      </c>
      <c r="N38" s="4" t="s">
        <v>93</v>
      </c>
      <c r="O38" s="6" t="s">
        <v>685</v>
      </c>
      <c r="P38" s="4" t="s">
        <v>994</v>
      </c>
      <c r="Q38" s="37">
        <v>35550000</v>
      </c>
      <c r="R38" s="37">
        <v>0</v>
      </c>
      <c r="S38" s="38">
        <f t="shared" si="5"/>
        <v>35550000</v>
      </c>
      <c r="T38" s="39">
        <f t="shared" si="4"/>
        <v>3808928.5714285709</v>
      </c>
      <c r="U38" s="11" t="s">
        <v>995</v>
      </c>
      <c r="V38" s="4" t="s">
        <v>65</v>
      </c>
      <c r="W38" s="4" t="s">
        <v>22</v>
      </c>
      <c r="X38" s="4" t="s">
        <v>23</v>
      </c>
      <c r="Y38" s="65" t="s">
        <v>17</v>
      </c>
      <c r="Z38" s="4" t="s">
        <v>24</v>
      </c>
      <c r="AA38" s="4" t="s">
        <v>17</v>
      </c>
      <c r="AB38" s="4" t="s">
        <v>24</v>
      </c>
      <c r="AC38" s="4" t="s">
        <v>17</v>
      </c>
      <c r="AD38" s="4" t="s">
        <v>24</v>
      </c>
      <c r="AE38" s="4" t="s">
        <v>24</v>
      </c>
      <c r="AF38" s="4" t="s">
        <v>24</v>
      </c>
      <c r="AG38" s="4" t="s">
        <v>24</v>
      </c>
      <c r="AH38" s="4" t="s">
        <v>24</v>
      </c>
      <c r="AI38" s="4" t="s">
        <v>24</v>
      </c>
      <c r="AJ38" s="68" t="s">
        <v>192</v>
      </c>
      <c r="AK38" s="4" cm="1">
        <f t="array" ref="AK38">SUMPRODUCT((Y38:AI38&lt;&gt;"Pendiente")*(Y38:AI38&lt;&gt;""))</f>
        <v>11</v>
      </c>
      <c r="AL38" s="4">
        <f>COUNTA(Tabla2[[#This Row],[INVITACIÓN]:[ACTA DE INICIO]])</f>
        <v>11</v>
      </c>
      <c r="AM38" s="26">
        <f t="shared" si="7"/>
        <v>1</v>
      </c>
      <c r="AN38" s="47">
        <v>45652</v>
      </c>
      <c r="AO38" s="10">
        <v>45701</v>
      </c>
      <c r="AP38" s="10">
        <v>45689</v>
      </c>
      <c r="AQ38" s="10">
        <v>45692</v>
      </c>
      <c r="AR38" s="4" t="s">
        <v>996</v>
      </c>
      <c r="AS38" s="4" t="s">
        <v>997</v>
      </c>
      <c r="AT38" s="4" t="s">
        <v>998</v>
      </c>
      <c r="AU38" s="10">
        <v>45677</v>
      </c>
      <c r="AV38" s="10">
        <v>45677</v>
      </c>
      <c r="AW38" s="4" t="s">
        <v>999</v>
      </c>
      <c r="AX38" s="10">
        <v>45705</v>
      </c>
      <c r="AY38" s="10">
        <v>45693</v>
      </c>
      <c r="AZ38" s="10">
        <v>45693</v>
      </c>
      <c r="BA38" s="10">
        <v>45708</v>
      </c>
      <c r="BB38" s="10">
        <v>45708</v>
      </c>
      <c r="BC38" s="4" t="s">
        <v>976</v>
      </c>
      <c r="BD38" s="4">
        <f>COUNTA(Tabla2[[#This Row],[(1)SOLICITUD DE  APERTURA FIRNANCIERA Y PRESUPUESTO 1 (FECHA) ]:[(15) FECHA DE CONTRATACIÓN ADMINISTRATIVO]])</f>
        <v>15</v>
      </c>
      <c r="BE38" s="26">
        <f>Tabla2[[#This Row],[NUMERO OK]]/15</f>
        <v>1</v>
      </c>
      <c r="BF38" s="4" t="str">
        <f t="shared" ca="1" si="8"/>
        <v>Cumplido</v>
      </c>
      <c r="BG38" s="48"/>
      <c r="BO38" s="8"/>
    </row>
    <row r="39" spans="1:67" ht="85.5">
      <c r="A39" s="9">
        <v>2024</v>
      </c>
      <c r="B39" s="35" t="s">
        <v>832</v>
      </c>
      <c r="C39" s="4" t="s">
        <v>832</v>
      </c>
      <c r="D39" s="4" t="s">
        <v>123</v>
      </c>
      <c r="E39" s="35" t="s">
        <v>832</v>
      </c>
      <c r="F39" s="4" t="s">
        <v>17</v>
      </c>
      <c r="G39" s="10"/>
      <c r="H39" s="36">
        <v>45649</v>
      </c>
      <c r="I39" s="10">
        <v>45653</v>
      </c>
      <c r="J39" s="10">
        <v>45742</v>
      </c>
      <c r="K39" s="4" t="s">
        <v>1000</v>
      </c>
      <c r="L39" s="4" t="s">
        <v>18</v>
      </c>
      <c r="M39" s="4" t="str">
        <f t="shared" ca="1" si="6"/>
        <v>FINALIZADO</v>
      </c>
      <c r="N39" s="4" t="s">
        <v>93</v>
      </c>
      <c r="O39" s="163" t="s">
        <v>1001</v>
      </c>
      <c r="P39" s="4" t="s">
        <v>1002</v>
      </c>
      <c r="Q39" s="37">
        <v>259168000</v>
      </c>
      <c r="R39" s="37">
        <v>23140000</v>
      </c>
      <c r="S39" s="38">
        <f t="shared" si="5"/>
        <v>282308000</v>
      </c>
      <c r="T39" s="39">
        <f t="shared" si="4"/>
        <v>27767999.999999996</v>
      </c>
      <c r="U39" s="11" t="s">
        <v>1003</v>
      </c>
      <c r="V39" s="4" t="s">
        <v>39</v>
      </c>
      <c r="W39" s="4" t="s">
        <v>34</v>
      </c>
      <c r="X39" s="4" t="s">
        <v>93</v>
      </c>
      <c r="Y39" s="65" t="s">
        <v>17</v>
      </c>
      <c r="Z39" s="4" t="s">
        <v>17</v>
      </c>
      <c r="AA39" s="4" t="s">
        <v>24</v>
      </c>
      <c r="AB39" s="4" t="s">
        <v>24</v>
      </c>
      <c r="AC39" s="4" t="s">
        <v>17</v>
      </c>
      <c r="AD39" s="4" t="s">
        <v>24</v>
      </c>
      <c r="AE39" s="4" t="s">
        <v>24</v>
      </c>
      <c r="AF39" s="4" t="s">
        <v>24</v>
      </c>
      <c r="AG39" s="4" t="s">
        <v>24</v>
      </c>
      <c r="AH39" s="4" t="s">
        <v>24</v>
      </c>
      <c r="AI39" s="4" t="s">
        <v>24</v>
      </c>
      <c r="AJ39" s="68"/>
      <c r="AK39" s="4" cm="1">
        <f t="array" ref="AK39">SUMPRODUCT((Y39:AI39&lt;&gt;"Pendiente")*(Y39:AI39&lt;&gt;""))</f>
        <v>11</v>
      </c>
      <c r="AL39" s="4">
        <f>COUNTA(Tabla2[[#This Row],[INVITACIÓN]:[ACTA DE INICIO]])</f>
        <v>11</v>
      </c>
      <c r="AM39" s="26">
        <f t="shared" si="7"/>
        <v>1</v>
      </c>
      <c r="AN39" s="47"/>
      <c r="AP39" s="10"/>
      <c r="AQ39" s="10"/>
      <c r="AV39" s="10"/>
      <c r="BD39" s="4">
        <f>COUNTA(Tabla2[[#This Row],[(1)SOLICITUD DE  APERTURA FIRNANCIERA Y PRESUPUESTO 1 (FECHA) ]:[(15) FECHA DE CONTRATACIÓN ADMINISTRATIVO]])</f>
        <v>0</v>
      </c>
      <c r="BE39" s="26">
        <f>Tabla2[[#This Row],[NUMERO OK]]/15</f>
        <v>0</v>
      </c>
      <c r="BF39" s="4" t="str">
        <f t="shared" ca="1" si="8"/>
        <v>RiesgoAlto</v>
      </c>
      <c r="BG39" s="48"/>
      <c r="BO39" s="8"/>
    </row>
    <row r="40" spans="1:67" ht="85.5">
      <c r="A40" s="9">
        <v>2024</v>
      </c>
      <c r="B40" s="35"/>
      <c r="C40" s="4" t="s">
        <v>163</v>
      </c>
      <c r="D40" s="4" t="s">
        <v>131</v>
      </c>
      <c r="E40" s="35" t="s">
        <v>1004</v>
      </c>
      <c r="G40" s="10"/>
      <c r="H40" s="36">
        <v>45650</v>
      </c>
      <c r="I40" s="10">
        <v>45712</v>
      </c>
      <c r="J40" s="10">
        <v>46014</v>
      </c>
      <c r="K40" s="4" t="s">
        <v>1005</v>
      </c>
      <c r="L40" s="4" t="s">
        <v>97</v>
      </c>
      <c r="M40" s="4" t="str">
        <f t="shared" ca="1" si="6"/>
        <v>EN EJECUCIÓN</v>
      </c>
      <c r="N40" s="4" t="s">
        <v>93</v>
      </c>
      <c r="O40" s="6" t="s">
        <v>1006</v>
      </c>
      <c r="P40" s="4" t="s">
        <v>1007</v>
      </c>
      <c r="Q40" s="37">
        <v>2827080133</v>
      </c>
      <c r="R40" s="37">
        <v>0</v>
      </c>
      <c r="S40" s="38">
        <f t="shared" si="5"/>
        <v>2827080133</v>
      </c>
      <c r="T40" s="39">
        <f t="shared" si="4"/>
        <v>302901442.82142854</v>
      </c>
      <c r="U40" s="11" t="s">
        <v>1008</v>
      </c>
      <c r="V40" s="4" t="s">
        <v>89</v>
      </c>
      <c r="W40" s="4" t="s">
        <v>22</v>
      </c>
      <c r="X40" s="4" t="s">
        <v>23</v>
      </c>
      <c r="Y40" s="65" t="s">
        <v>934</v>
      </c>
      <c r="Z40" s="4" t="s">
        <v>24</v>
      </c>
      <c r="AA40" s="4" t="s">
        <v>24</v>
      </c>
      <c r="AB40" s="4" t="s">
        <v>24</v>
      </c>
      <c r="AC40" s="4" t="s">
        <v>17</v>
      </c>
      <c r="AD40" s="4" t="s">
        <v>24</v>
      </c>
      <c r="AE40" s="4" t="s">
        <v>24</v>
      </c>
      <c r="AF40" s="4" t="s">
        <v>24</v>
      </c>
      <c r="AG40" s="4" t="s">
        <v>24</v>
      </c>
      <c r="AH40" s="4" t="s">
        <v>24</v>
      </c>
      <c r="AI40" s="4" t="s">
        <v>24</v>
      </c>
      <c r="AJ40" s="68" t="s">
        <v>1009</v>
      </c>
      <c r="AK40" s="4" cm="1">
        <f t="array" ref="AK40">SUMPRODUCT((Y40:AI40&lt;&gt;"Pendiente")*(Y40:AI40&lt;&gt;""))</f>
        <v>11</v>
      </c>
      <c r="AL40" s="4">
        <f>COUNTA(Tabla2[[#This Row],[INVITACIÓN]:[ACTA DE INICIO]])</f>
        <v>11</v>
      </c>
      <c r="AM40" s="26">
        <f t="shared" si="7"/>
        <v>1</v>
      </c>
      <c r="AN40" s="47">
        <v>45666</v>
      </c>
      <c r="AO40" s="10">
        <v>45701</v>
      </c>
      <c r="AP40" s="10">
        <v>45720</v>
      </c>
      <c r="AQ40" s="10"/>
      <c r="AR40" s="43" t="s">
        <v>1010</v>
      </c>
      <c r="AS40" s="4" t="s">
        <v>1011</v>
      </c>
      <c r="AT40" s="43" t="s">
        <v>1012</v>
      </c>
      <c r="AU40" s="10">
        <v>45681</v>
      </c>
      <c r="AV40" s="10">
        <v>45695</v>
      </c>
      <c r="AW40" s="163" t="s">
        <v>1013</v>
      </c>
      <c r="BC40" s="4" t="s">
        <v>976</v>
      </c>
      <c r="BD40" s="4">
        <f>COUNTA(Tabla2[[#This Row],[(1)SOLICITUD DE  APERTURA FIRNANCIERA Y PRESUPUESTO 1 (FECHA) ]:[(15) FECHA DE CONTRATACIÓN ADMINISTRATIVO]])</f>
        <v>9</v>
      </c>
      <c r="BE40" s="26">
        <f>Tabla2[[#This Row],[NUMERO OK]]/15</f>
        <v>0.6</v>
      </c>
      <c r="BF40" s="4" t="str">
        <f t="shared" ca="1" si="8"/>
        <v>RiesgoAlto</v>
      </c>
      <c r="BG40" s="48" t="s">
        <v>37</v>
      </c>
      <c r="BO40" s="8"/>
    </row>
    <row r="41" spans="1:67" ht="114">
      <c r="A41" s="9">
        <v>2024</v>
      </c>
      <c r="B41" s="35"/>
      <c r="C41" s="4" t="s">
        <v>167</v>
      </c>
      <c r="D41" s="4" t="s">
        <v>127</v>
      </c>
      <c r="E41" s="35" t="s">
        <v>1004</v>
      </c>
      <c r="G41" s="10"/>
      <c r="H41" s="36">
        <v>45652</v>
      </c>
      <c r="I41" s="10">
        <v>45691</v>
      </c>
      <c r="J41" s="10">
        <v>45932</v>
      </c>
      <c r="K41" s="4" t="s">
        <v>1014</v>
      </c>
      <c r="L41" s="4" t="s">
        <v>97</v>
      </c>
      <c r="M41" s="4" t="str">
        <f t="shared" ca="1" si="6"/>
        <v>EN EJECUCIÓN</v>
      </c>
      <c r="N41" s="4" t="s">
        <v>99</v>
      </c>
      <c r="O41" s="6" t="s">
        <v>1006</v>
      </c>
      <c r="P41" s="4" t="s">
        <v>1015</v>
      </c>
      <c r="Q41" s="37">
        <v>2438185998</v>
      </c>
      <c r="R41" s="37">
        <v>0</v>
      </c>
      <c r="S41" s="38">
        <f t="shared" si="5"/>
        <v>2438185998</v>
      </c>
      <c r="T41" s="39">
        <f t="shared" si="4"/>
        <v>261234214.07142854</v>
      </c>
      <c r="U41" s="11" t="s">
        <v>1016</v>
      </c>
      <c r="V41" s="4" t="s">
        <v>78</v>
      </c>
      <c r="W41" s="4" t="s">
        <v>22</v>
      </c>
      <c r="X41" s="4" t="s">
        <v>23</v>
      </c>
      <c r="Y41" s="65" t="s">
        <v>17</v>
      </c>
      <c r="Z41" s="4" t="s">
        <v>24</v>
      </c>
      <c r="AA41" s="4" t="s">
        <v>24</v>
      </c>
      <c r="AB41" s="4" t="s">
        <v>24</v>
      </c>
      <c r="AC41" s="4" t="s">
        <v>17</v>
      </c>
      <c r="AD41" s="4" t="s">
        <v>24</v>
      </c>
      <c r="AE41" s="4" t="s">
        <v>24</v>
      </c>
      <c r="AF41" s="4" t="s">
        <v>24</v>
      </c>
      <c r="AG41" s="4" t="s">
        <v>24</v>
      </c>
      <c r="AH41" s="4" t="s">
        <v>24</v>
      </c>
      <c r="AI41" s="4" t="s">
        <v>24</v>
      </c>
      <c r="AJ41" s="8" t="s">
        <v>1009</v>
      </c>
      <c r="AK41" s="4" cm="1">
        <f t="array" ref="AK41">SUMPRODUCT((Y41:AI41&lt;&gt;"Pendiente")*(Y41:AI41&lt;&gt;""))</f>
        <v>11</v>
      </c>
      <c r="AL41" s="4">
        <f>COUNTA(Tabla2[[#This Row],[INVITACIÓN]:[ACTA DE INICIO]])</f>
        <v>11</v>
      </c>
      <c r="AM41" s="26">
        <f t="shared" si="7"/>
        <v>1</v>
      </c>
      <c r="AN41" s="47">
        <v>45667</v>
      </c>
      <c r="AO41" s="10">
        <v>45701</v>
      </c>
      <c r="AP41" s="10">
        <v>45715</v>
      </c>
      <c r="AQ41" s="10">
        <v>45705</v>
      </c>
      <c r="AR41" s="4" t="s">
        <v>1017</v>
      </c>
      <c r="AS41" s="4" t="s">
        <v>1018</v>
      </c>
      <c r="AT41" s="4" t="s">
        <v>1019</v>
      </c>
      <c r="AU41" s="10">
        <v>45693</v>
      </c>
      <c r="AV41" s="10">
        <v>45695</v>
      </c>
      <c r="AW41" s="4" t="s">
        <v>1020</v>
      </c>
      <c r="AX41" s="10">
        <v>45719</v>
      </c>
      <c r="AY41" s="10">
        <v>45733</v>
      </c>
      <c r="AZ41" s="10">
        <v>45736</v>
      </c>
      <c r="BA41" s="10">
        <v>45736</v>
      </c>
      <c r="BB41" s="10">
        <v>45736</v>
      </c>
      <c r="BC41" s="4" t="s">
        <v>1021</v>
      </c>
      <c r="BD41" s="4">
        <f>COUNTA(Tabla2[[#This Row],[(1)SOLICITUD DE  APERTURA FIRNANCIERA Y PRESUPUESTO 1 (FECHA) ]:[(15) FECHA DE CONTRATACIÓN ADMINISTRATIVO]])</f>
        <v>15</v>
      </c>
      <c r="BE41" s="26">
        <f>Tabla2[[#This Row],[NUMERO OK]]/15</f>
        <v>1</v>
      </c>
      <c r="BF41" s="4" t="str">
        <f t="shared" ca="1" si="8"/>
        <v>Cumplido</v>
      </c>
      <c r="BG41" s="48" t="s">
        <v>25</v>
      </c>
      <c r="BO41" s="8"/>
    </row>
    <row r="42" spans="1:67" ht="71.25">
      <c r="A42" s="9">
        <v>2024</v>
      </c>
      <c r="B42" s="35"/>
      <c r="C42" s="4" t="s">
        <v>166</v>
      </c>
      <c r="D42" s="4" t="s">
        <v>135</v>
      </c>
      <c r="E42" s="35" t="s">
        <v>958</v>
      </c>
      <c r="G42" s="10"/>
      <c r="H42" s="36">
        <v>45652</v>
      </c>
      <c r="I42" s="10">
        <v>45698</v>
      </c>
      <c r="J42" s="10">
        <v>45970</v>
      </c>
      <c r="K42" s="4" t="s">
        <v>1022</v>
      </c>
      <c r="L42" s="4" t="s">
        <v>97</v>
      </c>
      <c r="M42" s="4" t="str">
        <f t="shared" ca="1" si="6"/>
        <v>EN EJECUCIÓN</v>
      </c>
      <c r="N42" s="4" t="s">
        <v>54</v>
      </c>
      <c r="O42" s="6" t="s">
        <v>1023</v>
      </c>
      <c r="P42" s="4" t="s">
        <v>1024</v>
      </c>
      <c r="Q42" s="37">
        <v>1150000000</v>
      </c>
      <c r="R42" s="37">
        <v>0</v>
      </c>
      <c r="S42" s="38">
        <f t="shared" si="5"/>
        <v>1150000000</v>
      </c>
      <c r="T42" s="39">
        <f t="shared" si="4"/>
        <v>123214285.7142857</v>
      </c>
      <c r="U42" s="11" t="s">
        <v>1025</v>
      </c>
      <c r="V42" s="4" t="s">
        <v>84</v>
      </c>
      <c r="W42" s="4" t="s">
        <v>22</v>
      </c>
      <c r="X42" s="4" t="s">
        <v>23</v>
      </c>
      <c r="Y42" s="65" t="s">
        <v>24</v>
      </c>
      <c r="Z42" s="4" t="s">
        <v>24</v>
      </c>
      <c r="AA42" s="4" t="s">
        <v>24</v>
      </c>
      <c r="AB42" s="4" t="s">
        <v>24</v>
      </c>
      <c r="AC42" s="4" t="s">
        <v>17</v>
      </c>
      <c r="AD42" s="4" t="s">
        <v>24</v>
      </c>
      <c r="AE42" s="4" t="s">
        <v>24</v>
      </c>
      <c r="AF42" s="4" t="s">
        <v>24</v>
      </c>
      <c r="AG42" s="4" t="s">
        <v>24</v>
      </c>
      <c r="AH42" s="4" t="s">
        <v>24</v>
      </c>
      <c r="AI42" s="4" t="s">
        <v>24</v>
      </c>
      <c r="AJ42" s="68" t="s">
        <v>981</v>
      </c>
      <c r="AK42" s="4" cm="1">
        <f t="array" ref="AK42">SUMPRODUCT((Y42:AI42&lt;&gt;"Pendiente")*(Y42:AI42&lt;&gt;""))</f>
        <v>11</v>
      </c>
      <c r="AL42" s="4">
        <f>COUNTA(Tabla2[[#This Row],[INVITACIÓN]:[ACTA DE INICIO]])</f>
        <v>11</v>
      </c>
      <c r="AM42" s="26">
        <f t="shared" si="7"/>
        <v>1</v>
      </c>
      <c r="AN42" s="47">
        <v>45666</v>
      </c>
      <c r="AO42" s="10">
        <v>45693</v>
      </c>
      <c r="AP42" s="10">
        <v>45722</v>
      </c>
      <c r="AQ42" s="10">
        <v>45705</v>
      </c>
      <c r="AR42" s="4" t="s">
        <v>1026</v>
      </c>
      <c r="AS42" s="4" t="s">
        <v>1027</v>
      </c>
      <c r="AT42" s="4" t="s">
        <v>1028</v>
      </c>
      <c r="AU42" s="10">
        <v>45687</v>
      </c>
      <c r="AV42" s="10">
        <v>45692</v>
      </c>
      <c r="AW42" s="4" t="s">
        <v>1029</v>
      </c>
      <c r="AX42" s="10">
        <v>45721</v>
      </c>
      <c r="AY42" s="10">
        <v>45356</v>
      </c>
      <c r="AZ42" s="10">
        <v>45356</v>
      </c>
      <c r="BA42" s="60">
        <v>45741</v>
      </c>
      <c r="BB42" s="60">
        <v>45741</v>
      </c>
      <c r="BC42" s="4" t="s">
        <v>976</v>
      </c>
      <c r="BD42" s="4">
        <f>COUNTA(Tabla2[[#This Row],[(1)SOLICITUD DE  APERTURA FIRNANCIERA Y PRESUPUESTO 1 (FECHA) ]:[(15) FECHA DE CONTRATACIÓN ADMINISTRATIVO]])</f>
        <v>15</v>
      </c>
      <c r="BE42" s="26">
        <f>Tabla2[[#This Row],[NUMERO OK]]/15</f>
        <v>1</v>
      </c>
      <c r="BF42" s="4" t="str">
        <f t="shared" ca="1" si="8"/>
        <v>Cumplido</v>
      </c>
      <c r="BG42" s="48"/>
      <c r="BO42" s="8"/>
    </row>
    <row r="43" spans="1:67" ht="57">
      <c r="A43" s="9">
        <v>2024</v>
      </c>
      <c r="B43" s="35"/>
      <c r="C43" s="4" t="s">
        <v>167</v>
      </c>
      <c r="D43" s="4" t="s">
        <v>135</v>
      </c>
      <c r="E43" s="35" t="s">
        <v>958</v>
      </c>
      <c r="G43" s="10"/>
      <c r="H43" s="36">
        <v>45652</v>
      </c>
      <c r="I43" s="10">
        <v>45693</v>
      </c>
      <c r="J43" s="10">
        <v>45995</v>
      </c>
      <c r="K43" s="4" t="s">
        <v>1030</v>
      </c>
      <c r="L43" s="4" t="s">
        <v>97</v>
      </c>
      <c r="M43" s="4" t="str">
        <f t="shared" ca="1" si="6"/>
        <v>EN EJECUCIÓN</v>
      </c>
      <c r="N43" s="4" t="s">
        <v>54</v>
      </c>
      <c r="O43" s="6" t="s">
        <v>1023</v>
      </c>
      <c r="P43" s="4" t="s">
        <v>1031</v>
      </c>
      <c r="Q43" s="37">
        <v>2400000000</v>
      </c>
      <c r="R43" s="37">
        <v>0</v>
      </c>
      <c r="S43" s="38">
        <f t="shared" si="5"/>
        <v>2400000000</v>
      </c>
      <c r="T43" s="39">
        <f t="shared" si="4"/>
        <v>257142857.1428571</v>
      </c>
      <c r="U43" s="11" t="s">
        <v>1032</v>
      </c>
      <c r="V43" s="4" t="s">
        <v>89</v>
      </c>
      <c r="W43" s="4" t="s">
        <v>22</v>
      </c>
      <c r="X43" s="4" t="s">
        <v>23</v>
      </c>
      <c r="Y43" s="65" t="s">
        <v>24</v>
      </c>
      <c r="Z43" s="4" t="s">
        <v>24</v>
      </c>
      <c r="AA43" s="4" t="s">
        <v>24</v>
      </c>
      <c r="AB43" s="4" t="s">
        <v>24</v>
      </c>
      <c r="AC43" s="4" t="s">
        <v>17</v>
      </c>
      <c r="AD43" s="4" t="s">
        <v>24</v>
      </c>
      <c r="AE43" s="4" t="s">
        <v>24</v>
      </c>
      <c r="AF43" s="4" t="s">
        <v>24</v>
      </c>
      <c r="AG43" s="4" t="s">
        <v>24</v>
      </c>
      <c r="AH43" s="4" t="s">
        <v>24</v>
      </c>
      <c r="AI43" s="4" t="s">
        <v>24</v>
      </c>
      <c r="AJ43" s="68" t="s">
        <v>981</v>
      </c>
      <c r="AK43" s="4" cm="1">
        <f t="array" ref="AK43">SUMPRODUCT((Y43:AI43&lt;&gt;"Pendiente")*(Y43:AI43&lt;&gt;""))</f>
        <v>11</v>
      </c>
      <c r="AL43" s="4">
        <f>COUNTA(Tabla2[[#This Row],[INVITACIÓN]:[ACTA DE INICIO]])</f>
        <v>11</v>
      </c>
      <c r="AM43" s="26">
        <f t="shared" si="7"/>
        <v>1</v>
      </c>
      <c r="AN43" s="47">
        <v>45667</v>
      </c>
      <c r="AO43" s="10">
        <v>45693</v>
      </c>
      <c r="AP43" s="10">
        <v>45715</v>
      </c>
      <c r="AQ43" s="10">
        <v>45705</v>
      </c>
      <c r="AR43" s="4" t="s">
        <v>1033</v>
      </c>
      <c r="AS43" s="4" t="s">
        <v>1034</v>
      </c>
      <c r="AT43" s="4" t="s">
        <v>1035</v>
      </c>
      <c r="AU43" s="10">
        <v>45681</v>
      </c>
      <c r="AV43" s="10">
        <v>45692</v>
      </c>
      <c r="AW43" s="4" t="s">
        <v>1036</v>
      </c>
      <c r="AX43" s="10">
        <v>45721</v>
      </c>
      <c r="AY43" s="10">
        <v>45356</v>
      </c>
      <c r="AZ43" s="10">
        <v>45356</v>
      </c>
      <c r="BA43" s="59">
        <v>45362</v>
      </c>
      <c r="BB43" s="59">
        <v>45362</v>
      </c>
      <c r="BC43" s="4" t="s">
        <v>976</v>
      </c>
      <c r="BD43" s="4">
        <f>COUNTA(Tabla2[[#This Row],[(1)SOLICITUD DE  APERTURA FIRNANCIERA Y PRESUPUESTO 1 (FECHA) ]:[(15) FECHA DE CONTRATACIÓN ADMINISTRATIVO]])</f>
        <v>15</v>
      </c>
      <c r="BE43" s="26">
        <f>Tabla2[[#This Row],[NUMERO OK]]/15</f>
        <v>1</v>
      </c>
      <c r="BF43" s="4" t="str">
        <f t="shared" ca="1" si="8"/>
        <v>Cumplido</v>
      </c>
      <c r="BG43" s="48"/>
      <c r="BO43" s="8"/>
    </row>
    <row r="44" spans="1:67" ht="102" customHeight="1">
      <c r="A44" s="9">
        <v>2024</v>
      </c>
      <c r="B44" s="35"/>
      <c r="C44" s="4" t="s">
        <v>166</v>
      </c>
      <c r="D44" s="4" t="s">
        <v>135</v>
      </c>
      <c r="E44" s="35" t="s">
        <v>104</v>
      </c>
      <c r="G44" s="10"/>
      <c r="H44" s="36">
        <v>45653</v>
      </c>
      <c r="I44" s="10">
        <v>45701</v>
      </c>
      <c r="J44" s="10">
        <v>45912</v>
      </c>
      <c r="K44" s="4" t="s">
        <v>1037</v>
      </c>
      <c r="L44" s="4" t="s">
        <v>97</v>
      </c>
      <c r="M44" s="4" t="str">
        <f t="shared" ca="1" si="6"/>
        <v>EN EJECUCIÓN</v>
      </c>
      <c r="N44" s="4" t="s">
        <v>99</v>
      </c>
      <c r="O44" s="6" t="s">
        <v>1038</v>
      </c>
      <c r="P44" s="4" t="s">
        <v>1039</v>
      </c>
      <c r="Q44" s="37">
        <v>1257683000</v>
      </c>
      <c r="R44" s="37">
        <v>0</v>
      </c>
      <c r="S44" s="38">
        <f t="shared" si="5"/>
        <v>1257683000</v>
      </c>
      <c r="T44" s="39">
        <f t="shared" si="4"/>
        <v>134751750</v>
      </c>
      <c r="U44" s="11" t="s">
        <v>1040</v>
      </c>
      <c r="V44" s="4" t="s">
        <v>72</v>
      </c>
      <c r="W44" s="4" t="s">
        <v>22</v>
      </c>
      <c r="X44" s="4" t="s">
        <v>23</v>
      </c>
      <c r="Y44" s="65" t="s">
        <v>17</v>
      </c>
      <c r="Z44" s="4" t="s">
        <v>24</v>
      </c>
      <c r="AA44" s="4" t="s">
        <v>24</v>
      </c>
      <c r="AB44" s="4" t="s">
        <v>934</v>
      </c>
      <c r="AC44" s="4" t="s">
        <v>17</v>
      </c>
      <c r="AD44" s="4" t="s">
        <v>24</v>
      </c>
      <c r="AE44" s="4" t="s">
        <v>24</v>
      </c>
      <c r="AF44" s="4" t="s">
        <v>24</v>
      </c>
      <c r="AG44" s="4" t="s">
        <v>24</v>
      </c>
      <c r="AH44" s="4" t="s">
        <v>24</v>
      </c>
      <c r="AI44" s="4" t="s">
        <v>24</v>
      </c>
      <c r="AJ44" s="68" t="s">
        <v>981</v>
      </c>
      <c r="AK44" s="4" cm="1">
        <f t="array" ref="AK44">SUMPRODUCT((Y44:AI44&lt;&gt;"Pendiente")*(Y44:AI44&lt;&gt;""))</f>
        <v>11</v>
      </c>
      <c r="AL44" s="4">
        <f>COUNTA(Tabla2[[#This Row],[INVITACIÓN]:[ACTA DE INICIO]])</f>
        <v>11</v>
      </c>
      <c r="AM44" s="26">
        <f t="shared" si="7"/>
        <v>1</v>
      </c>
      <c r="AN44" s="47">
        <v>45666</v>
      </c>
      <c r="AO44" s="10">
        <v>45701</v>
      </c>
      <c r="AP44" s="10">
        <v>45715</v>
      </c>
      <c r="AQ44" s="10">
        <v>45705</v>
      </c>
      <c r="AR44" s="4" t="s">
        <v>1041</v>
      </c>
      <c r="AS44" s="4" t="s">
        <v>1042</v>
      </c>
      <c r="AT44" s="4" t="s">
        <v>1043</v>
      </c>
      <c r="AU44" s="10">
        <v>45741</v>
      </c>
      <c r="AV44" s="10">
        <v>45741</v>
      </c>
      <c r="AW44" s="4" t="s">
        <v>1044</v>
      </c>
      <c r="AX44" s="10">
        <v>45722</v>
      </c>
      <c r="AY44" s="10">
        <v>45747</v>
      </c>
      <c r="AZ44" s="10"/>
      <c r="BA44" s="10"/>
      <c r="BC44" s="4" t="s">
        <v>976</v>
      </c>
      <c r="BD44" s="4">
        <f>COUNTA(Tabla2[[#This Row],[(1)SOLICITUD DE  APERTURA FIRNANCIERA Y PRESUPUESTO 1 (FECHA) ]:[(15) FECHA DE CONTRATACIÓN ADMINISTRATIVO]])</f>
        <v>12</v>
      </c>
      <c r="BE44" s="26">
        <f>Tabla2[[#This Row],[NUMERO OK]]/15</f>
        <v>0.8</v>
      </c>
      <c r="BF44" s="4" t="str">
        <f t="shared" ca="1" si="8"/>
        <v>RiesgoMedio</v>
      </c>
      <c r="BG44" s="48"/>
      <c r="BO44" s="8"/>
    </row>
    <row r="45" spans="1:67" ht="71.25">
      <c r="A45" s="9">
        <v>2024</v>
      </c>
      <c r="B45" s="35"/>
      <c r="C45" s="4" t="s">
        <v>168</v>
      </c>
      <c r="D45" s="4" t="s">
        <v>127</v>
      </c>
      <c r="E45" s="35" t="s">
        <v>104</v>
      </c>
      <c r="G45" s="10"/>
      <c r="H45" s="36">
        <v>45656</v>
      </c>
      <c r="I45" s="10">
        <v>45679</v>
      </c>
      <c r="J45" s="10">
        <v>45859</v>
      </c>
      <c r="K45" s="4" t="s">
        <v>1045</v>
      </c>
      <c r="L45" s="4" t="s">
        <v>97</v>
      </c>
      <c r="M45" s="4" t="str">
        <f t="shared" ca="1" si="6"/>
        <v>FINALIZADO</v>
      </c>
      <c r="N45" s="4" t="s">
        <v>93</v>
      </c>
      <c r="O45" s="6" t="s">
        <v>1046</v>
      </c>
      <c r="P45" s="4" t="s">
        <v>1047</v>
      </c>
      <c r="Q45" s="37">
        <v>2326000000</v>
      </c>
      <c r="R45" s="37">
        <v>0</v>
      </c>
      <c r="S45" s="38">
        <f t="shared" si="5"/>
        <v>2326000000</v>
      </c>
      <c r="T45" s="39">
        <f t="shared" si="4"/>
        <v>249214285.7142857</v>
      </c>
      <c r="U45" s="11" t="s">
        <v>1048</v>
      </c>
      <c r="V45" s="4" t="s">
        <v>65</v>
      </c>
      <c r="W45" s="4" t="s">
        <v>22</v>
      </c>
      <c r="X45" s="4" t="s">
        <v>23</v>
      </c>
      <c r="Y45" s="65" t="s">
        <v>17</v>
      </c>
      <c r="Z45" s="4" t="s">
        <v>24</v>
      </c>
      <c r="AA45" s="4" t="s">
        <v>17</v>
      </c>
      <c r="AB45" s="4" t="s">
        <v>192</v>
      </c>
      <c r="AC45" s="4" t="s">
        <v>17</v>
      </c>
      <c r="AD45" s="4" t="s">
        <v>24</v>
      </c>
      <c r="AE45" s="4" t="s">
        <v>24</v>
      </c>
      <c r="AF45" s="4" t="s">
        <v>24</v>
      </c>
      <c r="AG45" s="4" t="s">
        <v>24</v>
      </c>
      <c r="AH45" s="4" t="s">
        <v>24</v>
      </c>
      <c r="AI45" s="4" t="s">
        <v>24</v>
      </c>
      <c r="AJ45" s="68" t="s">
        <v>192</v>
      </c>
      <c r="AK45" s="4" cm="1">
        <f t="array" ref="AK45">SUMPRODUCT((Y45:AI45&lt;&gt;"Pendiente")*(Y45:AI45&lt;&gt;""))</f>
        <v>11</v>
      </c>
      <c r="AL45" s="4">
        <f>COUNTA(Tabla2[[#This Row],[INVITACIÓN]:[ACTA DE INICIO]])</f>
        <v>11</v>
      </c>
      <c r="AM45" s="26">
        <f t="shared" si="7"/>
        <v>1</v>
      </c>
      <c r="AN45" s="47">
        <v>45666</v>
      </c>
      <c r="AO45" s="10">
        <v>45667</v>
      </c>
      <c r="AP45" s="10">
        <v>45667</v>
      </c>
      <c r="AQ45" s="10">
        <v>45695</v>
      </c>
      <c r="AR45" s="4" t="s">
        <v>1049</v>
      </c>
      <c r="AS45" s="4" t="s">
        <v>1050</v>
      </c>
      <c r="AT45" s="4" t="s">
        <v>1051</v>
      </c>
      <c r="AU45" s="10">
        <v>45720</v>
      </c>
      <c r="AV45" s="10">
        <v>45720</v>
      </c>
      <c r="AW45" s="4" t="s">
        <v>1052</v>
      </c>
      <c r="AX45" s="10">
        <v>45707</v>
      </c>
      <c r="AY45" s="10">
        <v>45707</v>
      </c>
      <c r="AZ45" s="10">
        <v>45712</v>
      </c>
      <c r="BA45" s="10">
        <v>45719</v>
      </c>
      <c r="BB45" s="10">
        <v>45721</v>
      </c>
      <c r="BC45" s="4" t="s">
        <v>976</v>
      </c>
      <c r="BD45" s="4">
        <f>COUNTA(Tabla2[[#This Row],[(1)SOLICITUD DE  APERTURA FIRNANCIERA Y PRESUPUESTO 1 (FECHA) ]:[(15) FECHA DE CONTRATACIÓN ADMINISTRATIVO]])</f>
        <v>15</v>
      </c>
      <c r="BE45" s="26">
        <f>Tabla2[[#This Row],[NUMERO OK]]/15</f>
        <v>1</v>
      </c>
      <c r="BF45" s="4" t="str">
        <f t="shared" ca="1" si="8"/>
        <v>Cumplido</v>
      </c>
      <c r="BH45" s="9"/>
      <c r="BO45" s="8"/>
    </row>
    <row r="46" spans="1:67" ht="61.5" customHeight="1">
      <c r="A46" s="9">
        <v>2024</v>
      </c>
      <c r="B46" s="35"/>
      <c r="C46" s="4" t="s">
        <v>168</v>
      </c>
      <c r="D46" s="4" t="s">
        <v>135</v>
      </c>
      <c r="E46" s="35" t="s">
        <v>1004</v>
      </c>
      <c r="G46" s="10"/>
      <c r="H46" s="36">
        <v>45656</v>
      </c>
      <c r="I46" s="10">
        <v>45678</v>
      </c>
      <c r="J46" s="10">
        <v>45860</v>
      </c>
      <c r="K46" s="4" t="s">
        <v>1053</v>
      </c>
      <c r="L46" s="4" t="s">
        <v>97</v>
      </c>
      <c r="M46" s="4" t="str">
        <f t="shared" ca="1" si="6"/>
        <v>FINALIZADO</v>
      </c>
      <c r="N46" s="4" t="s">
        <v>93</v>
      </c>
      <c r="O46" s="6" t="s">
        <v>1054</v>
      </c>
      <c r="P46" s="4" t="s">
        <v>1055</v>
      </c>
      <c r="Q46" s="37">
        <v>455000000</v>
      </c>
      <c r="R46" s="37">
        <v>45000000</v>
      </c>
      <c r="S46" s="38">
        <f t="shared" si="5"/>
        <v>500000000</v>
      </c>
      <c r="T46" s="39">
        <f t="shared" si="4"/>
        <v>48749999.999999993</v>
      </c>
      <c r="U46" s="11" t="s">
        <v>1056</v>
      </c>
      <c r="V46" s="4" t="s">
        <v>65</v>
      </c>
      <c r="W46" s="4" t="s">
        <v>34</v>
      </c>
      <c r="X46" s="4" t="s">
        <v>23</v>
      </c>
      <c r="Y46" s="65" t="s">
        <v>17</v>
      </c>
      <c r="Z46" s="4" t="s">
        <v>24</v>
      </c>
      <c r="AA46" s="4" t="s">
        <v>24</v>
      </c>
      <c r="AB46" s="4" t="s">
        <v>192</v>
      </c>
      <c r="AC46" s="4" t="s">
        <v>17</v>
      </c>
      <c r="AD46" s="4" t="s">
        <v>24</v>
      </c>
      <c r="AE46" s="4" t="s">
        <v>24</v>
      </c>
      <c r="AF46" s="4" t="s">
        <v>24</v>
      </c>
      <c r="AG46" s="4" t="s">
        <v>24</v>
      </c>
      <c r="AH46" s="4" t="s">
        <v>24</v>
      </c>
      <c r="AI46" s="4" t="s">
        <v>24</v>
      </c>
      <c r="AJ46" s="68" t="s">
        <v>1057</v>
      </c>
      <c r="AK46" s="4" cm="1">
        <f t="array" ref="AK46">SUMPRODUCT((Y46:AI46&lt;&gt;"Pendiente")*(Y46:AI46&lt;&gt;""))</f>
        <v>11</v>
      </c>
      <c r="AL46" s="4">
        <f>COUNTA(Tabla2[[#This Row],[INVITACIÓN]:[ACTA DE INICIO]])</f>
        <v>11</v>
      </c>
      <c r="AM46" s="26">
        <f t="shared" si="7"/>
        <v>1</v>
      </c>
      <c r="AN46" s="47">
        <v>45666</v>
      </c>
      <c r="AO46" s="10">
        <v>45680</v>
      </c>
      <c r="AP46" s="10">
        <v>45670</v>
      </c>
      <c r="AQ46" s="10">
        <v>45687</v>
      </c>
      <c r="AR46" s="4" t="s">
        <v>1058</v>
      </c>
      <c r="AS46" s="4" t="s">
        <v>1059</v>
      </c>
      <c r="AT46" s="4" t="s">
        <v>1060</v>
      </c>
      <c r="AU46" s="10">
        <v>45674</v>
      </c>
      <c r="AV46" s="10">
        <v>45674</v>
      </c>
      <c r="AW46" s="4" t="s">
        <v>1061</v>
      </c>
      <c r="AX46" s="10">
        <v>45685</v>
      </c>
      <c r="AY46" s="10">
        <v>45688</v>
      </c>
      <c r="AZ46" s="10">
        <v>45688</v>
      </c>
      <c r="BA46" s="10">
        <v>45695</v>
      </c>
      <c r="BB46" s="10">
        <v>45695</v>
      </c>
      <c r="BC46" s="4" t="s">
        <v>976</v>
      </c>
      <c r="BD46" s="4">
        <f>COUNTA(Tabla2[[#This Row],[(1)SOLICITUD DE  APERTURA FIRNANCIERA Y PRESUPUESTO 1 (FECHA) ]:[(15) FECHA DE CONTRATACIÓN ADMINISTRATIVO]])</f>
        <v>15</v>
      </c>
      <c r="BE46" s="26">
        <f>Tabla2[[#This Row],[NUMERO OK]]/15</f>
        <v>1</v>
      </c>
      <c r="BF46" s="4" t="str">
        <f t="shared" ca="1" si="8"/>
        <v>Cumplido</v>
      </c>
      <c r="BH46" s="9"/>
      <c r="BO46" s="8"/>
    </row>
    <row r="47" spans="1:67" ht="71.25">
      <c r="A47" s="9">
        <v>2024</v>
      </c>
      <c r="B47" s="35"/>
      <c r="C47" s="4" t="s">
        <v>168</v>
      </c>
      <c r="D47" s="4" t="s">
        <v>135</v>
      </c>
      <c r="E47" s="35" t="s">
        <v>1004</v>
      </c>
      <c r="G47" s="10"/>
      <c r="H47" s="36">
        <v>45656</v>
      </c>
      <c r="I47" s="10">
        <v>45685</v>
      </c>
      <c r="J47" s="10">
        <v>45866</v>
      </c>
      <c r="K47" s="4" t="s">
        <v>1062</v>
      </c>
      <c r="L47" s="4" t="s">
        <v>97</v>
      </c>
      <c r="M47" s="4" t="str">
        <f t="shared" ca="1" si="6"/>
        <v>FINALIZADO</v>
      </c>
      <c r="N47" s="4" t="s">
        <v>54</v>
      </c>
      <c r="O47" s="6" t="s">
        <v>1063</v>
      </c>
      <c r="P47" s="4" t="s">
        <v>1064</v>
      </c>
      <c r="Q47" s="37">
        <v>2206796261</v>
      </c>
      <c r="R47" s="37">
        <v>220000000</v>
      </c>
      <c r="S47" s="38">
        <f t="shared" si="5"/>
        <v>2426796261</v>
      </c>
      <c r="T47" s="39">
        <f t="shared" si="4"/>
        <v>236442456.53571427</v>
      </c>
      <c r="U47" s="11" t="s">
        <v>1065</v>
      </c>
      <c r="W47" s="4" t="s">
        <v>34</v>
      </c>
      <c r="X47" s="4" t="s">
        <v>23</v>
      </c>
      <c r="Y47" s="65" t="s">
        <v>17</v>
      </c>
      <c r="Z47" s="4" t="s">
        <v>24</v>
      </c>
      <c r="AA47" s="4" t="s">
        <v>24</v>
      </c>
      <c r="AB47" s="4" t="s">
        <v>192</v>
      </c>
      <c r="AC47" s="4" t="s">
        <v>17</v>
      </c>
      <c r="AD47" s="4" t="s">
        <v>24</v>
      </c>
      <c r="AE47" s="4" t="s">
        <v>24</v>
      </c>
      <c r="AF47" s="4" t="s">
        <v>24</v>
      </c>
      <c r="AG47" s="4" t="s">
        <v>24</v>
      </c>
      <c r="AH47" s="4" t="s">
        <v>24</v>
      </c>
      <c r="AI47" s="4" t="s">
        <v>24</v>
      </c>
      <c r="AJ47" s="68" t="s">
        <v>1009</v>
      </c>
      <c r="AK47" s="4" cm="1">
        <f t="array" ref="AK47">SUMPRODUCT((Y47:AI47&lt;&gt;"Pendiente")*(Y47:AI47&lt;&gt;""))</f>
        <v>11</v>
      </c>
      <c r="AL47" s="4">
        <f>COUNTA(Tabla2[[#This Row],[INVITACIÓN]:[ACTA DE INICIO]])</f>
        <v>11</v>
      </c>
      <c r="AM47" s="26">
        <f t="shared" si="7"/>
        <v>1</v>
      </c>
      <c r="AN47" s="47">
        <v>45666</v>
      </c>
      <c r="AO47" s="10">
        <v>45680</v>
      </c>
      <c r="AP47" s="10">
        <v>45670</v>
      </c>
      <c r="AQ47" s="10">
        <v>45709</v>
      </c>
      <c r="AR47" s="10" t="s">
        <v>1066</v>
      </c>
      <c r="AS47" s="10" t="s">
        <v>1067</v>
      </c>
      <c r="AT47" s="10" t="s">
        <v>1068</v>
      </c>
      <c r="AU47" s="10">
        <v>45674</v>
      </c>
      <c r="AV47" s="10">
        <v>45674</v>
      </c>
      <c r="AW47" s="10" t="s">
        <v>1069</v>
      </c>
      <c r="AX47" s="10">
        <v>45686</v>
      </c>
      <c r="AY47" s="10">
        <v>45710</v>
      </c>
      <c r="AZ47" s="10">
        <v>45710</v>
      </c>
      <c r="BA47" s="10">
        <v>45713</v>
      </c>
      <c r="BB47" s="10">
        <v>45713</v>
      </c>
      <c r="BC47" s="4" t="s">
        <v>976</v>
      </c>
      <c r="BD47" s="4">
        <f>COUNTA(Tabla2[[#This Row],[(1)SOLICITUD DE  APERTURA FIRNANCIERA Y PRESUPUESTO 1 (FECHA) ]:[(15) FECHA DE CONTRATACIÓN ADMINISTRATIVO]])</f>
        <v>15</v>
      </c>
      <c r="BE47" s="26">
        <f>Tabla2[[#This Row],[NUMERO OK]]/15</f>
        <v>1</v>
      </c>
      <c r="BF47" s="4" t="str">
        <f t="shared" ca="1" si="8"/>
        <v>Cumplido</v>
      </c>
      <c r="BH47" s="9"/>
      <c r="BO47" s="8"/>
    </row>
    <row r="48" spans="1:67" ht="66" customHeight="1">
      <c r="A48" s="9">
        <v>2024</v>
      </c>
      <c r="B48" s="35"/>
      <c r="C48" s="4" t="s">
        <v>166</v>
      </c>
      <c r="D48" s="4" t="s">
        <v>123</v>
      </c>
      <c r="E48" s="35" t="s">
        <v>958</v>
      </c>
      <c r="F48" s="4" t="s">
        <v>38</v>
      </c>
      <c r="G48" s="10"/>
      <c r="H48" s="36">
        <v>45656</v>
      </c>
      <c r="I48" s="10">
        <v>45672</v>
      </c>
      <c r="J48" s="10">
        <v>45914</v>
      </c>
      <c r="K48" s="4" t="s">
        <v>1070</v>
      </c>
      <c r="L48" s="4" t="s">
        <v>97</v>
      </c>
      <c r="M48" s="4" t="str">
        <f t="shared" ca="1" si="6"/>
        <v>EN EJECUCIÓN</v>
      </c>
      <c r="N48" s="4" t="s">
        <v>93</v>
      </c>
      <c r="O48" s="6" t="s">
        <v>1071</v>
      </c>
      <c r="P48" s="4" t="s">
        <v>1072</v>
      </c>
      <c r="Q48" s="37">
        <v>1417150530</v>
      </c>
      <c r="R48" s="37">
        <v>160780281</v>
      </c>
      <c r="S48" s="38">
        <f t="shared" si="5"/>
        <v>1577930811</v>
      </c>
      <c r="T48" s="39">
        <f t="shared" si="4"/>
        <v>151837556.78571427</v>
      </c>
      <c r="U48" s="11" t="s">
        <v>1073</v>
      </c>
      <c r="V48" s="4" t="s">
        <v>78</v>
      </c>
      <c r="W48" s="4" t="s">
        <v>34</v>
      </c>
      <c r="X48" s="4" t="s">
        <v>23</v>
      </c>
      <c r="Y48" s="65" t="s">
        <v>24</v>
      </c>
      <c r="Z48" s="4" t="s">
        <v>24</v>
      </c>
      <c r="AA48" s="4" t="s">
        <v>24</v>
      </c>
      <c r="AB48" s="4" t="s">
        <v>192</v>
      </c>
      <c r="AC48" s="4" t="s">
        <v>17</v>
      </c>
      <c r="AD48" s="4" t="s">
        <v>24</v>
      </c>
      <c r="AE48" s="4" t="s">
        <v>24</v>
      </c>
      <c r="AF48" s="4" t="s">
        <v>24</v>
      </c>
      <c r="AG48" s="4" t="s">
        <v>24</v>
      </c>
      <c r="AH48" s="4" t="s">
        <v>24</v>
      </c>
      <c r="AI48" s="4" t="s">
        <v>24</v>
      </c>
      <c r="AJ48" s="68" t="s">
        <v>192</v>
      </c>
      <c r="AK48" s="4" cm="1">
        <f t="array" ref="AK48">SUMPRODUCT((Y48:AI48&lt;&gt;"Pendiente")*(Y48:AI48&lt;&gt;""))</f>
        <v>11</v>
      </c>
      <c r="AL48" s="4">
        <f>COUNTA(Tabla2[[#This Row],[INVITACIÓN]:[ACTA DE INICIO]])</f>
        <v>11</v>
      </c>
      <c r="AM48" s="26">
        <f t="shared" si="7"/>
        <v>1</v>
      </c>
      <c r="AN48" s="47">
        <v>45666</v>
      </c>
      <c r="AO48" s="10" t="s">
        <v>1074</v>
      </c>
      <c r="AP48" s="47">
        <v>45678</v>
      </c>
      <c r="AQ48" s="10">
        <v>45653</v>
      </c>
      <c r="AR48" s="4" t="s">
        <v>1075</v>
      </c>
      <c r="AS48" s="4" t="s">
        <v>1076</v>
      </c>
      <c r="AT48" s="4" t="s">
        <v>1077</v>
      </c>
      <c r="AU48" s="10">
        <v>45676</v>
      </c>
      <c r="AV48" s="10">
        <v>45677</v>
      </c>
      <c r="AW48" s="4" t="s">
        <v>1078</v>
      </c>
      <c r="AX48" s="4" t="s">
        <v>1074</v>
      </c>
      <c r="AY48" s="4" t="s">
        <v>1074</v>
      </c>
      <c r="AZ48" s="4" t="s">
        <v>1074</v>
      </c>
      <c r="BA48" s="10">
        <v>45685</v>
      </c>
      <c r="BB48" s="10">
        <v>45686</v>
      </c>
      <c r="BC48" s="10">
        <v>45698</v>
      </c>
      <c r="BD48" s="4">
        <f>COUNTA(Tabla2[[#This Row],[(1)SOLICITUD DE  APERTURA FIRNANCIERA Y PRESUPUESTO 1 (FECHA) ]:[(15) FECHA DE CONTRATACIÓN ADMINISTRATIVO]])</f>
        <v>15</v>
      </c>
      <c r="BE48" s="26">
        <f>Tabla2[[#This Row],[NUMERO OK]]/15</f>
        <v>1</v>
      </c>
      <c r="BF48" s="4" t="str">
        <f t="shared" ca="1" si="8"/>
        <v>Cumplido</v>
      </c>
      <c r="BH48" s="9"/>
      <c r="BJ48" s="10">
        <v>45736</v>
      </c>
      <c r="BO48" s="8"/>
    </row>
    <row r="49" spans="1:67" ht="114">
      <c r="A49" s="9">
        <v>2024</v>
      </c>
      <c r="B49" s="35"/>
      <c r="C49" s="4" t="s">
        <v>168</v>
      </c>
      <c r="D49" s="4" t="s">
        <v>139</v>
      </c>
      <c r="E49" s="35" t="s">
        <v>958</v>
      </c>
      <c r="F49" s="4" t="s">
        <v>14</v>
      </c>
      <c r="G49" s="10"/>
      <c r="H49" s="36">
        <v>45656</v>
      </c>
      <c r="I49" s="10">
        <v>45714</v>
      </c>
      <c r="J49" s="10">
        <v>45986</v>
      </c>
      <c r="K49" s="4" t="s">
        <v>1079</v>
      </c>
      <c r="L49" s="4" t="s">
        <v>97</v>
      </c>
      <c r="M49" s="4" t="str">
        <f t="shared" ca="1" si="6"/>
        <v>EN EJECUCIÓN</v>
      </c>
      <c r="N49" s="4" t="s">
        <v>93</v>
      </c>
      <c r="O49" s="6" t="s">
        <v>1023</v>
      </c>
      <c r="P49" s="4" t="s">
        <v>1080</v>
      </c>
      <c r="Q49" s="40">
        <v>1711670240</v>
      </c>
      <c r="R49" s="40">
        <v>0</v>
      </c>
      <c r="S49" s="38">
        <f t="shared" si="5"/>
        <v>1711670240</v>
      </c>
      <c r="T49" s="39">
        <f t="shared" si="4"/>
        <v>183393239.99999997</v>
      </c>
      <c r="U49" s="11" t="s">
        <v>1081</v>
      </c>
      <c r="V49" s="4" t="s">
        <v>84</v>
      </c>
      <c r="W49" s="4" t="s">
        <v>22</v>
      </c>
      <c r="X49" s="4" t="s">
        <v>23</v>
      </c>
      <c r="Y49" s="65" t="s">
        <v>24</v>
      </c>
      <c r="Z49" s="4" t="s">
        <v>24</v>
      </c>
      <c r="AA49" s="4" t="s">
        <v>24</v>
      </c>
      <c r="AB49" s="4" t="s">
        <v>192</v>
      </c>
      <c r="AC49" s="4" t="s">
        <v>17</v>
      </c>
      <c r="AD49" s="4" t="s">
        <v>24</v>
      </c>
      <c r="AE49" s="4" t="s">
        <v>24</v>
      </c>
      <c r="AF49" s="4" t="s">
        <v>24</v>
      </c>
      <c r="AG49" s="4" t="s">
        <v>24</v>
      </c>
      <c r="AH49" s="4" t="s">
        <v>24</v>
      </c>
      <c r="AI49" s="4" t="s">
        <v>24</v>
      </c>
      <c r="AJ49" s="68" t="s">
        <v>192</v>
      </c>
      <c r="AK49" s="4" cm="1">
        <f t="array" ref="AK49">SUMPRODUCT((Y49:AI49&lt;&gt;"Pendiente")*(Y49:AI49&lt;&gt;""))</f>
        <v>11</v>
      </c>
      <c r="AL49" s="4">
        <f>COUNTA(Tabla2[[#This Row],[INVITACIÓN]:[ACTA DE INICIO]])</f>
        <v>11</v>
      </c>
      <c r="AM49" s="26">
        <f t="shared" si="7"/>
        <v>1</v>
      </c>
      <c r="AN49" s="47">
        <v>45666</v>
      </c>
      <c r="AO49" s="10">
        <v>45693</v>
      </c>
      <c r="AP49" s="10">
        <v>45723</v>
      </c>
      <c r="AQ49" s="10">
        <v>45705</v>
      </c>
      <c r="AR49" s="4" t="s">
        <v>1082</v>
      </c>
      <c r="AS49" s="4" t="s">
        <v>1083</v>
      </c>
      <c r="AT49" s="4" t="s">
        <v>1084</v>
      </c>
      <c r="AU49" s="10">
        <v>45713</v>
      </c>
      <c r="AV49" s="50">
        <v>45713</v>
      </c>
      <c r="AW49" s="51" t="s">
        <v>1085</v>
      </c>
      <c r="AX49" s="50">
        <v>45726</v>
      </c>
      <c r="AY49" s="50">
        <v>45726</v>
      </c>
      <c r="AZ49" s="10">
        <v>45726</v>
      </c>
      <c r="BA49" s="60">
        <v>45735</v>
      </c>
      <c r="BB49" s="60">
        <v>45735</v>
      </c>
      <c r="BC49" s="59">
        <v>45742</v>
      </c>
      <c r="BD49" s="4">
        <f>COUNTA(Tabla2[[#This Row],[(1)SOLICITUD DE  APERTURA FIRNANCIERA Y PRESUPUESTO 1 (FECHA) ]:[(15) FECHA DE CONTRATACIÓN ADMINISTRATIVO]])</f>
        <v>15</v>
      </c>
      <c r="BE49" s="26">
        <f>Tabla2[[#This Row],[NUMERO OK]]/15</f>
        <v>1</v>
      </c>
      <c r="BF49" s="4" t="str">
        <f t="shared" ca="1" si="8"/>
        <v>Cumplido</v>
      </c>
      <c r="BH49" s="9"/>
      <c r="BO49" s="8"/>
    </row>
    <row r="50" spans="1:67" ht="99" customHeight="1">
      <c r="A50" s="9">
        <v>2024</v>
      </c>
      <c r="B50" s="35"/>
      <c r="C50" s="4" t="s">
        <v>166</v>
      </c>
      <c r="D50" s="4" t="s">
        <v>131</v>
      </c>
      <c r="E50" s="35" t="s">
        <v>958</v>
      </c>
      <c r="G50" s="10"/>
      <c r="H50" s="36">
        <v>45656</v>
      </c>
      <c r="I50" s="10">
        <v>45712</v>
      </c>
      <c r="J50" s="10">
        <v>46014</v>
      </c>
      <c r="K50" s="4" t="s">
        <v>1086</v>
      </c>
      <c r="L50" s="4" t="s">
        <v>97</v>
      </c>
      <c r="M50" s="4" t="str">
        <f t="shared" ca="1" si="6"/>
        <v>EN EJECUCIÓN</v>
      </c>
      <c r="N50" s="4" t="s">
        <v>99</v>
      </c>
      <c r="O50" s="6" t="s">
        <v>1023</v>
      </c>
      <c r="P50" s="4" t="s">
        <v>1087</v>
      </c>
      <c r="Q50" s="37">
        <v>3710855946</v>
      </c>
      <c r="R50" s="37">
        <v>0</v>
      </c>
      <c r="S50" s="38">
        <f t="shared" si="5"/>
        <v>3710855946</v>
      </c>
      <c r="T50" s="39">
        <f t="shared" si="4"/>
        <v>397591708.49999994</v>
      </c>
      <c r="U50" s="11" t="s">
        <v>1088</v>
      </c>
      <c r="V50" s="4" t="s">
        <v>89</v>
      </c>
      <c r="W50" s="4" t="s">
        <v>22</v>
      </c>
      <c r="X50" s="4" t="s">
        <v>23</v>
      </c>
      <c r="Y50" s="65" t="s">
        <v>24</v>
      </c>
      <c r="Z50" s="4" t="s">
        <v>24</v>
      </c>
      <c r="AA50" s="4" t="s">
        <v>24</v>
      </c>
      <c r="AB50" s="4" t="s">
        <v>24</v>
      </c>
      <c r="AC50" s="4" t="s">
        <v>17</v>
      </c>
      <c r="AD50" s="4" t="s">
        <v>24</v>
      </c>
      <c r="AE50" s="4" t="s">
        <v>24</v>
      </c>
      <c r="AF50" s="4" t="s">
        <v>24</v>
      </c>
      <c r="AG50" s="4" t="s">
        <v>24</v>
      </c>
      <c r="AH50" s="4" t="s">
        <v>24</v>
      </c>
      <c r="AI50" s="4" t="s">
        <v>24</v>
      </c>
      <c r="AJ50" s="68" t="s">
        <v>1089</v>
      </c>
      <c r="AK50" s="4" cm="1">
        <f t="array" ref="AK50">SUMPRODUCT((Y50:AI50&lt;&gt;"Pendiente")*(Y50:AI50&lt;&gt;""))</f>
        <v>11</v>
      </c>
      <c r="AL50" s="4">
        <f>COUNTA(Tabla2[[#This Row],[INVITACIÓN]:[ACTA DE INICIO]])</f>
        <v>11</v>
      </c>
      <c r="AM50" s="26">
        <f t="shared" si="7"/>
        <v>1</v>
      </c>
      <c r="AN50" s="47">
        <v>45709</v>
      </c>
      <c r="AO50" s="10">
        <v>45693</v>
      </c>
      <c r="AP50" s="10">
        <v>45722</v>
      </c>
      <c r="AQ50" s="10">
        <v>45713</v>
      </c>
      <c r="AR50" s="4" t="s">
        <v>1090</v>
      </c>
      <c r="AS50" s="4" t="s">
        <v>1091</v>
      </c>
      <c r="AT50" s="4" t="s">
        <v>1092</v>
      </c>
      <c r="AU50" s="10">
        <v>45705</v>
      </c>
      <c r="AV50" s="10">
        <v>45339</v>
      </c>
      <c r="AW50" s="4" t="s">
        <v>1093</v>
      </c>
      <c r="AX50" s="10">
        <v>45728</v>
      </c>
      <c r="AY50" s="10">
        <v>45731</v>
      </c>
      <c r="AZ50" s="10">
        <v>45731</v>
      </c>
      <c r="BA50" s="60">
        <v>45741</v>
      </c>
      <c r="BB50" s="60">
        <v>45741</v>
      </c>
      <c r="BC50" s="4" t="s">
        <v>976</v>
      </c>
      <c r="BD50" s="4">
        <f>COUNTA(Tabla2[[#This Row],[(1)SOLICITUD DE  APERTURA FIRNANCIERA Y PRESUPUESTO 1 (FECHA) ]:[(15) FECHA DE CONTRATACIÓN ADMINISTRATIVO]])</f>
        <v>15</v>
      </c>
      <c r="BE50" s="26">
        <f>Tabla2[[#This Row],[NUMERO OK]]/15</f>
        <v>1</v>
      </c>
      <c r="BF50" s="4" t="str">
        <f t="shared" ca="1" si="8"/>
        <v>Cumplido</v>
      </c>
      <c r="BH50" s="9"/>
      <c r="BO50" s="8"/>
    </row>
    <row r="51" spans="1:67" ht="71.25">
      <c r="A51" s="9">
        <v>2024</v>
      </c>
      <c r="B51" s="35"/>
      <c r="C51" s="4" t="s">
        <v>168</v>
      </c>
      <c r="D51" s="4" t="s">
        <v>123</v>
      </c>
      <c r="E51" s="35" t="s">
        <v>992</v>
      </c>
      <c r="G51" s="10"/>
      <c r="H51" s="36">
        <v>45656</v>
      </c>
      <c r="I51" s="10">
        <v>45692</v>
      </c>
      <c r="J51" s="10">
        <v>46025</v>
      </c>
      <c r="K51" s="4" t="s">
        <v>1094</v>
      </c>
      <c r="L51" s="4" t="s">
        <v>97</v>
      </c>
      <c r="M51" s="4" t="str">
        <f t="shared" ca="1" si="6"/>
        <v>EN EJECUCIÓN</v>
      </c>
      <c r="N51" s="4" t="s">
        <v>54</v>
      </c>
      <c r="O51" s="6" t="s">
        <v>913</v>
      </c>
      <c r="P51" s="4" t="s">
        <v>1095</v>
      </c>
      <c r="Q51" s="37">
        <v>7314957291</v>
      </c>
      <c r="R51" s="37">
        <v>365747850</v>
      </c>
      <c r="S51" s="38">
        <f t="shared" si="5"/>
        <v>7680705141</v>
      </c>
      <c r="T51" s="39">
        <f t="shared" si="4"/>
        <v>783745424.03571415</v>
      </c>
      <c r="U51" s="11" t="s">
        <v>1096</v>
      </c>
      <c r="V51" s="4" t="s">
        <v>95</v>
      </c>
      <c r="W51" s="4" t="s">
        <v>34</v>
      </c>
      <c r="X51" s="4" t="s">
        <v>23</v>
      </c>
      <c r="Y51" s="65" t="s">
        <v>17</v>
      </c>
      <c r="Z51" s="4" t="s">
        <v>24</v>
      </c>
      <c r="AA51" s="4" t="s">
        <v>24</v>
      </c>
      <c r="AB51" s="4" t="s">
        <v>192</v>
      </c>
      <c r="AC51" s="4" t="s">
        <v>17</v>
      </c>
      <c r="AD51" s="4" t="s">
        <v>24</v>
      </c>
      <c r="AE51" s="4" t="s">
        <v>24</v>
      </c>
      <c r="AF51" s="4" t="s">
        <v>24</v>
      </c>
      <c r="AG51" s="4" t="s">
        <v>24</v>
      </c>
      <c r="AH51" s="4" t="s">
        <v>24</v>
      </c>
      <c r="AI51" s="4" t="s">
        <v>24</v>
      </c>
      <c r="AJ51" s="68" t="s">
        <v>192</v>
      </c>
      <c r="AK51" s="4" cm="1">
        <f t="array" ref="AK51">SUMPRODUCT((Y51:AI51&lt;&gt;"Pendiente")*(Y51:AI51&lt;&gt;""))</f>
        <v>11</v>
      </c>
      <c r="AL51" s="4">
        <f>COUNTA(Tabla2[[#This Row],[INVITACIÓN]:[ACTA DE INICIO]])</f>
        <v>11</v>
      </c>
      <c r="AM51" s="26">
        <f t="shared" si="7"/>
        <v>1</v>
      </c>
      <c r="AN51" s="47">
        <v>45705</v>
      </c>
      <c r="AO51" s="10">
        <v>45712</v>
      </c>
      <c r="AP51" s="10">
        <v>45715</v>
      </c>
      <c r="AQ51" s="10">
        <v>45719</v>
      </c>
      <c r="AR51" s="4" t="s">
        <v>1097</v>
      </c>
      <c r="AS51" s="4" t="s">
        <v>1098</v>
      </c>
      <c r="AT51" s="4" t="s">
        <v>1099</v>
      </c>
      <c r="AU51" s="10">
        <v>45674</v>
      </c>
      <c r="AV51" s="10">
        <v>45688</v>
      </c>
      <c r="AW51" s="4" t="s">
        <v>1100</v>
      </c>
      <c r="AX51" s="10">
        <v>45727</v>
      </c>
      <c r="AY51" s="10">
        <v>45719</v>
      </c>
      <c r="AZ51" s="10">
        <v>45719</v>
      </c>
      <c r="BA51" s="10">
        <v>45733</v>
      </c>
      <c r="BB51" s="10">
        <v>45734</v>
      </c>
      <c r="BC51" s="4" t="s">
        <v>976</v>
      </c>
      <c r="BD51" s="4">
        <f>COUNTA(Tabla2[[#This Row],[(1)SOLICITUD DE  APERTURA FIRNANCIERA Y PRESUPUESTO 1 (FECHA) ]:[(15) FECHA DE CONTRATACIÓN ADMINISTRATIVO]])</f>
        <v>15</v>
      </c>
      <c r="BE51" s="26">
        <f>Tabla2[[#This Row],[NUMERO OK]]/15</f>
        <v>1</v>
      </c>
      <c r="BF51" s="4" t="str">
        <f t="shared" ca="1" si="8"/>
        <v>Cumplido</v>
      </c>
      <c r="BH51" s="9"/>
      <c r="BO51" s="8"/>
    </row>
    <row r="52" spans="1:67" ht="74.25" customHeight="1">
      <c r="A52" s="9">
        <v>2025</v>
      </c>
      <c r="B52" s="35">
        <v>1</v>
      </c>
      <c r="C52" s="4" t="s">
        <v>17</v>
      </c>
      <c r="D52" s="4" t="s">
        <v>123</v>
      </c>
      <c r="E52" s="35"/>
      <c r="G52" s="10"/>
      <c r="H52" s="36">
        <v>45658</v>
      </c>
      <c r="I52" s="10">
        <v>45658</v>
      </c>
      <c r="J52" s="10">
        <v>46022</v>
      </c>
      <c r="K52" s="4" t="s">
        <v>1101</v>
      </c>
      <c r="L52" s="4" t="s">
        <v>111</v>
      </c>
      <c r="M52" s="4" t="str">
        <f t="shared" ca="1" si="6"/>
        <v>EN EJECUCIÓN</v>
      </c>
      <c r="N52" s="4" t="s">
        <v>93</v>
      </c>
      <c r="O52" s="6" t="s">
        <v>574</v>
      </c>
      <c r="P52" s="4" t="s">
        <v>1102</v>
      </c>
      <c r="Q52" s="37">
        <v>6323000000</v>
      </c>
      <c r="R52" s="37">
        <v>0</v>
      </c>
      <c r="S52" s="38">
        <f t="shared" si="5"/>
        <v>6323000000</v>
      </c>
      <c r="T52" s="39">
        <v>727440000</v>
      </c>
      <c r="U52" s="11" t="s">
        <v>923</v>
      </c>
      <c r="V52" s="4" t="s">
        <v>101</v>
      </c>
      <c r="W52" s="4" t="s">
        <v>55</v>
      </c>
      <c r="X52" s="4" t="s">
        <v>63</v>
      </c>
      <c r="Y52" s="65" t="s">
        <v>17</v>
      </c>
      <c r="Z52" s="4" t="s">
        <v>17</v>
      </c>
      <c r="AA52" s="4" t="s">
        <v>17</v>
      </c>
      <c r="AB52" s="4" t="s">
        <v>17</v>
      </c>
      <c r="AC52" s="4" t="s">
        <v>17</v>
      </c>
      <c r="AD52" s="4" t="s">
        <v>17</v>
      </c>
      <c r="AE52" s="4" t="s">
        <v>17</v>
      </c>
      <c r="AF52" s="4" t="s">
        <v>17</v>
      </c>
      <c r="AG52" s="4" t="s">
        <v>24</v>
      </c>
      <c r="AH52" s="4" t="s">
        <v>24</v>
      </c>
      <c r="AI52" s="4" t="s">
        <v>17</v>
      </c>
      <c r="AJ52" s="68" t="s">
        <v>192</v>
      </c>
      <c r="AK52" s="4" cm="1">
        <f t="array" ref="AK52">SUMPRODUCT((Y52:AI52&lt;&gt;"Pendiente")*(Y52:AI52&lt;&gt;""))</f>
        <v>11</v>
      </c>
      <c r="AL52" s="4">
        <f>COUNTA(Tabla2[[#This Row],[INVITACIÓN]:[ACTA DE INICIO]])</f>
        <v>11</v>
      </c>
      <c r="AM52" s="26">
        <f t="shared" si="7"/>
        <v>1</v>
      </c>
      <c r="AN52" s="47"/>
      <c r="AP52" s="10"/>
      <c r="AQ52" s="10"/>
      <c r="AV52" s="10"/>
      <c r="BD52" s="4">
        <f>COUNTA(Tabla2[[#This Row],[(1)SOLICITUD DE  APERTURA FIRNANCIERA Y PRESUPUESTO 1 (FECHA) ]:[(15) FECHA DE CONTRATACIÓN ADMINISTRATIVO]])</f>
        <v>0</v>
      </c>
      <c r="BE52" s="26">
        <f>Tabla2[[#This Row],[NUMERO OK]]/15</f>
        <v>0</v>
      </c>
      <c r="BF52" s="4" t="str">
        <f t="shared" ca="1" si="8"/>
        <v>RiesgoAlto</v>
      </c>
      <c r="BH52" s="9"/>
      <c r="BO52" s="8"/>
    </row>
    <row r="53" spans="1:67" ht="60">
      <c r="A53" s="9">
        <v>2025</v>
      </c>
      <c r="B53" s="35">
        <v>2</v>
      </c>
      <c r="C53" s="4" t="s">
        <v>580</v>
      </c>
      <c r="D53" s="4" t="s">
        <v>139</v>
      </c>
      <c r="E53" s="35" t="s">
        <v>992</v>
      </c>
      <c r="F53" s="4" t="s">
        <v>38</v>
      </c>
      <c r="G53" s="10"/>
      <c r="H53" s="36">
        <v>45686</v>
      </c>
      <c r="I53" s="10">
        <v>45687</v>
      </c>
      <c r="J53" s="10">
        <v>45996</v>
      </c>
      <c r="K53" s="4" t="s">
        <v>1103</v>
      </c>
      <c r="L53" s="4" t="s">
        <v>97</v>
      </c>
      <c r="M53" s="4" t="str">
        <f t="shared" ca="1" si="6"/>
        <v>EN EJECUCIÓN</v>
      </c>
      <c r="N53" s="4" t="s">
        <v>93</v>
      </c>
      <c r="O53" s="6" t="s">
        <v>1104</v>
      </c>
      <c r="P53" s="4" t="s">
        <v>1105</v>
      </c>
      <c r="Q53" s="37">
        <v>19056054896.799999</v>
      </c>
      <c r="R53" s="37">
        <v>0</v>
      </c>
      <c r="S53" s="38">
        <f t="shared" si="5"/>
        <v>19056054896.799999</v>
      </c>
      <c r="T53" s="39">
        <f t="shared" ref="T53:T84" si="9">(Q53*12%)/112%</f>
        <v>2041720167.5142853</v>
      </c>
      <c r="U53" s="11" t="s">
        <v>1106</v>
      </c>
      <c r="V53" s="4" t="s">
        <v>583</v>
      </c>
      <c r="W53" s="4" t="s">
        <v>22</v>
      </c>
      <c r="X53" s="4" t="s">
        <v>23</v>
      </c>
      <c r="Y53" s="65" t="s">
        <v>17</v>
      </c>
      <c r="Z53" s="4" t="s">
        <v>17</v>
      </c>
      <c r="AA53" s="4" t="s">
        <v>24</v>
      </c>
      <c r="AB53" s="4" t="s">
        <v>24</v>
      </c>
      <c r="AC53" s="4" t="s">
        <v>17</v>
      </c>
      <c r="AD53" s="4" t="s">
        <v>24</v>
      </c>
      <c r="AE53" s="4" t="s">
        <v>24</v>
      </c>
      <c r="AF53" s="4" t="s">
        <v>24</v>
      </c>
      <c r="AG53" s="4" t="s">
        <v>24</v>
      </c>
      <c r="AH53" s="4" t="s">
        <v>24</v>
      </c>
      <c r="AI53" s="4" t="s">
        <v>24</v>
      </c>
      <c r="AJ53" s="70" t="s">
        <v>192</v>
      </c>
      <c r="AK53" s="4" cm="1">
        <f t="array" ref="AK53">SUMPRODUCT((Y53:AI53&lt;&gt;"Pendiente")*(Y53:AI53&lt;&gt;""))</f>
        <v>11</v>
      </c>
      <c r="AL53" s="4">
        <f>COUNTA(Tabla2[[#This Row],[INVITACIÓN]:[ACTA DE INICIO]])</f>
        <v>11</v>
      </c>
      <c r="AM53" s="26">
        <f t="shared" si="7"/>
        <v>1</v>
      </c>
      <c r="AN53" s="47">
        <v>45687</v>
      </c>
      <c r="AO53" s="10">
        <v>45664</v>
      </c>
      <c r="AP53" s="10">
        <v>45687</v>
      </c>
      <c r="AQ53" s="10">
        <v>45695</v>
      </c>
      <c r="AR53" s="4" t="s">
        <v>1049</v>
      </c>
      <c r="AS53" s="4" t="s">
        <v>1107</v>
      </c>
      <c r="AT53" s="4" t="s">
        <v>1051</v>
      </c>
      <c r="AU53" s="10">
        <v>45681</v>
      </c>
      <c r="AV53" s="10">
        <v>45681</v>
      </c>
      <c r="AW53" s="44" t="s">
        <v>1108</v>
      </c>
      <c r="AX53" s="10">
        <v>45672</v>
      </c>
      <c r="AY53" s="4" t="s">
        <v>1074</v>
      </c>
      <c r="AZ53" s="4" t="s">
        <v>1074</v>
      </c>
      <c r="BA53" s="10">
        <v>45692</v>
      </c>
      <c r="BB53" s="10">
        <v>45692</v>
      </c>
      <c r="BC53" s="4" t="s">
        <v>976</v>
      </c>
      <c r="BD53" s="4">
        <f>COUNTA(Tabla2[[#This Row],[(1)SOLICITUD DE  APERTURA FIRNANCIERA Y PRESUPUESTO 1 (FECHA) ]:[(15) FECHA DE CONTRATACIÓN ADMINISTRATIVO]])</f>
        <v>15</v>
      </c>
      <c r="BE53" s="26">
        <f>Tabla2[[#This Row],[NUMERO OK]]/15</f>
        <v>1</v>
      </c>
      <c r="BF53" s="4" t="str">
        <f t="shared" ca="1" si="8"/>
        <v>Cumplido</v>
      </c>
      <c r="BH53" s="9"/>
      <c r="BO53" s="8"/>
    </row>
    <row r="54" spans="1:67" ht="45">
      <c r="A54" s="9">
        <v>2025</v>
      </c>
      <c r="B54" s="35">
        <v>3</v>
      </c>
      <c r="C54" s="4" t="s">
        <v>41</v>
      </c>
      <c r="D54" s="4" t="s">
        <v>135</v>
      </c>
      <c r="E54" s="35" t="s">
        <v>958</v>
      </c>
      <c r="F54" s="4" t="s">
        <v>26</v>
      </c>
      <c r="G54" s="10"/>
      <c r="H54" s="36">
        <v>45719</v>
      </c>
      <c r="I54" s="10">
        <v>45721</v>
      </c>
      <c r="J54" s="10">
        <v>45781</v>
      </c>
      <c r="K54" s="4" t="s">
        <v>1109</v>
      </c>
      <c r="L54" s="4" t="s">
        <v>74</v>
      </c>
      <c r="M54" s="4" t="str">
        <f t="shared" ca="1" si="6"/>
        <v>FINALIZADO</v>
      </c>
      <c r="N54" s="4" t="s">
        <v>93</v>
      </c>
      <c r="O54" s="6" t="s">
        <v>574</v>
      </c>
      <c r="P54" s="4" t="s">
        <v>1110</v>
      </c>
      <c r="Q54" s="37">
        <v>10800000</v>
      </c>
      <c r="R54" s="37">
        <v>0</v>
      </c>
      <c r="S54" s="38">
        <f t="shared" ref="S54:S85" si="10">Q54+R54</f>
        <v>10800000</v>
      </c>
      <c r="T54" s="39">
        <f t="shared" si="9"/>
        <v>1157142.857142857</v>
      </c>
      <c r="U54" s="11" t="s">
        <v>1111</v>
      </c>
      <c r="V54" s="4" t="s">
        <v>27</v>
      </c>
      <c r="W54" s="4" t="s">
        <v>55</v>
      </c>
      <c r="X54" s="4" t="s">
        <v>63</v>
      </c>
      <c r="Y54" s="65" t="s">
        <v>17</v>
      </c>
      <c r="Z54" s="4" t="s">
        <v>17</v>
      </c>
      <c r="AA54" s="4" t="s">
        <v>17</v>
      </c>
      <c r="AB54" s="4" t="s">
        <v>17</v>
      </c>
      <c r="AC54" s="4" t="s">
        <v>24</v>
      </c>
      <c r="AD54" s="4" t="s">
        <v>24</v>
      </c>
      <c r="AE54" s="4" t="s">
        <v>17</v>
      </c>
      <c r="AF54" s="4" t="s">
        <v>17</v>
      </c>
      <c r="AG54" s="4" t="s">
        <v>24</v>
      </c>
      <c r="AH54" s="4" t="s">
        <v>24</v>
      </c>
      <c r="AI54" s="4" t="s">
        <v>24</v>
      </c>
      <c r="AJ54" s="70" t="s">
        <v>192</v>
      </c>
      <c r="AK54" s="4" cm="1">
        <f t="array" ref="AK54">SUMPRODUCT((Y54:AI54&lt;&gt;"Pendiente")*(Y54:AI54&lt;&gt;""))</f>
        <v>11</v>
      </c>
      <c r="AL54" s="4">
        <f>COUNTA(Tabla2[[#This Row],[INVITACIÓN]:[ACTA DE INICIO]])</f>
        <v>11</v>
      </c>
      <c r="AM54" s="26">
        <f t="shared" si="7"/>
        <v>1</v>
      </c>
      <c r="AN54" s="61">
        <v>45721</v>
      </c>
      <c r="AO54" s="10">
        <v>45727</v>
      </c>
      <c r="AP54" s="10">
        <v>45722</v>
      </c>
      <c r="AQ54" s="10">
        <v>45365</v>
      </c>
      <c r="AR54" s="4" t="s">
        <v>1112</v>
      </c>
      <c r="AS54" s="4" t="s">
        <v>1113</v>
      </c>
      <c r="AT54" s="4" t="s">
        <v>1074</v>
      </c>
      <c r="AU54" s="10">
        <v>45699</v>
      </c>
      <c r="AV54" s="10">
        <v>45699</v>
      </c>
      <c r="AW54" s="4" t="s">
        <v>1114</v>
      </c>
      <c r="AX54" s="10">
        <v>45730</v>
      </c>
      <c r="AY54" s="4" t="s">
        <v>1074</v>
      </c>
      <c r="AZ54" s="4" t="s">
        <v>1074</v>
      </c>
      <c r="BA54" s="4" t="s">
        <v>1074</v>
      </c>
      <c r="BB54" s="4" t="s">
        <v>1074</v>
      </c>
      <c r="BC54" s="4" t="s">
        <v>976</v>
      </c>
      <c r="BD54" s="4">
        <f>COUNTA(Tabla2[[#This Row],[(1)SOLICITUD DE  APERTURA FIRNANCIERA Y PRESUPUESTO 1 (FECHA) ]:[(15) FECHA DE CONTRATACIÓN ADMINISTRATIVO]])</f>
        <v>15</v>
      </c>
      <c r="BE54" s="26">
        <f>Tabla2[[#This Row],[NUMERO OK]]/15</f>
        <v>1</v>
      </c>
      <c r="BF54" s="4" t="str">
        <f t="shared" ca="1" si="8"/>
        <v>Cumplido</v>
      </c>
      <c r="BH54" s="9"/>
      <c r="BO54" s="8"/>
    </row>
    <row r="55" spans="1:67" ht="57">
      <c r="A55" s="9">
        <v>2025</v>
      </c>
      <c r="B55" s="4">
        <v>4</v>
      </c>
      <c r="C55" s="4" t="s">
        <v>1115</v>
      </c>
      <c r="D55" s="4" t="s">
        <v>135</v>
      </c>
      <c r="E55" s="35" t="s">
        <v>992</v>
      </c>
      <c r="F55" s="4" t="s">
        <v>26</v>
      </c>
      <c r="G55" s="10"/>
      <c r="H55" s="62">
        <v>45719</v>
      </c>
      <c r="I55" s="10">
        <v>45722</v>
      </c>
      <c r="J55" s="10">
        <v>45905</v>
      </c>
      <c r="K55" s="4" t="s">
        <v>1116</v>
      </c>
      <c r="L55" s="4" t="s">
        <v>52</v>
      </c>
      <c r="M55" s="4" t="str">
        <f t="shared" ca="1" si="6"/>
        <v>EN EJECUCIÓN</v>
      </c>
      <c r="N55" s="4" t="s">
        <v>93</v>
      </c>
      <c r="O55" s="6" t="s">
        <v>870</v>
      </c>
      <c r="P55" s="4" t="s">
        <v>1117</v>
      </c>
      <c r="Q55" s="37">
        <v>48569820</v>
      </c>
      <c r="R55" s="37">
        <v>0</v>
      </c>
      <c r="S55" s="38">
        <f t="shared" si="10"/>
        <v>48569820</v>
      </c>
      <c r="T55" s="39">
        <f t="shared" si="9"/>
        <v>5203909.2857142845</v>
      </c>
      <c r="U55" s="11" t="s">
        <v>923</v>
      </c>
      <c r="V55" s="4" t="s">
        <v>65</v>
      </c>
      <c r="W55" s="4" t="s">
        <v>55</v>
      </c>
      <c r="X55" s="4" t="s">
        <v>63</v>
      </c>
      <c r="Y55" s="65" t="s">
        <v>17</v>
      </c>
      <c r="Z55" s="4" t="s">
        <v>17</v>
      </c>
      <c r="AA55" s="4" t="s">
        <v>17</v>
      </c>
      <c r="AB55" s="4" t="s">
        <v>24</v>
      </c>
      <c r="AC55" s="4" t="s">
        <v>24</v>
      </c>
      <c r="AD55" s="4" t="s">
        <v>24</v>
      </c>
      <c r="AE55" s="4" t="s">
        <v>17</v>
      </c>
      <c r="AF55" s="4" t="s">
        <v>17</v>
      </c>
      <c r="AG55" s="4" t="s">
        <v>24</v>
      </c>
      <c r="AH55" s="4" t="s">
        <v>24</v>
      </c>
      <c r="AI55" s="4" t="s">
        <v>24</v>
      </c>
      <c r="AJ55" s="8" t="s">
        <v>192</v>
      </c>
      <c r="AK55" s="4" cm="1">
        <f t="array" ref="AK55">SUMPRODUCT((Y55:AI55&lt;&gt;"Pendiente")*(Y55:AI55&lt;&gt;""))</f>
        <v>11</v>
      </c>
      <c r="AL55" s="4">
        <f>COUNTA(Tabla2[[#This Row],[INVITACIÓN]:[ACTA DE INICIO]])</f>
        <v>11</v>
      </c>
      <c r="AM55" s="26">
        <f t="shared" si="7"/>
        <v>1</v>
      </c>
      <c r="AN55" s="47">
        <v>45594</v>
      </c>
      <c r="AO55" s="10">
        <v>45748</v>
      </c>
      <c r="AP55" s="10">
        <v>45724</v>
      </c>
      <c r="AQ55" s="10">
        <v>45722</v>
      </c>
      <c r="AR55" s="4" t="s">
        <v>832</v>
      </c>
      <c r="AS55" s="66" t="s">
        <v>1118</v>
      </c>
      <c r="AT55" s="4" t="s">
        <v>832</v>
      </c>
      <c r="AU55" s="10">
        <v>45713</v>
      </c>
      <c r="AV55" s="10">
        <v>45719</v>
      </c>
      <c r="AW55" s="4" t="s">
        <v>1119</v>
      </c>
      <c r="AX55" s="4" t="s">
        <v>832</v>
      </c>
      <c r="AY55" s="4" t="s">
        <v>832</v>
      </c>
      <c r="AZ55" s="4" t="s">
        <v>832</v>
      </c>
      <c r="BA55" s="4" t="s">
        <v>832</v>
      </c>
      <c r="BB55" s="4" t="s">
        <v>832</v>
      </c>
      <c r="BC55" s="4" t="s">
        <v>976</v>
      </c>
      <c r="BD55" s="4">
        <f>COUNTA(Tabla2[[#This Row],[(1)SOLICITUD DE  APERTURA FIRNANCIERA Y PRESUPUESTO 1 (FECHA) ]:[(15) FECHA DE CONTRATACIÓN ADMINISTRATIVO]])</f>
        <v>15</v>
      </c>
      <c r="BE55" s="26">
        <f>Tabla2[[#This Row],[NUMERO OK]]/15</f>
        <v>1</v>
      </c>
      <c r="BF55" s="4" t="str">
        <f t="shared" ca="1" si="8"/>
        <v>Cumplido</v>
      </c>
      <c r="BH55" s="9"/>
      <c r="BO55" s="8"/>
    </row>
    <row r="56" spans="1:67" ht="57">
      <c r="A56" s="9">
        <v>2025</v>
      </c>
      <c r="B56" s="4">
        <v>5</v>
      </c>
      <c r="C56" s="4" t="s">
        <v>67</v>
      </c>
      <c r="D56" s="4" t="s">
        <v>139</v>
      </c>
      <c r="E56" s="35" t="s">
        <v>958</v>
      </c>
      <c r="F56" s="4" t="s">
        <v>14</v>
      </c>
      <c r="G56" s="10"/>
      <c r="H56" s="62">
        <v>45733</v>
      </c>
      <c r="I56" s="10"/>
      <c r="J56" s="10"/>
      <c r="K56" s="4" t="s">
        <v>1120</v>
      </c>
      <c r="L56" s="4" t="s">
        <v>97</v>
      </c>
      <c r="M56" s="4" t="str">
        <f t="shared" ca="1" si="6"/>
        <v>SUSCRITO</v>
      </c>
      <c r="N56" s="4" t="s">
        <v>21</v>
      </c>
      <c r="O56" s="6" t="s">
        <v>584</v>
      </c>
      <c r="P56" s="4" t="s">
        <v>1121</v>
      </c>
      <c r="Q56" s="37">
        <v>18000000</v>
      </c>
      <c r="R56" s="37">
        <v>0</v>
      </c>
      <c r="S56" s="38">
        <f t="shared" si="10"/>
        <v>18000000</v>
      </c>
      <c r="T56" s="39">
        <f t="shared" si="9"/>
        <v>1928571.4285714284</v>
      </c>
      <c r="U56" s="11" t="s">
        <v>1122</v>
      </c>
      <c r="V56" s="4" t="s">
        <v>27</v>
      </c>
      <c r="W56" s="4" t="s">
        <v>22</v>
      </c>
      <c r="X56" s="4" t="s">
        <v>23</v>
      </c>
      <c r="Y56" s="65" t="s">
        <v>24</v>
      </c>
      <c r="Z56" s="4" t="s">
        <v>24</v>
      </c>
      <c r="AA56" s="4" t="s">
        <v>17</v>
      </c>
      <c r="AB56" s="4" t="s">
        <v>24</v>
      </c>
      <c r="AC56" s="4" t="s">
        <v>17</v>
      </c>
      <c r="AD56" s="4" t="s">
        <v>24</v>
      </c>
      <c r="AE56" s="4" t="s">
        <v>24</v>
      </c>
      <c r="AF56" s="4" t="s">
        <v>24</v>
      </c>
      <c r="AG56" s="4" t="s">
        <v>24</v>
      </c>
      <c r="AH56" s="4" t="s">
        <v>24</v>
      </c>
      <c r="AI56" s="4" t="s">
        <v>36</v>
      </c>
      <c r="AJ56" s="68" t="s">
        <v>1123</v>
      </c>
      <c r="AK56" s="4" cm="1">
        <f t="array" ref="AK56">SUMPRODUCT((Y56:AI56&lt;&gt;"Pendiente")*(Y56:AI56&lt;&gt;""))</f>
        <v>10</v>
      </c>
      <c r="AL56" s="4">
        <f>COUNTA(Tabla2[[#This Row],[INVITACIÓN]:[ACTA DE INICIO]])</f>
        <v>11</v>
      </c>
      <c r="AM56" s="26">
        <f t="shared" si="7"/>
        <v>0.90909090909090906</v>
      </c>
      <c r="AN56" s="47">
        <v>45736</v>
      </c>
      <c r="AO56" s="10">
        <v>45741</v>
      </c>
      <c r="AP56" s="10">
        <v>45737</v>
      </c>
      <c r="AQ56" s="59">
        <v>45747</v>
      </c>
      <c r="AR56" s="4" t="s">
        <v>1124</v>
      </c>
      <c r="AS56" s="72" t="s">
        <v>1125</v>
      </c>
      <c r="AT56" s="4" t="s">
        <v>1074</v>
      </c>
      <c r="AU56" s="10">
        <v>45754</v>
      </c>
      <c r="AX56" s="59">
        <v>45750</v>
      </c>
      <c r="AY56" s="10">
        <v>45747</v>
      </c>
      <c r="AZ56" s="4" t="s">
        <v>1074</v>
      </c>
      <c r="BA56" s="10">
        <v>45755</v>
      </c>
      <c r="BB56" s="4" t="s">
        <v>1074</v>
      </c>
      <c r="BC56" s="4" t="s">
        <v>976</v>
      </c>
      <c r="BD56" s="4">
        <f>COUNTA(Tabla2[[#This Row],[(1)SOLICITUD DE  APERTURA FIRNANCIERA Y PRESUPUESTO 1 (FECHA) ]:[(15) FECHA DE CONTRATACIÓN ADMINISTRATIVO]])</f>
        <v>13</v>
      </c>
      <c r="BE56" s="26">
        <f>Tabla2[[#This Row],[NUMERO OK]]/15</f>
        <v>0.8666666666666667</v>
      </c>
      <c r="BF56" s="4" t="str">
        <f t="shared" ca="1" si="8"/>
        <v>N/A</v>
      </c>
      <c r="BH56" s="9"/>
      <c r="BO56" s="8"/>
    </row>
    <row r="57" spans="1:67" ht="71.25">
      <c r="A57" s="9">
        <v>2025</v>
      </c>
      <c r="B57" s="4">
        <v>6</v>
      </c>
      <c r="C57" s="4" t="s">
        <v>67</v>
      </c>
      <c r="D57" s="4" t="s">
        <v>139</v>
      </c>
      <c r="E57" s="35" t="s">
        <v>104</v>
      </c>
      <c r="F57" s="4" t="s">
        <v>38</v>
      </c>
      <c r="G57" s="10"/>
      <c r="H57" s="62">
        <v>45737</v>
      </c>
      <c r="I57" s="10">
        <v>45744</v>
      </c>
      <c r="J57" s="10">
        <v>45991</v>
      </c>
      <c r="K57" s="4" t="s">
        <v>1126</v>
      </c>
      <c r="L57" s="4" t="s">
        <v>97</v>
      </c>
      <c r="M57" s="4" t="str">
        <f t="shared" ca="1" si="6"/>
        <v>EN EJECUCIÓN</v>
      </c>
      <c r="N57" s="4" t="s">
        <v>93</v>
      </c>
      <c r="O57" s="6" t="s">
        <v>1127</v>
      </c>
      <c r="P57" s="4" t="s">
        <v>1128</v>
      </c>
      <c r="Q57" s="37">
        <v>696050000</v>
      </c>
      <c r="R57" s="37">
        <v>0</v>
      </c>
      <c r="S57" s="38">
        <f t="shared" si="10"/>
        <v>696050000</v>
      </c>
      <c r="T57" s="39">
        <f t="shared" si="9"/>
        <v>74576785.714285702</v>
      </c>
      <c r="U57" s="4" t="s">
        <v>1129</v>
      </c>
      <c r="V57" s="4" t="s">
        <v>290</v>
      </c>
      <c r="W57" s="4" t="s">
        <v>22</v>
      </c>
      <c r="X57" s="4" t="s">
        <v>23</v>
      </c>
      <c r="Y57" s="65" t="s">
        <v>17</v>
      </c>
      <c r="Z57" s="4" t="s">
        <v>24</v>
      </c>
      <c r="AA57" s="4" t="s">
        <v>17</v>
      </c>
      <c r="AB57" s="4" t="s">
        <v>17</v>
      </c>
      <c r="AC57" s="4" t="s">
        <v>17</v>
      </c>
      <c r="AD57" s="4" t="s">
        <v>36</v>
      </c>
      <c r="AE57" s="4" t="s">
        <v>24</v>
      </c>
      <c r="AF57" s="4" t="s">
        <v>24</v>
      </c>
      <c r="AG57" s="4" t="s">
        <v>24</v>
      </c>
      <c r="AH57" s="4" t="s">
        <v>24</v>
      </c>
      <c r="AI57" s="4" t="s">
        <v>24</v>
      </c>
      <c r="AJ57" s="68" t="s">
        <v>192</v>
      </c>
      <c r="AK57" s="4" cm="1">
        <f t="array" ref="AK57">SUMPRODUCT((Y57:AI57&lt;&gt;"Pendiente")*(Y57:AI57&lt;&gt;""))</f>
        <v>10</v>
      </c>
      <c r="AL57" s="4">
        <f>COUNTA(Tabla2[[#This Row],[INVITACIÓN]:[ACTA DE INICIO]])</f>
        <v>11</v>
      </c>
      <c r="AM57" s="26">
        <f t="shared" si="7"/>
        <v>0.90909090909090906</v>
      </c>
      <c r="AN57" s="47"/>
      <c r="AO57" s="10">
        <v>45741</v>
      </c>
      <c r="AP57" s="10">
        <v>45743</v>
      </c>
      <c r="AQ57" s="10">
        <v>45742</v>
      </c>
      <c r="AR57" s="4" t="s">
        <v>1130</v>
      </c>
      <c r="AS57" s="4" t="s">
        <v>1131</v>
      </c>
      <c r="AT57" s="4" t="s">
        <v>832</v>
      </c>
      <c r="AU57" s="10">
        <v>45720</v>
      </c>
      <c r="AV57" s="10">
        <v>45736</v>
      </c>
      <c r="AW57" s="4" t="s">
        <v>1132</v>
      </c>
      <c r="AX57" s="10">
        <v>45749</v>
      </c>
      <c r="AY57" s="10">
        <v>45751</v>
      </c>
      <c r="AZ57" s="4" t="s">
        <v>832</v>
      </c>
      <c r="BB57" s="4" t="s">
        <v>832</v>
      </c>
      <c r="BC57" s="4" t="s">
        <v>976</v>
      </c>
      <c r="BD57" s="4">
        <f>COUNTA(Tabla2[[#This Row],[(1)SOLICITUD DE  APERTURA FIRNANCIERA Y PRESUPUESTO 1 (FECHA) ]:[(15) FECHA DE CONTRATACIÓN ADMINISTRATIVO]])</f>
        <v>13</v>
      </c>
      <c r="BE57" s="26">
        <f>Tabla2[[#This Row],[NUMERO OK]]/15</f>
        <v>0.8666666666666667</v>
      </c>
      <c r="BF57" s="4" t="str">
        <f t="shared" ca="1" si="8"/>
        <v>RiesgoMedio</v>
      </c>
      <c r="BH57" s="9"/>
      <c r="BO57" s="8"/>
    </row>
    <row r="58" spans="1:67" ht="114">
      <c r="A58" s="9">
        <v>2025</v>
      </c>
      <c r="B58" s="4">
        <v>7</v>
      </c>
      <c r="C58" s="4" t="s">
        <v>67</v>
      </c>
      <c r="D58" s="4" t="s">
        <v>139</v>
      </c>
      <c r="E58" s="4" t="s">
        <v>1004</v>
      </c>
      <c r="F58" s="4" t="s">
        <v>64</v>
      </c>
      <c r="G58" s="10"/>
      <c r="H58" s="62">
        <v>45737</v>
      </c>
      <c r="I58" s="10">
        <v>45747</v>
      </c>
      <c r="J58" s="10">
        <v>46022</v>
      </c>
      <c r="K58" s="4" t="s">
        <v>1133</v>
      </c>
      <c r="L58" s="4" t="s">
        <v>74</v>
      </c>
      <c r="M58" s="4" t="str">
        <f t="shared" ca="1" si="6"/>
        <v>EN EJECUCIÓN</v>
      </c>
      <c r="N58" s="4" t="s">
        <v>21</v>
      </c>
      <c r="O58" s="6" t="s">
        <v>1134</v>
      </c>
      <c r="P58" s="4" t="s">
        <v>1135</v>
      </c>
      <c r="Q58" s="37">
        <v>1991969000</v>
      </c>
      <c r="R58" s="37">
        <v>0</v>
      </c>
      <c r="S58" s="38">
        <f t="shared" si="10"/>
        <v>1991969000</v>
      </c>
      <c r="T58" s="39">
        <f t="shared" si="9"/>
        <v>213425249.99999997</v>
      </c>
      <c r="U58" s="4" t="s">
        <v>1136</v>
      </c>
      <c r="V58" s="4" t="s">
        <v>1137</v>
      </c>
      <c r="W58" s="4" t="s">
        <v>22</v>
      </c>
      <c r="X58" s="4" t="s">
        <v>23</v>
      </c>
      <c r="Y58" s="65" t="s">
        <v>17</v>
      </c>
      <c r="Z58" s="4" t="s">
        <v>24</v>
      </c>
      <c r="AA58" s="4" t="s">
        <v>24</v>
      </c>
      <c r="AB58" s="4" t="s">
        <v>24</v>
      </c>
      <c r="AC58" s="4" t="s">
        <v>24</v>
      </c>
      <c r="AD58" s="4" t="s">
        <v>24</v>
      </c>
      <c r="AE58" s="4" t="s">
        <v>24</v>
      </c>
      <c r="AF58" s="4" t="s">
        <v>24</v>
      </c>
      <c r="AG58" s="4" t="s">
        <v>24</v>
      </c>
      <c r="AH58" s="4" t="s">
        <v>24</v>
      </c>
      <c r="AI58" s="4" t="s">
        <v>24</v>
      </c>
      <c r="AJ58" s="71" t="s">
        <v>1138</v>
      </c>
      <c r="AK58" s="4" cm="1">
        <f t="array" ref="AK58">SUMPRODUCT((Y58:AI58&lt;&gt;"Pendiente")*(Y58:AI58&lt;&gt;""))</f>
        <v>11</v>
      </c>
      <c r="AL58" s="4">
        <f>COUNTA(Tabla2[[#This Row],[INVITACIÓN]:[ACTA DE INICIO]])</f>
        <v>11</v>
      </c>
      <c r="AM58" s="26">
        <f t="shared" si="7"/>
        <v>1</v>
      </c>
      <c r="AN58" s="47">
        <v>45744</v>
      </c>
      <c r="AO58" s="10">
        <v>45741</v>
      </c>
      <c r="AP58" s="10">
        <v>45745</v>
      </c>
      <c r="AQ58" s="4" t="s">
        <v>1139</v>
      </c>
      <c r="AS58" s="4" t="s">
        <v>1140</v>
      </c>
      <c r="BD58" s="4">
        <f>COUNTA(Tabla2[[#This Row],[(1)SOLICITUD DE  APERTURA FIRNANCIERA Y PRESUPUESTO 1 (FECHA) ]:[(15) FECHA DE CONTRATACIÓN ADMINISTRATIVO]])</f>
        <v>5</v>
      </c>
      <c r="BE58" s="26">
        <f>Tabla2[[#This Row],[NUMERO OK]]/15</f>
        <v>0.33333333333333331</v>
      </c>
      <c r="BF58" s="4" t="str">
        <f t="shared" ca="1" si="8"/>
        <v>RiesgoAlto</v>
      </c>
      <c r="BH58" s="9"/>
      <c r="BO58" s="8"/>
    </row>
    <row r="59" spans="1:67" ht="85.5">
      <c r="A59" s="9">
        <v>2025</v>
      </c>
      <c r="B59" s="4">
        <v>8</v>
      </c>
      <c r="C59" s="4" t="s">
        <v>90</v>
      </c>
      <c r="E59" s="4" t="s">
        <v>958</v>
      </c>
      <c r="G59" s="10"/>
      <c r="H59" s="62">
        <v>45739</v>
      </c>
      <c r="I59" s="10">
        <v>45744</v>
      </c>
      <c r="J59" s="10"/>
      <c r="K59" s="4" t="s">
        <v>1141</v>
      </c>
      <c r="L59" s="4" t="s">
        <v>97</v>
      </c>
      <c r="M59" s="4" t="str">
        <f t="shared" ca="1" si="6"/>
        <v>SUSCRITO</v>
      </c>
      <c r="N59" s="4" t="s">
        <v>44</v>
      </c>
      <c r="O59" s="6" t="s">
        <v>302</v>
      </c>
      <c r="P59" s="4" t="s">
        <v>1142</v>
      </c>
      <c r="Q59" s="37">
        <v>1332000000</v>
      </c>
      <c r="R59" s="37">
        <v>0</v>
      </c>
      <c r="S59" s="38">
        <f t="shared" si="10"/>
        <v>1332000000</v>
      </c>
      <c r="T59" s="39">
        <f t="shared" si="9"/>
        <v>142714285.7142857</v>
      </c>
      <c r="U59" s="4" t="s">
        <v>1143</v>
      </c>
      <c r="V59" s="4" t="s">
        <v>72</v>
      </c>
      <c r="W59" s="4" t="s">
        <v>22</v>
      </c>
      <c r="X59" s="4" t="s">
        <v>23</v>
      </c>
      <c r="Y59" s="65" t="s">
        <v>17</v>
      </c>
      <c r="Z59" s="4" t="s">
        <v>17</v>
      </c>
      <c r="AA59" s="4" t="s">
        <v>24</v>
      </c>
      <c r="AB59" s="4" t="s">
        <v>24</v>
      </c>
      <c r="AC59" s="4" t="s">
        <v>17</v>
      </c>
      <c r="AD59" s="4" t="s">
        <v>24</v>
      </c>
      <c r="AE59" s="4" t="s">
        <v>24</v>
      </c>
      <c r="AF59" s="4" t="s">
        <v>24</v>
      </c>
      <c r="AG59" s="4" t="s">
        <v>24</v>
      </c>
      <c r="AH59" s="4" t="s">
        <v>24</v>
      </c>
      <c r="AI59" s="4" t="s">
        <v>36</v>
      </c>
      <c r="AJ59" s="68" t="s">
        <v>192</v>
      </c>
      <c r="AK59" s="4" cm="1">
        <f t="array" ref="AK59">SUMPRODUCT((Y59:AI59&lt;&gt;"Pendiente")*(Y59:AI59&lt;&gt;""))</f>
        <v>10</v>
      </c>
      <c r="AL59" s="4">
        <f>COUNTA(Tabla2[[#This Row],[INVITACIÓN]:[ACTA DE INICIO]])</f>
        <v>11</v>
      </c>
      <c r="AM59" s="26">
        <f t="shared" si="7"/>
        <v>0.90909090909090906</v>
      </c>
      <c r="AN59" s="47">
        <v>45754</v>
      </c>
      <c r="AO59" s="10">
        <v>45390</v>
      </c>
      <c r="BD59" s="4">
        <f>COUNTA(Tabla2[[#This Row],[(1)SOLICITUD DE  APERTURA FIRNANCIERA Y PRESUPUESTO 1 (FECHA) ]:[(15) FECHA DE CONTRATACIÓN ADMINISTRATIVO]])</f>
        <v>2</v>
      </c>
      <c r="BE59" s="26">
        <f>Tabla2[[#This Row],[NUMERO OK]]/15</f>
        <v>0.13333333333333333</v>
      </c>
      <c r="BF59" s="4" t="str">
        <f t="shared" ca="1" si="8"/>
        <v>RiesgoAlto</v>
      </c>
      <c r="BH59" s="9"/>
      <c r="BO59" s="8"/>
    </row>
    <row r="60" spans="1:67" ht="99.75">
      <c r="A60" s="9">
        <v>2025</v>
      </c>
      <c r="B60" s="4">
        <v>9</v>
      </c>
      <c r="C60" s="4" t="s">
        <v>79</v>
      </c>
      <c r="E60" s="4" t="s">
        <v>104</v>
      </c>
      <c r="G60" s="10"/>
      <c r="H60" s="62">
        <v>45748</v>
      </c>
      <c r="I60" s="10"/>
      <c r="J60" s="10"/>
      <c r="K60" s="4" t="s">
        <v>1144</v>
      </c>
      <c r="L60" s="4" t="s">
        <v>97</v>
      </c>
      <c r="M60" s="4" t="str">
        <f t="shared" ca="1" si="6"/>
        <v>SUSCRITO</v>
      </c>
      <c r="N60" s="4" t="s">
        <v>44</v>
      </c>
      <c r="O60" s="6" t="s">
        <v>333</v>
      </c>
      <c r="P60" s="4" t="s">
        <v>1145</v>
      </c>
      <c r="Q60" s="37">
        <v>6216503808.54</v>
      </c>
      <c r="R60" s="37">
        <v>0</v>
      </c>
      <c r="S60" s="38">
        <f t="shared" si="10"/>
        <v>6216503808.54</v>
      </c>
      <c r="T60" s="39">
        <f t="shared" si="9"/>
        <v>666053979.4864285</v>
      </c>
      <c r="U60" s="4" t="s">
        <v>1146</v>
      </c>
      <c r="V60" s="4" t="s">
        <v>1147</v>
      </c>
      <c r="W60" s="4" t="s">
        <v>22</v>
      </c>
      <c r="X60" s="4" t="s">
        <v>23</v>
      </c>
      <c r="Y60" s="65" t="s">
        <v>24</v>
      </c>
      <c r="Z60" s="4" t="s">
        <v>24</v>
      </c>
      <c r="AB60" s="4" t="s">
        <v>24</v>
      </c>
      <c r="AD60" s="4" t="s">
        <v>24</v>
      </c>
      <c r="AE60" s="4" t="s">
        <v>24</v>
      </c>
      <c r="AJ60" s="8" t="s">
        <v>1148</v>
      </c>
      <c r="AK60" s="4" cm="1">
        <f t="array" ref="AK60">SUMPRODUCT((Y60:AI60&lt;&gt;"Pendiente")*(Y60:AI60&lt;&gt;""))</f>
        <v>5</v>
      </c>
      <c r="AL60" s="4">
        <f>COUNTA(Tabla2[[#This Row],[INVITACIÓN]:[ACTA DE INICIO]])</f>
        <v>5</v>
      </c>
      <c r="AM60" s="26">
        <f t="shared" si="7"/>
        <v>1</v>
      </c>
      <c r="AN60" s="47"/>
      <c r="BD60" s="4">
        <f>COUNTA(Tabla2[[#This Row],[(1)SOLICITUD DE  APERTURA FIRNANCIERA Y PRESUPUESTO 1 (FECHA) ]:[(15) FECHA DE CONTRATACIÓN ADMINISTRATIVO]])</f>
        <v>0</v>
      </c>
      <c r="BE60" s="26">
        <f>Tabla2[[#This Row],[NUMERO OK]]/15</f>
        <v>0</v>
      </c>
      <c r="BF60" s="4" t="str">
        <f t="shared" ca="1" si="8"/>
        <v>N/A</v>
      </c>
      <c r="BH60" s="9"/>
      <c r="BO60" s="8"/>
    </row>
    <row r="61" spans="1:67" ht="85.5">
      <c r="A61" s="9">
        <v>2025</v>
      </c>
      <c r="B61" s="4">
        <v>10</v>
      </c>
      <c r="C61" s="4" t="s">
        <v>79</v>
      </c>
      <c r="E61" s="4" t="s">
        <v>1004</v>
      </c>
      <c r="G61" s="10"/>
      <c r="H61" s="62">
        <v>45749</v>
      </c>
      <c r="I61" s="10"/>
      <c r="J61" s="10"/>
      <c r="K61" s="4">
        <v>250366</v>
      </c>
      <c r="L61" s="4" t="s">
        <v>74</v>
      </c>
      <c r="M61" s="4" t="str">
        <f t="shared" ca="1" si="6"/>
        <v>SUSCRITO</v>
      </c>
      <c r="N61" s="4" t="s">
        <v>54</v>
      </c>
      <c r="O61" s="6" t="s">
        <v>360</v>
      </c>
      <c r="P61" s="4" t="s">
        <v>616</v>
      </c>
      <c r="Q61" s="37">
        <v>618838000</v>
      </c>
      <c r="R61" s="37">
        <v>61000000</v>
      </c>
      <c r="S61" s="38">
        <f t="shared" si="10"/>
        <v>679838000</v>
      </c>
      <c r="T61" s="39">
        <f t="shared" si="9"/>
        <v>66304071.428571425</v>
      </c>
      <c r="U61" s="4" t="s">
        <v>1149</v>
      </c>
      <c r="V61" s="4" t="s">
        <v>57</v>
      </c>
      <c r="W61" s="4" t="s">
        <v>34</v>
      </c>
      <c r="X61" s="4" t="s">
        <v>23</v>
      </c>
      <c r="Y61" s="65" t="s">
        <v>17</v>
      </c>
      <c r="Z61" s="4" t="s">
        <v>24</v>
      </c>
      <c r="AA61" s="4" t="s">
        <v>24</v>
      </c>
      <c r="AB61" s="4" t="s">
        <v>24</v>
      </c>
      <c r="AC61" s="4" t="s">
        <v>24</v>
      </c>
      <c r="AD61" s="4" t="s">
        <v>24</v>
      </c>
      <c r="AE61" s="4" t="s">
        <v>24</v>
      </c>
      <c r="AF61" s="4" t="s">
        <v>24</v>
      </c>
      <c r="AG61" s="4" t="s">
        <v>36</v>
      </c>
      <c r="AH61" s="4" t="s">
        <v>36</v>
      </c>
      <c r="AI61" s="4" t="s">
        <v>36</v>
      </c>
      <c r="AJ61" s="68" t="s">
        <v>192</v>
      </c>
      <c r="AK61" s="4" cm="1">
        <f t="array" ref="AK61">SUMPRODUCT((Y61:AI61&lt;&gt;"Pendiente")*(Y61:AI61&lt;&gt;""))</f>
        <v>8</v>
      </c>
      <c r="AL61" s="4">
        <f>COUNTA(Tabla2[[#This Row],[INVITACIÓN]:[ACTA DE INICIO]])</f>
        <v>11</v>
      </c>
      <c r="AM61" s="26">
        <f t="shared" si="7"/>
        <v>0.72727272727272729</v>
      </c>
      <c r="AN61" s="47"/>
      <c r="BD61" s="4">
        <f>COUNTA(Tabla2[[#This Row],[(1)SOLICITUD DE  APERTURA FIRNANCIERA Y PRESUPUESTO 1 (FECHA) ]:[(15) FECHA DE CONTRATACIÓN ADMINISTRATIVO]])</f>
        <v>0</v>
      </c>
      <c r="BE61" s="26">
        <f>Tabla2[[#This Row],[NUMERO OK]]/15</f>
        <v>0</v>
      </c>
      <c r="BF61" s="4" t="str">
        <f t="shared" ca="1" si="8"/>
        <v>N/A</v>
      </c>
      <c r="BH61" s="9"/>
      <c r="BO61" s="8"/>
    </row>
    <row r="62" spans="1:67">
      <c r="A62" s="9"/>
      <c r="G62" s="10"/>
      <c r="H62" s="62"/>
      <c r="I62" s="10"/>
      <c r="J62" s="10"/>
      <c r="M62" s="4" t="str">
        <f t="shared" ca="1" si="6"/>
        <v>SUSCRITO</v>
      </c>
      <c r="O62" s="6"/>
      <c r="Q62" s="37"/>
      <c r="R62" s="37"/>
      <c r="S62" s="38">
        <f t="shared" si="10"/>
        <v>0</v>
      </c>
      <c r="T62" s="39">
        <f t="shared" si="9"/>
        <v>0</v>
      </c>
      <c r="Y62" s="65"/>
      <c r="AJ62" s="68"/>
      <c r="AK62" s="4" cm="1">
        <f t="array" ref="AK62">SUMPRODUCT((Y62:AI62&lt;&gt;"Pendiente")*(Y62:AI62&lt;&gt;""))</f>
        <v>0</v>
      </c>
      <c r="AL62" s="4">
        <f>COUNTA(Tabla2[[#This Row],[INVITACIÓN]:[ACTA DE INICIO]])</f>
        <v>0</v>
      </c>
      <c r="AM62" s="26" t="e">
        <f t="shared" si="7"/>
        <v>#DIV/0!</v>
      </c>
      <c r="AN62" s="47"/>
      <c r="BD62" s="4">
        <f>COUNTA(Tabla2[[#This Row],[(1)SOLICITUD DE  APERTURA FIRNANCIERA Y PRESUPUESTO 1 (FECHA) ]:[(15) FECHA DE CONTRATACIÓN ADMINISTRATIVO]])</f>
        <v>0</v>
      </c>
      <c r="BE62" s="26">
        <f>Tabla2[[#This Row],[NUMERO OK]]/15</f>
        <v>0</v>
      </c>
      <c r="BF62" s="4" t="str">
        <f t="shared" ca="1" si="8"/>
        <v>N/A</v>
      </c>
      <c r="BH62" s="9"/>
      <c r="BO62" s="8"/>
    </row>
    <row r="63" spans="1:67">
      <c r="A63" s="9"/>
      <c r="G63" s="10"/>
      <c r="H63" s="62"/>
      <c r="I63" s="10"/>
      <c r="J63" s="10"/>
      <c r="M63" s="4" t="str">
        <f t="shared" ca="1" si="6"/>
        <v>SUSCRITO</v>
      </c>
      <c r="O63" s="6"/>
      <c r="Q63" s="37"/>
      <c r="R63" s="37"/>
      <c r="S63" s="38">
        <f t="shared" si="10"/>
        <v>0</v>
      </c>
      <c r="T63" s="39">
        <f t="shared" si="9"/>
        <v>0</v>
      </c>
      <c r="Y63" s="65"/>
      <c r="AJ63" s="68"/>
      <c r="AK63" s="4" cm="1">
        <f t="array" ref="AK63">SUMPRODUCT((Y63:AI63&lt;&gt;"Pendiente")*(Y63:AI63&lt;&gt;""))</f>
        <v>0</v>
      </c>
      <c r="AL63" s="4">
        <f>COUNTA(Tabla2[[#This Row],[INVITACIÓN]:[ACTA DE INICIO]])</f>
        <v>0</v>
      </c>
      <c r="AM63" s="26" t="e">
        <f t="shared" si="7"/>
        <v>#DIV/0!</v>
      </c>
      <c r="AN63" s="47"/>
      <c r="BD63" s="4">
        <f>COUNTA(Tabla2[[#This Row],[(1)SOLICITUD DE  APERTURA FIRNANCIERA Y PRESUPUESTO 1 (FECHA) ]:[(15) FECHA DE CONTRATACIÓN ADMINISTRATIVO]])</f>
        <v>0</v>
      </c>
      <c r="BE63" s="26">
        <f>Tabla2[[#This Row],[NUMERO OK]]/15</f>
        <v>0</v>
      </c>
      <c r="BF63" s="4" t="str">
        <f t="shared" ca="1" si="8"/>
        <v>N/A</v>
      </c>
      <c r="BH63" s="9"/>
      <c r="BO63" s="8"/>
    </row>
    <row r="64" spans="1:67">
      <c r="A64" s="9"/>
      <c r="G64" s="10"/>
      <c r="H64" s="62"/>
      <c r="I64" s="10"/>
      <c r="J64" s="10"/>
      <c r="M64" s="4" t="str">
        <f t="shared" ca="1" si="6"/>
        <v>SUSCRITO</v>
      </c>
      <c r="O64" s="6"/>
      <c r="Q64" s="37"/>
      <c r="R64" s="37"/>
      <c r="S64" s="38">
        <f t="shared" si="10"/>
        <v>0</v>
      </c>
      <c r="T64" s="39">
        <f t="shared" si="9"/>
        <v>0</v>
      </c>
      <c r="Y64" s="65"/>
      <c r="AJ64" s="68"/>
      <c r="AK64" s="4" cm="1">
        <f t="array" ref="AK64">SUMPRODUCT((Y64:AI64&lt;&gt;"Pendiente")*(Y64:AI64&lt;&gt;""))</f>
        <v>0</v>
      </c>
      <c r="AL64" s="4">
        <f>COUNTA(Tabla2[[#This Row],[INVITACIÓN]:[ACTA DE INICIO]])</f>
        <v>0</v>
      </c>
      <c r="AM64" s="26" t="e">
        <f t="shared" si="7"/>
        <v>#DIV/0!</v>
      </c>
      <c r="AN64" s="47"/>
      <c r="BD64" s="4">
        <f>COUNTA(Tabla2[[#This Row],[(1)SOLICITUD DE  APERTURA FIRNANCIERA Y PRESUPUESTO 1 (FECHA) ]:[(15) FECHA DE CONTRATACIÓN ADMINISTRATIVO]])</f>
        <v>0</v>
      </c>
      <c r="BE64" s="26">
        <f>Tabla2[[#This Row],[NUMERO OK]]/15</f>
        <v>0</v>
      </c>
      <c r="BF64" s="4" t="str">
        <f t="shared" ca="1" si="8"/>
        <v>N/A</v>
      </c>
      <c r="BH64" s="9"/>
      <c r="BO64" s="8"/>
    </row>
    <row r="65" spans="1:67">
      <c r="A65" s="9"/>
      <c r="G65" s="10"/>
      <c r="H65" s="62"/>
      <c r="I65" s="10"/>
      <c r="J65" s="10"/>
      <c r="M65" s="4" t="str">
        <f t="shared" ca="1" si="6"/>
        <v>SUSCRITO</v>
      </c>
      <c r="O65" s="6"/>
      <c r="Q65" s="37"/>
      <c r="R65" s="37"/>
      <c r="S65" s="38">
        <f t="shared" si="10"/>
        <v>0</v>
      </c>
      <c r="T65" s="39">
        <f t="shared" si="9"/>
        <v>0</v>
      </c>
      <c r="Y65" s="65"/>
      <c r="AJ65" s="68"/>
      <c r="AK65" s="4" cm="1">
        <f t="array" ref="AK65">SUMPRODUCT((Y65:AI65&lt;&gt;"Pendiente")*(Y65:AI65&lt;&gt;""))</f>
        <v>0</v>
      </c>
      <c r="AL65" s="4">
        <f>COUNTA(Tabla2[[#This Row],[INVITACIÓN]:[ACTA DE INICIO]])</f>
        <v>0</v>
      </c>
      <c r="AM65" s="26" t="e">
        <f t="shared" si="7"/>
        <v>#DIV/0!</v>
      </c>
      <c r="AN65" s="47"/>
      <c r="BD65" s="4">
        <f>COUNTA(Tabla2[[#This Row],[(1)SOLICITUD DE  APERTURA FIRNANCIERA Y PRESUPUESTO 1 (FECHA) ]:[(15) FECHA DE CONTRATACIÓN ADMINISTRATIVO]])</f>
        <v>0</v>
      </c>
      <c r="BE65" s="26">
        <f>Tabla2[[#This Row],[NUMERO OK]]/15</f>
        <v>0</v>
      </c>
      <c r="BF65" s="4" t="str">
        <f t="shared" ca="1" si="8"/>
        <v>N/A</v>
      </c>
      <c r="BH65" s="9"/>
      <c r="BO65" s="8"/>
    </row>
    <row r="66" spans="1:67">
      <c r="A66" s="9"/>
      <c r="G66" s="10"/>
      <c r="H66" s="62"/>
      <c r="I66" s="10"/>
      <c r="J66" s="10"/>
      <c r="M66" s="4" t="str">
        <f t="shared" ca="1" si="6"/>
        <v>SUSCRITO</v>
      </c>
      <c r="O66" s="6"/>
      <c r="Q66" s="37"/>
      <c r="R66" s="37"/>
      <c r="S66" s="38">
        <f t="shared" si="10"/>
        <v>0</v>
      </c>
      <c r="T66" s="39">
        <f t="shared" si="9"/>
        <v>0</v>
      </c>
      <c r="Y66" s="65"/>
      <c r="AJ66" s="68"/>
      <c r="AK66" s="4" cm="1">
        <f t="array" ref="AK66">SUMPRODUCT((Y66:AI66&lt;&gt;"Pendiente")*(Y66:AI66&lt;&gt;""))</f>
        <v>0</v>
      </c>
      <c r="AL66" s="4">
        <f>COUNTA(Tabla2[[#This Row],[INVITACIÓN]:[ACTA DE INICIO]])</f>
        <v>0</v>
      </c>
      <c r="AM66" s="26" t="e">
        <f t="shared" si="7"/>
        <v>#DIV/0!</v>
      </c>
      <c r="AN66" s="47"/>
      <c r="BD66" s="4">
        <f>COUNTA(Tabla2[[#This Row],[(1)SOLICITUD DE  APERTURA FIRNANCIERA Y PRESUPUESTO 1 (FECHA) ]:[(15) FECHA DE CONTRATACIÓN ADMINISTRATIVO]])</f>
        <v>0</v>
      </c>
      <c r="BE66" s="26">
        <f>Tabla2[[#This Row],[NUMERO OK]]/15</f>
        <v>0</v>
      </c>
      <c r="BF66" s="4" t="str">
        <f t="shared" ca="1" si="8"/>
        <v>N/A</v>
      </c>
      <c r="BH66" s="9"/>
      <c r="BO66" s="8"/>
    </row>
    <row r="67" spans="1:67">
      <c r="A67" s="9"/>
      <c r="G67" s="10"/>
      <c r="H67" s="62"/>
      <c r="I67" s="10"/>
      <c r="J67" s="10"/>
      <c r="M67" s="4" t="str">
        <f t="shared" ref="M67:M98" ca="1" si="11">IF(J67="", "SUSCRITO", IF(J67&lt;=TODAY(), "FINALIZADO", "EN EJECUCIÓN"))</f>
        <v>SUSCRITO</v>
      </c>
      <c r="O67" s="6"/>
      <c r="Q67" s="37"/>
      <c r="R67" s="37"/>
      <c r="S67" s="38">
        <f t="shared" si="10"/>
        <v>0</v>
      </c>
      <c r="T67" s="39">
        <f t="shared" si="9"/>
        <v>0</v>
      </c>
      <c r="Y67" s="65"/>
      <c r="AJ67" s="68"/>
      <c r="AK67" s="4" cm="1">
        <f t="array" ref="AK67">SUMPRODUCT((Y67:AI67&lt;&gt;"Pendiente")*(Y67:AI67&lt;&gt;""))</f>
        <v>0</v>
      </c>
      <c r="AL67" s="4">
        <f>COUNTA(Tabla2[[#This Row],[INVITACIÓN]:[ACTA DE INICIO]])</f>
        <v>0</v>
      </c>
      <c r="AM67" s="26" t="e">
        <f t="shared" ref="AM67:AM98" si="12">AK67/AL67</f>
        <v>#DIV/0!</v>
      </c>
      <c r="AN67" s="47"/>
      <c r="BD67" s="4">
        <f>COUNTA(Tabla2[[#This Row],[(1)SOLICITUD DE  APERTURA FIRNANCIERA Y PRESUPUESTO 1 (FECHA) ]:[(15) FECHA DE CONTRATACIÓN ADMINISTRATIVO]])</f>
        <v>0</v>
      </c>
      <c r="BE67" s="26">
        <f>Tabla2[[#This Row],[NUMERO OK]]/15</f>
        <v>0</v>
      </c>
      <c r="BF67" s="4" t="str">
        <f t="shared" ref="BF67:BF98" ca="1" si="13">IF(ISBLANK(I67),"N/A",
   IF(TODAY()-I67&lt;=15,
      IF(BE67=100%,"EnTiempos","EnProceso"),
      IF(BE67&lt;80%,"RiesgoAlto",
         IF(BE67&lt;100%,"RiesgoMedio","Cumplido")
      )
   )
)</f>
        <v>N/A</v>
      </c>
      <c r="BH67" s="9"/>
      <c r="BO67" s="8"/>
    </row>
    <row r="68" spans="1:67">
      <c r="A68" s="9"/>
      <c r="G68" s="10"/>
      <c r="H68" s="62"/>
      <c r="I68" s="10"/>
      <c r="J68" s="10"/>
      <c r="M68" s="4" t="str">
        <f t="shared" ca="1" si="11"/>
        <v>SUSCRITO</v>
      </c>
      <c r="O68" s="6"/>
      <c r="Q68" s="37"/>
      <c r="R68" s="37"/>
      <c r="S68" s="38">
        <f t="shared" si="10"/>
        <v>0</v>
      </c>
      <c r="T68" s="39">
        <f t="shared" si="9"/>
        <v>0</v>
      </c>
      <c r="Y68" s="65"/>
      <c r="AJ68" s="68"/>
      <c r="AK68" s="4" cm="1">
        <f t="array" ref="AK68">SUMPRODUCT((Y68:AI68&lt;&gt;"Pendiente")*(Y68:AI68&lt;&gt;""))</f>
        <v>0</v>
      </c>
      <c r="AL68" s="4">
        <f>COUNTA(Tabla2[[#This Row],[INVITACIÓN]:[ACTA DE INICIO]])</f>
        <v>0</v>
      </c>
      <c r="AM68" s="26" t="e">
        <f t="shared" si="12"/>
        <v>#DIV/0!</v>
      </c>
      <c r="AN68" s="47"/>
      <c r="BD68" s="4">
        <f>COUNTA(Tabla2[[#This Row],[(1)SOLICITUD DE  APERTURA FIRNANCIERA Y PRESUPUESTO 1 (FECHA) ]:[(15) FECHA DE CONTRATACIÓN ADMINISTRATIVO]])</f>
        <v>0</v>
      </c>
      <c r="BE68" s="26">
        <f>Tabla2[[#This Row],[NUMERO OK]]/15</f>
        <v>0</v>
      </c>
      <c r="BF68" s="4" t="str">
        <f t="shared" ca="1" si="13"/>
        <v>N/A</v>
      </c>
      <c r="BH68" s="9"/>
      <c r="BO68" s="8"/>
    </row>
    <row r="69" spans="1:67">
      <c r="A69" s="9"/>
      <c r="G69" s="10"/>
      <c r="H69" s="62"/>
      <c r="I69" s="10"/>
      <c r="J69" s="10"/>
      <c r="M69" s="4" t="str">
        <f t="shared" ca="1" si="11"/>
        <v>SUSCRITO</v>
      </c>
      <c r="O69" s="6"/>
      <c r="Q69" s="37"/>
      <c r="R69" s="37"/>
      <c r="S69" s="38">
        <f t="shared" si="10"/>
        <v>0</v>
      </c>
      <c r="T69" s="39">
        <f t="shared" si="9"/>
        <v>0</v>
      </c>
      <c r="Y69" s="65"/>
      <c r="AJ69" s="68"/>
      <c r="AK69" s="4" cm="1">
        <f t="array" ref="AK69">SUMPRODUCT((Y69:AI69&lt;&gt;"Pendiente")*(Y69:AI69&lt;&gt;""))</f>
        <v>0</v>
      </c>
      <c r="AL69" s="4">
        <f>COUNTA(Tabla2[[#This Row],[INVITACIÓN]:[ACTA DE INICIO]])</f>
        <v>0</v>
      </c>
      <c r="AM69" s="26" t="e">
        <f t="shared" si="12"/>
        <v>#DIV/0!</v>
      </c>
      <c r="AN69" s="47"/>
      <c r="BD69" s="4">
        <f>COUNTA(Tabla2[[#This Row],[(1)SOLICITUD DE  APERTURA FIRNANCIERA Y PRESUPUESTO 1 (FECHA) ]:[(15) FECHA DE CONTRATACIÓN ADMINISTRATIVO]])</f>
        <v>0</v>
      </c>
      <c r="BE69" s="26">
        <f>Tabla2[[#This Row],[NUMERO OK]]/15</f>
        <v>0</v>
      </c>
      <c r="BF69" s="4" t="str">
        <f t="shared" ca="1" si="13"/>
        <v>N/A</v>
      </c>
      <c r="BH69" s="9"/>
      <c r="BO69" s="8"/>
    </row>
    <row r="70" spans="1:67">
      <c r="A70" s="9"/>
      <c r="G70" s="10"/>
      <c r="H70" s="62"/>
      <c r="I70" s="10"/>
      <c r="J70" s="10"/>
      <c r="M70" s="4" t="str">
        <f t="shared" ca="1" si="11"/>
        <v>SUSCRITO</v>
      </c>
      <c r="O70" s="6"/>
      <c r="Q70" s="37"/>
      <c r="R70" s="37"/>
      <c r="S70" s="38">
        <f t="shared" si="10"/>
        <v>0</v>
      </c>
      <c r="T70" s="39">
        <f t="shared" si="9"/>
        <v>0</v>
      </c>
      <c r="Y70" s="65"/>
      <c r="AJ70" s="68"/>
      <c r="AK70" s="4" cm="1">
        <f t="array" ref="AK70">SUMPRODUCT((Y70:AI70&lt;&gt;"Pendiente")*(Y70:AI70&lt;&gt;""))</f>
        <v>0</v>
      </c>
      <c r="AL70" s="4">
        <f>COUNTA(Tabla2[[#This Row],[INVITACIÓN]:[ACTA DE INICIO]])</f>
        <v>0</v>
      </c>
      <c r="AM70" s="26" t="e">
        <f t="shared" si="12"/>
        <v>#DIV/0!</v>
      </c>
      <c r="AN70" s="47"/>
      <c r="BD70" s="4">
        <f>COUNTA(Tabla2[[#This Row],[(1)SOLICITUD DE  APERTURA FIRNANCIERA Y PRESUPUESTO 1 (FECHA) ]:[(15) FECHA DE CONTRATACIÓN ADMINISTRATIVO]])</f>
        <v>0</v>
      </c>
      <c r="BE70" s="26">
        <f>Tabla2[[#This Row],[NUMERO OK]]/15</f>
        <v>0</v>
      </c>
      <c r="BF70" s="4" t="str">
        <f t="shared" ca="1" si="13"/>
        <v>N/A</v>
      </c>
      <c r="BH70" s="9"/>
      <c r="BO70" s="8"/>
    </row>
    <row r="71" spans="1:67">
      <c r="A71" s="9"/>
      <c r="G71" s="10"/>
      <c r="H71" s="62"/>
      <c r="I71" s="10"/>
      <c r="J71" s="10"/>
      <c r="M71" s="4" t="str">
        <f t="shared" ca="1" si="11"/>
        <v>SUSCRITO</v>
      </c>
      <c r="O71" s="6"/>
      <c r="Q71" s="37"/>
      <c r="R71" s="37"/>
      <c r="S71" s="38">
        <f t="shared" si="10"/>
        <v>0</v>
      </c>
      <c r="T71" s="39">
        <f t="shared" si="9"/>
        <v>0</v>
      </c>
      <c r="Y71" s="65"/>
      <c r="AJ71" s="68"/>
      <c r="AK71" s="4" cm="1">
        <f t="array" ref="AK71">SUMPRODUCT((Y71:AI71&lt;&gt;"Pendiente")*(Y71:AI71&lt;&gt;""))</f>
        <v>0</v>
      </c>
      <c r="AL71" s="4">
        <f>COUNTA(Tabla2[[#This Row],[INVITACIÓN]:[ACTA DE INICIO]])</f>
        <v>0</v>
      </c>
      <c r="AM71" s="26" t="e">
        <f t="shared" si="12"/>
        <v>#DIV/0!</v>
      </c>
      <c r="AN71" s="47"/>
      <c r="BD71" s="4">
        <f>COUNTA(Tabla2[[#This Row],[(1)SOLICITUD DE  APERTURA FIRNANCIERA Y PRESUPUESTO 1 (FECHA) ]:[(15) FECHA DE CONTRATACIÓN ADMINISTRATIVO]])</f>
        <v>0</v>
      </c>
      <c r="BE71" s="26">
        <f>Tabla2[[#This Row],[NUMERO OK]]/15</f>
        <v>0</v>
      </c>
      <c r="BF71" s="4" t="str">
        <f t="shared" ca="1" si="13"/>
        <v>N/A</v>
      </c>
      <c r="BH71" s="9"/>
      <c r="BO71" s="8"/>
    </row>
    <row r="72" spans="1:67">
      <c r="A72" s="9"/>
      <c r="G72" s="10"/>
      <c r="H72" s="62"/>
      <c r="I72" s="10"/>
      <c r="J72" s="10"/>
      <c r="M72" s="4" t="str">
        <f t="shared" ca="1" si="11"/>
        <v>SUSCRITO</v>
      </c>
      <c r="O72" s="6"/>
      <c r="Q72" s="37"/>
      <c r="R72" s="37"/>
      <c r="S72" s="38">
        <f t="shared" si="10"/>
        <v>0</v>
      </c>
      <c r="T72" s="39">
        <f t="shared" si="9"/>
        <v>0</v>
      </c>
      <c r="Y72" s="65"/>
      <c r="AJ72" s="68"/>
      <c r="AK72" s="4" cm="1">
        <f t="array" ref="AK72">SUMPRODUCT((Y72:AI72&lt;&gt;"Pendiente")*(Y72:AI72&lt;&gt;""))</f>
        <v>0</v>
      </c>
      <c r="AL72" s="4">
        <f>COUNTA(Tabla2[[#This Row],[INVITACIÓN]:[ACTA DE INICIO]])</f>
        <v>0</v>
      </c>
      <c r="AM72" s="26" t="e">
        <f t="shared" si="12"/>
        <v>#DIV/0!</v>
      </c>
      <c r="AN72" s="47"/>
      <c r="BD72" s="4">
        <f>COUNTA(Tabla2[[#This Row],[(1)SOLICITUD DE  APERTURA FIRNANCIERA Y PRESUPUESTO 1 (FECHA) ]:[(15) FECHA DE CONTRATACIÓN ADMINISTRATIVO]])</f>
        <v>0</v>
      </c>
      <c r="BE72" s="26">
        <f>Tabla2[[#This Row],[NUMERO OK]]/15</f>
        <v>0</v>
      </c>
      <c r="BF72" s="4" t="str">
        <f t="shared" ca="1" si="13"/>
        <v>N/A</v>
      </c>
      <c r="BH72" s="9"/>
      <c r="BO72" s="8"/>
    </row>
    <row r="73" spans="1:67">
      <c r="A73" s="9"/>
      <c r="G73" s="10"/>
      <c r="H73" s="62"/>
      <c r="I73" s="10"/>
      <c r="J73" s="10"/>
      <c r="M73" s="4" t="str">
        <f t="shared" ca="1" si="11"/>
        <v>SUSCRITO</v>
      </c>
      <c r="O73" s="6"/>
      <c r="Q73" s="37"/>
      <c r="R73" s="37"/>
      <c r="S73" s="38">
        <f t="shared" si="10"/>
        <v>0</v>
      </c>
      <c r="T73" s="39">
        <f t="shared" si="9"/>
        <v>0</v>
      </c>
      <c r="Y73" s="65"/>
      <c r="AJ73" s="68"/>
      <c r="AK73" s="4" cm="1">
        <f t="array" ref="AK73">SUMPRODUCT((Y73:AI73&lt;&gt;"Pendiente")*(Y73:AI73&lt;&gt;""))</f>
        <v>0</v>
      </c>
      <c r="AL73" s="4">
        <f>COUNTA(Tabla2[[#This Row],[INVITACIÓN]:[ACTA DE INICIO]])</f>
        <v>0</v>
      </c>
      <c r="AM73" s="26" t="e">
        <f t="shared" si="12"/>
        <v>#DIV/0!</v>
      </c>
      <c r="AN73" s="47"/>
      <c r="BD73" s="4">
        <f>COUNTA(Tabla2[[#This Row],[(1)SOLICITUD DE  APERTURA FIRNANCIERA Y PRESUPUESTO 1 (FECHA) ]:[(15) FECHA DE CONTRATACIÓN ADMINISTRATIVO]])</f>
        <v>0</v>
      </c>
      <c r="BE73" s="26">
        <f>Tabla2[[#This Row],[NUMERO OK]]/15</f>
        <v>0</v>
      </c>
      <c r="BF73" s="4" t="str">
        <f t="shared" ca="1" si="13"/>
        <v>N/A</v>
      </c>
      <c r="BH73" s="9"/>
      <c r="BO73" s="8"/>
    </row>
    <row r="74" spans="1:67">
      <c r="A74" s="9"/>
      <c r="G74" s="10"/>
      <c r="H74" s="62"/>
      <c r="I74" s="10"/>
      <c r="J74" s="10"/>
      <c r="M74" s="4" t="str">
        <f t="shared" ca="1" si="11"/>
        <v>SUSCRITO</v>
      </c>
      <c r="O74" s="6"/>
      <c r="Q74" s="37"/>
      <c r="R74" s="37"/>
      <c r="S74" s="38">
        <f t="shared" si="10"/>
        <v>0</v>
      </c>
      <c r="T74" s="39">
        <f t="shared" si="9"/>
        <v>0</v>
      </c>
      <c r="Y74" s="65"/>
      <c r="AJ74" s="68"/>
      <c r="AK74" s="4" cm="1">
        <f t="array" ref="AK74">SUMPRODUCT((Y74:AI74&lt;&gt;"Pendiente")*(Y74:AI74&lt;&gt;""))</f>
        <v>0</v>
      </c>
      <c r="AL74" s="4">
        <f>COUNTA(Tabla2[[#This Row],[INVITACIÓN]:[ACTA DE INICIO]])</f>
        <v>0</v>
      </c>
      <c r="AM74" s="26" t="e">
        <f t="shared" si="12"/>
        <v>#DIV/0!</v>
      </c>
      <c r="AN74" s="47"/>
      <c r="BD74" s="4">
        <f>COUNTA(Tabla2[[#This Row],[(1)SOLICITUD DE  APERTURA FIRNANCIERA Y PRESUPUESTO 1 (FECHA) ]:[(15) FECHA DE CONTRATACIÓN ADMINISTRATIVO]])</f>
        <v>0</v>
      </c>
      <c r="BE74" s="26">
        <f>Tabla2[[#This Row],[NUMERO OK]]/15</f>
        <v>0</v>
      </c>
      <c r="BF74" s="4" t="str">
        <f t="shared" ca="1" si="13"/>
        <v>N/A</v>
      </c>
      <c r="BH74" s="9"/>
      <c r="BO74" s="8"/>
    </row>
    <row r="75" spans="1:67">
      <c r="A75" s="9"/>
      <c r="G75" s="10"/>
      <c r="H75" s="62"/>
      <c r="I75" s="10"/>
      <c r="J75" s="10"/>
      <c r="M75" s="4" t="str">
        <f t="shared" ca="1" si="11"/>
        <v>SUSCRITO</v>
      </c>
      <c r="O75" s="6"/>
      <c r="Q75" s="37"/>
      <c r="R75" s="37"/>
      <c r="S75" s="38">
        <f t="shared" si="10"/>
        <v>0</v>
      </c>
      <c r="T75" s="39">
        <f t="shared" si="9"/>
        <v>0</v>
      </c>
      <c r="Y75" s="65"/>
      <c r="AJ75" s="68"/>
      <c r="AK75" s="4" cm="1">
        <f t="array" ref="AK75">SUMPRODUCT((Y75:AI75&lt;&gt;"Pendiente")*(Y75:AI75&lt;&gt;""))</f>
        <v>0</v>
      </c>
      <c r="AL75" s="4">
        <f>COUNTA(Tabla2[[#This Row],[INVITACIÓN]:[ACTA DE INICIO]])</f>
        <v>0</v>
      </c>
      <c r="AM75" s="26" t="e">
        <f t="shared" si="12"/>
        <v>#DIV/0!</v>
      </c>
      <c r="AN75" s="47"/>
      <c r="BD75" s="4">
        <f>COUNTA(Tabla2[[#This Row],[(1)SOLICITUD DE  APERTURA FIRNANCIERA Y PRESUPUESTO 1 (FECHA) ]:[(15) FECHA DE CONTRATACIÓN ADMINISTRATIVO]])</f>
        <v>0</v>
      </c>
      <c r="BE75" s="26">
        <f>Tabla2[[#This Row],[NUMERO OK]]/15</f>
        <v>0</v>
      </c>
      <c r="BF75" s="4" t="str">
        <f t="shared" ca="1" si="13"/>
        <v>N/A</v>
      </c>
      <c r="BH75" s="9"/>
      <c r="BO75" s="8"/>
    </row>
    <row r="76" spans="1:67">
      <c r="A76" s="9"/>
      <c r="G76" s="10"/>
      <c r="H76" s="62"/>
      <c r="I76" s="10"/>
      <c r="J76" s="10"/>
      <c r="M76" s="4" t="str">
        <f t="shared" ca="1" si="11"/>
        <v>SUSCRITO</v>
      </c>
      <c r="O76" s="6"/>
      <c r="Q76" s="37"/>
      <c r="R76" s="37"/>
      <c r="S76" s="38">
        <f t="shared" si="10"/>
        <v>0</v>
      </c>
      <c r="T76" s="39">
        <f t="shared" si="9"/>
        <v>0</v>
      </c>
      <c r="Y76" s="65"/>
      <c r="AJ76" s="68"/>
      <c r="AK76" s="4" cm="1">
        <f t="array" ref="AK76">SUMPRODUCT((Y76:AI76&lt;&gt;"Pendiente")*(Y76:AI76&lt;&gt;""))</f>
        <v>0</v>
      </c>
      <c r="AL76" s="4">
        <f>COUNTA(Tabla2[[#This Row],[INVITACIÓN]:[ACTA DE INICIO]])</f>
        <v>0</v>
      </c>
      <c r="AM76" s="26" t="e">
        <f t="shared" si="12"/>
        <v>#DIV/0!</v>
      </c>
      <c r="AN76" s="47"/>
      <c r="BD76" s="4">
        <f>COUNTA(Tabla2[[#This Row],[(1)SOLICITUD DE  APERTURA FIRNANCIERA Y PRESUPUESTO 1 (FECHA) ]:[(15) FECHA DE CONTRATACIÓN ADMINISTRATIVO]])</f>
        <v>0</v>
      </c>
      <c r="BE76" s="26">
        <f>Tabla2[[#This Row],[NUMERO OK]]/15</f>
        <v>0</v>
      </c>
      <c r="BF76" s="4" t="str">
        <f t="shared" ca="1" si="13"/>
        <v>N/A</v>
      </c>
      <c r="BH76" s="9"/>
      <c r="BO76" s="8"/>
    </row>
    <row r="77" spans="1:67">
      <c r="A77" s="9"/>
      <c r="G77" s="10"/>
      <c r="H77" s="62"/>
      <c r="I77" s="10"/>
      <c r="J77" s="10"/>
      <c r="M77" s="4" t="str">
        <f t="shared" ca="1" si="11"/>
        <v>SUSCRITO</v>
      </c>
      <c r="O77" s="6"/>
      <c r="Q77" s="37"/>
      <c r="R77" s="37"/>
      <c r="S77" s="38">
        <f t="shared" si="10"/>
        <v>0</v>
      </c>
      <c r="T77" s="39">
        <f t="shared" si="9"/>
        <v>0</v>
      </c>
      <c r="Y77" s="65"/>
      <c r="AJ77" s="68"/>
      <c r="AK77" s="4" cm="1">
        <f t="array" ref="AK77">SUMPRODUCT((Y77:AI77&lt;&gt;"Pendiente")*(Y77:AI77&lt;&gt;""))</f>
        <v>0</v>
      </c>
      <c r="AL77" s="4">
        <f>COUNTA(Tabla2[[#This Row],[INVITACIÓN]:[ACTA DE INICIO]])</f>
        <v>0</v>
      </c>
      <c r="AM77" s="26" t="e">
        <f t="shared" si="12"/>
        <v>#DIV/0!</v>
      </c>
      <c r="AN77" s="47"/>
      <c r="BD77" s="4">
        <f>COUNTA(Tabla2[[#This Row],[(1)SOLICITUD DE  APERTURA FIRNANCIERA Y PRESUPUESTO 1 (FECHA) ]:[(15) FECHA DE CONTRATACIÓN ADMINISTRATIVO]])</f>
        <v>0</v>
      </c>
      <c r="BE77" s="26">
        <f>Tabla2[[#This Row],[NUMERO OK]]/15</f>
        <v>0</v>
      </c>
      <c r="BF77" s="4" t="str">
        <f t="shared" ca="1" si="13"/>
        <v>N/A</v>
      </c>
      <c r="BH77" s="9"/>
      <c r="BO77" s="8"/>
    </row>
    <row r="78" spans="1:67">
      <c r="A78" s="9"/>
      <c r="G78" s="10"/>
      <c r="H78" s="62"/>
      <c r="I78" s="10"/>
      <c r="J78" s="10"/>
      <c r="M78" s="4" t="str">
        <f t="shared" ca="1" si="11"/>
        <v>SUSCRITO</v>
      </c>
      <c r="O78" s="6"/>
      <c r="Q78" s="37"/>
      <c r="R78" s="37"/>
      <c r="S78" s="38">
        <f t="shared" si="10"/>
        <v>0</v>
      </c>
      <c r="T78" s="39">
        <f t="shared" si="9"/>
        <v>0</v>
      </c>
      <c r="Y78" s="65"/>
      <c r="AJ78" s="68"/>
      <c r="AK78" s="4" cm="1">
        <f t="array" ref="AK78">SUMPRODUCT((Y78:AI78&lt;&gt;"Pendiente")*(Y78:AI78&lt;&gt;""))</f>
        <v>0</v>
      </c>
      <c r="AL78" s="4">
        <f>COUNTA(Tabla2[[#This Row],[INVITACIÓN]:[ACTA DE INICIO]])</f>
        <v>0</v>
      </c>
      <c r="AM78" s="26" t="e">
        <f t="shared" si="12"/>
        <v>#DIV/0!</v>
      </c>
      <c r="AN78" s="47"/>
      <c r="BD78" s="4">
        <f>COUNTA(Tabla2[[#This Row],[(1)SOLICITUD DE  APERTURA FIRNANCIERA Y PRESUPUESTO 1 (FECHA) ]:[(15) FECHA DE CONTRATACIÓN ADMINISTRATIVO]])</f>
        <v>0</v>
      </c>
      <c r="BE78" s="26">
        <f>Tabla2[[#This Row],[NUMERO OK]]/15</f>
        <v>0</v>
      </c>
      <c r="BF78" s="4" t="str">
        <f t="shared" ca="1" si="13"/>
        <v>N/A</v>
      </c>
      <c r="BH78" s="9"/>
      <c r="BO78" s="8"/>
    </row>
    <row r="79" spans="1:67">
      <c r="A79" s="9"/>
      <c r="G79" s="10"/>
      <c r="H79" s="62"/>
      <c r="I79" s="10"/>
      <c r="J79" s="10"/>
      <c r="M79" s="4" t="str">
        <f t="shared" ca="1" si="11"/>
        <v>SUSCRITO</v>
      </c>
      <c r="O79" s="6"/>
      <c r="Q79" s="37"/>
      <c r="R79" s="37"/>
      <c r="S79" s="38">
        <f t="shared" si="10"/>
        <v>0</v>
      </c>
      <c r="T79" s="39">
        <f t="shared" si="9"/>
        <v>0</v>
      </c>
      <c r="Y79" s="65"/>
      <c r="AJ79" s="68"/>
      <c r="AK79" s="4" cm="1">
        <f t="array" ref="AK79">SUMPRODUCT((Y79:AI79&lt;&gt;"Pendiente")*(Y79:AI79&lt;&gt;""))</f>
        <v>0</v>
      </c>
      <c r="AL79" s="4">
        <f>COUNTA(Tabla2[[#This Row],[INVITACIÓN]:[ACTA DE INICIO]])</f>
        <v>0</v>
      </c>
      <c r="AM79" s="26" t="e">
        <f t="shared" si="12"/>
        <v>#DIV/0!</v>
      </c>
      <c r="AN79" s="47"/>
      <c r="BD79" s="4">
        <f>COUNTA(Tabla2[[#This Row],[(1)SOLICITUD DE  APERTURA FIRNANCIERA Y PRESUPUESTO 1 (FECHA) ]:[(15) FECHA DE CONTRATACIÓN ADMINISTRATIVO]])</f>
        <v>0</v>
      </c>
      <c r="BE79" s="26">
        <f>Tabla2[[#This Row],[NUMERO OK]]/15</f>
        <v>0</v>
      </c>
      <c r="BF79" s="4" t="str">
        <f t="shared" ca="1" si="13"/>
        <v>N/A</v>
      </c>
      <c r="BH79" s="9"/>
      <c r="BO79" s="8"/>
    </row>
    <row r="80" spans="1:67">
      <c r="A80" s="9"/>
      <c r="G80" s="10"/>
      <c r="H80" s="62"/>
      <c r="I80" s="10"/>
      <c r="J80" s="10"/>
      <c r="M80" s="4" t="str">
        <f t="shared" ca="1" si="11"/>
        <v>SUSCRITO</v>
      </c>
      <c r="O80" s="6"/>
      <c r="Q80" s="37"/>
      <c r="R80" s="37"/>
      <c r="S80" s="38">
        <f t="shared" si="10"/>
        <v>0</v>
      </c>
      <c r="T80" s="39">
        <f t="shared" si="9"/>
        <v>0</v>
      </c>
      <c r="Y80" s="65"/>
      <c r="AJ80" s="68"/>
      <c r="AK80" s="4" cm="1">
        <f t="array" ref="AK80">SUMPRODUCT((Y80:AI80&lt;&gt;"Pendiente")*(Y80:AI80&lt;&gt;""))</f>
        <v>0</v>
      </c>
      <c r="AL80" s="4">
        <f>COUNTA(Tabla2[[#This Row],[INVITACIÓN]:[ACTA DE INICIO]])</f>
        <v>0</v>
      </c>
      <c r="AM80" s="26" t="e">
        <f t="shared" si="12"/>
        <v>#DIV/0!</v>
      </c>
      <c r="AN80" s="47"/>
      <c r="BD80" s="4">
        <f>COUNTA(Tabla2[[#This Row],[(1)SOLICITUD DE  APERTURA FIRNANCIERA Y PRESUPUESTO 1 (FECHA) ]:[(15) FECHA DE CONTRATACIÓN ADMINISTRATIVO]])</f>
        <v>0</v>
      </c>
      <c r="BE80" s="26">
        <f>Tabla2[[#This Row],[NUMERO OK]]/15</f>
        <v>0</v>
      </c>
      <c r="BF80" s="4" t="str">
        <f t="shared" ca="1" si="13"/>
        <v>N/A</v>
      </c>
      <c r="BH80" s="9"/>
      <c r="BO80" s="8"/>
    </row>
    <row r="81" spans="1:67">
      <c r="A81" s="9"/>
      <c r="G81" s="10"/>
      <c r="H81" s="62"/>
      <c r="I81" s="10"/>
      <c r="J81" s="10"/>
      <c r="M81" s="4" t="str">
        <f t="shared" ca="1" si="11"/>
        <v>SUSCRITO</v>
      </c>
      <c r="O81" s="6"/>
      <c r="Q81" s="37"/>
      <c r="R81" s="37"/>
      <c r="S81" s="38">
        <f t="shared" si="10"/>
        <v>0</v>
      </c>
      <c r="T81" s="39">
        <f t="shared" si="9"/>
        <v>0</v>
      </c>
      <c r="Y81" s="65"/>
      <c r="AJ81" s="68"/>
      <c r="AK81" s="4" cm="1">
        <f t="array" ref="AK81">SUMPRODUCT((Y81:AI81&lt;&gt;"Pendiente")*(Y81:AI81&lt;&gt;""))</f>
        <v>0</v>
      </c>
      <c r="AL81" s="4">
        <f>COUNTA(Tabla2[[#This Row],[INVITACIÓN]:[ACTA DE INICIO]])</f>
        <v>0</v>
      </c>
      <c r="AM81" s="26" t="e">
        <f t="shared" si="12"/>
        <v>#DIV/0!</v>
      </c>
      <c r="AN81" s="47"/>
      <c r="BD81" s="4">
        <f>COUNTA(Tabla2[[#This Row],[(1)SOLICITUD DE  APERTURA FIRNANCIERA Y PRESUPUESTO 1 (FECHA) ]:[(15) FECHA DE CONTRATACIÓN ADMINISTRATIVO]])</f>
        <v>0</v>
      </c>
      <c r="BE81" s="26">
        <f>Tabla2[[#This Row],[NUMERO OK]]/15</f>
        <v>0</v>
      </c>
      <c r="BF81" s="4" t="str">
        <f t="shared" ca="1" si="13"/>
        <v>N/A</v>
      </c>
      <c r="BH81" s="9"/>
      <c r="BO81" s="8"/>
    </row>
    <row r="82" spans="1:67">
      <c r="A82" s="9"/>
      <c r="G82" s="10"/>
      <c r="H82" s="62"/>
      <c r="I82" s="10"/>
      <c r="J82" s="10"/>
      <c r="M82" s="4" t="str">
        <f t="shared" ca="1" si="11"/>
        <v>SUSCRITO</v>
      </c>
      <c r="O82" s="6"/>
      <c r="Q82" s="37"/>
      <c r="R82" s="37"/>
      <c r="S82" s="38">
        <f t="shared" si="10"/>
        <v>0</v>
      </c>
      <c r="T82" s="39">
        <f t="shared" si="9"/>
        <v>0</v>
      </c>
      <c r="Y82" s="65"/>
      <c r="AJ82" s="68"/>
      <c r="AK82" s="4" cm="1">
        <f t="array" ref="AK82">SUMPRODUCT((Y82:AI82&lt;&gt;"Pendiente")*(Y82:AI82&lt;&gt;""))</f>
        <v>0</v>
      </c>
      <c r="AL82" s="4">
        <f>COUNTA(Tabla2[[#This Row],[INVITACIÓN]:[ACTA DE INICIO]])</f>
        <v>0</v>
      </c>
      <c r="AM82" s="26" t="e">
        <f t="shared" si="12"/>
        <v>#DIV/0!</v>
      </c>
      <c r="AN82" s="47"/>
      <c r="BD82" s="4">
        <f>COUNTA(Tabla2[[#This Row],[(1)SOLICITUD DE  APERTURA FIRNANCIERA Y PRESUPUESTO 1 (FECHA) ]:[(15) FECHA DE CONTRATACIÓN ADMINISTRATIVO]])</f>
        <v>0</v>
      </c>
      <c r="BE82" s="26">
        <f>Tabla2[[#This Row],[NUMERO OK]]/15</f>
        <v>0</v>
      </c>
      <c r="BF82" s="4" t="str">
        <f t="shared" ca="1" si="13"/>
        <v>N/A</v>
      </c>
      <c r="BH82" s="9"/>
      <c r="BO82" s="8"/>
    </row>
    <row r="83" spans="1:67">
      <c r="A83" s="9"/>
      <c r="G83" s="10"/>
      <c r="H83" s="62"/>
      <c r="I83" s="10"/>
      <c r="J83" s="10"/>
      <c r="M83" s="4" t="str">
        <f t="shared" ca="1" si="11"/>
        <v>SUSCRITO</v>
      </c>
      <c r="O83" s="6"/>
      <c r="Q83" s="37"/>
      <c r="R83" s="37"/>
      <c r="S83" s="38">
        <f t="shared" si="10"/>
        <v>0</v>
      </c>
      <c r="T83" s="39">
        <f t="shared" si="9"/>
        <v>0</v>
      </c>
      <c r="Y83" s="65"/>
      <c r="AJ83" s="68"/>
      <c r="AK83" s="4" cm="1">
        <f t="array" ref="AK83">SUMPRODUCT((Y83:AI83&lt;&gt;"Pendiente")*(Y83:AI83&lt;&gt;""))</f>
        <v>0</v>
      </c>
      <c r="AL83" s="4">
        <f>COUNTA(Tabla2[[#This Row],[INVITACIÓN]:[ACTA DE INICIO]])</f>
        <v>0</v>
      </c>
      <c r="AM83" s="26" t="e">
        <f t="shared" si="12"/>
        <v>#DIV/0!</v>
      </c>
      <c r="AN83" s="47"/>
      <c r="BD83" s="4">
        <f>COUNTA(Tabla2[[#This Row],[(1)SOLICITUD DE  APERTURA FIRNANCIERA Y PRESUPUESTO 1 (FECHA) ]:[(15) FECHA DE CONTRATACIÓN ADMINISTRATIVO]])</f>
        <v>0</v>
      </c>
      <c r="BE83" s="26">
        <f>Tabla2[[#This Row],[NUMERO OK]]/15</f>
        <v>0</v>
      </c>
      <c r="BF83" s="4" t="str">
        <f t="shared" ca="1" si="13"/>
        <v>N/A</v>
      </c>
      <c r="BH83" s="9"/>
      <c r="BO83" s="8"/>
    </row>
    <row r="84" spans="1:67">
      <c r="A84" s="9"/>
      <c r="G84" s="10"/>
      <c r="H84" s="62"/>
      <c r="I84" s="10"/>
      <c r="J84" s="10"/>
      <c r="M84" s="4" t="str">
        <f t="shared" ca="1" si="11"/>
        <v>SUSCRITO</v>
      </c>
      <c r="O84" s="6"/>
      <c r="Q84" s="37"/>
      <c r="R84" s="37"/>
      <c r="S84" s="38">
        <f t="shared" si="10"/>
        <v>0</v>
      </c>
      <c r="T84" s="39">
        <f t="shared" si="9"/>
        <v>0</v>
      </c>
      <c r="Y84" s="65"/>
      <c r="AJ84" s="68"/>
      <c r="AK84" s="4" cm="1">
        <f t="array" ref="AK84">SUMPRODUCT((Y84:AI84&lt;&gt;"Pendiente")*(Y84:AI84&lt;&gt;""))</f>
        <v>0</v>
      </c>
      <c r="AL84" s="4">
        <f>COUNTA(Tabla2[[#This Row],[INVITACIÓN]:[ACTA DE INICIO]])</f>
        <v>0</v>
      </c>
      <c r="AM84" s="26" t="e">
        <f t="shared" si="12"/>
        <v>#DIV/0!</v>
      </c>
      <c r="AN84" s="47"/>
      <c r="BD84" s="4">
        <f>COUNTA(Tabla2[[#This Row],[(1)SOLICITUD DE  APERTURA FIRNANCIERA Y PRESUPUESTO 1 (FECHA) ]:[(15) FECHA DE CONTRATACIÓN ADMINISTRATIVO]])</f>
        <v>0</v>
      </c>
      <c r="BE84" s="26">
        <f>Tabla2[[#This Row],[NUMERO OK]]/15</f>
        <v>0</v>
      </c>
      <c r="BF84" s="4" t="str">
        <f t="shared" ca="1" si="13"/>
        <v>N/A</v>
      </c>
      <c r="BH84" s="9"/>
      <c r="BO84" s="8"/>
    </row>
    <row r="85" spans="1:67">
      <c r="A85" s="9"/>
      <c r="G85" s="10"/>
      <c r="H85" s="62"/>
      <c r="I85" s="10"/>
      <c r="J85" s="10"/>
      <c r="M85" s="4" t="str">
        <f t="shared" ca="1" si="11"/>
        <v>SUSCRITO</v>
      </c>
      <c r="O85" s="6"/>
      <c r="Q85" s="37"/>
      <c r="R85" s="37"/>
      <c r="S85" s="38">
        <f t="shared" si="10"/>
        <v>0</v>
      </c>
      <c r="T85" s="39">
        <f t="shared" ref="T85:T121" si="14">(Q85*12%)/112%</f>
        <v>0</v>
      </c>
      <c r="Y85" s="65"/>
      <c r="AJ85" s="68"/>
      <c r="AK85" s="4" cm="1">
        <f t="array" ref="AK85">SUMPRODUCT((Y85:AI85&lt;&gt;"Pendiente")*(Y85:AI85&lt;&gt;""))</f>
        <v>0</v>
      </c>
      <c r="AL85" s="4">
        <f>COUNTA(Tabla2[[#This Row],[INVITACIÓN]:[ACTA DE INICIO]])</f>
        <v>0</v>
      </c>
      <c r="AM85" s="26" t="e">
        <f t="shared" si="12"/>
        <v>#DIV/0!</v>
      </c>
      <c r="AN85" s="47"/>
      <c r="BD85" s="4">
        <f>COUNTA(Tabla2[[#This Row],[(1)SOLICITUD DE  APERTURA FIRNANCIERA Y PRESUPUESTO 1 (FECHA) ]:[(15) FECHA DE CONTRATACIÓN ADMINISTRATIVO]])</f>
        <v>0</v>
      </c>
      <c r="BE85" s="26">
        <f>Tabla2[[#This Row],[NUMERO OK]]/15</f>
        <v>0</v>
      </c>
      <c r="BF85" s="4" t="str">
        <f t="shared" ca="1" si="13"/>
        <v>N/A</v>
      </c>
      <c r="BH85" s="9"/>
      <c r="BO85" s="8"/>
    </row>
    <row r="86" spans="1:67">
      <c r="A86" s="9"/>
      <c r="G86" s="10"/>
      <c r="H86" s="62"/>
      <c r="I86" s="10"/>
      <c r="J86" s="10"/>
      <c r="M86" s="4" t="str">
        <f t="shared" ca="1" si="11"/>
        <v>SUSCRITO</v>
      </c>
      <c r="O86" s="6"/>
      <c r="Q86" s="37"/>
      <c r="R86" s="37"/>
      <c r="S86" s="38">
        <f t="shared" ref="S86:S117" si="15">Q86+R86</f>
        <v>0</v>
      </c>
      <c r="T86" s="39">
        <f t="shared" si="14"/>
        <v>0</v>
      </c>
      <c r="Y86" s="65"/>
      <c r="AJ86" s="68"/>
      <c r="AK86" s="4" cm="1">
        <f t="array" ref="AK86">SUMPRODUCT((Y86:AI86&lt;&gt;"Pendiente")*(Y86:AI86&lt;&gt;""))</f>
        <v>0</v>
      </c>
      <c r="AL86" s="4">
        <f>COUNTA(Tabla2[[#This Row],[INVITACIÓN]:[ACTA DE INICIO]])</f>
        <v>0</v>
      </c>
      <c r="AM86" s="26" t="e">
        <f t="shared" si="12"/>
        <v>#DIV/0!</v>
      </c>
      <c r="AN86" s="47"/>
      <c r="BD86" s="4">
        <f>COUNTA(Tabla2[[#This Row],[(1)SOLICITUD DE  APERTURA FIRNANCIERA Y PRESUPUESTO 1 (FECHA) ]:[(15) FECHA DE CONTRATACIÓN ADMINISTRATIVO]])</f>
        <v>0</v>
      </c>
      <c r="BE86" s="26">
        <f>Tabla2[[#This Row],[NUMERO OK]]/15</f>
        <v>0</v>
      </c>
      <c r="BF86" s="4" t="str">
        <f t="shared" ca="1" si="13"/>
        <v>N/A</v>
      </c>
      <c r="BH86" s="9"/>
      <c r="BO86" s="8"/>
    </row>
    <row r="87" spans="1:67">
      <c r="A87" s="9"/>
      <c r="G87" s="10"/>
      <c r="H87" s="62"/>
      <c r="I87" s="10"/>
      <c r="J87" s="10"/>
      <c r="M87" s="4" t="str">
        <f t="shared" ca="1" si="11"/>
        <v>SUSCRITO</v>
      </c>
      <c r="O87" s="6"/>
      <c r="Q87" s="37"/>
      <c r="R87" s="37"/>
      <c r="S87" s="38">
        <f t="shared" si="15"/>
        <v>0</v>
      </c>
      <c r="T87" s="39">
        <f t="shared" si="14"/>
        <v>0</v>
      </c>
      <c r="Y87" s="65"/>
      <c r="AJ87" s="68"/>
      <c r="AK87" s="4" cm="1">
        <f t="array" ref="AK87">SUMPRODUCT((Y87:AI87&lt;&gt;"Pendiente")*(Y87:AI87&lt;&gt;""))</f>
        <v>0</v>
      </c>
      <c r="AL87" s="4">
        <f>COUNTA(Tabla2[[#This Row],[INVITACIÓN]:[ACTA DE INICIO]])</f>
        <v>0</v>
      </c>
      <c r="AM87" s="26" t="e">
        <f t="shared" si="12"/>
        <v>#DIV/0!</v>
      </c>
      <c r="AN87" s="47"/>
      <c r="BD87" s="4">
        <f>COUNTA(Tabla2[[#This Row],[(1)SOLICITUD DE  APERTURA FIRNANCIERA Y PRESUPUESTO 1 (FECHA) ]:[(15) FECHA DE CONTRATACIÓN ADMINISTRATIVO]])</f>
        <v>0</v>
      </c>
      <c r="BE87" s="26">
        <f>Tabla2[[#This Row],[NUMERO OK]]/15</f>
        <v>0</v>
      </c>
      <c r="BF87" s="4" t="str">
        <f t="shared" ca="1" si="13"/>
        <v>N/A</v>
      </c>
      <c r="BH87" s="9"/>
      <c r="BO87" s="8"/>
    </row>
    <row r="88" spans="1:67">
      <c r="A88" s="9"/>
      <c r="G88" s="10"/>
      <c r="H88" s="62"/>
      <c r="I88" s="10"/>
      <c r="J88" s="10"/>
      <c r="M88" s="4" t="str">
        <f t="shared" ca="1" si="11"/>
        <v>SUSCRITO</v>
      </c>
      <c r="O88" s="6"/>
      <c r="Q88" s="37"/>
      <c r="R88" s="37"/>
      <c r="S88" s="38">
        <f t="shared" si="15"/>
        <v>0</v>
      </c>
      <c r="T88" s="39">
        <f t="shared" si="14"/>
        <v>0</v>
      </c>
      <c r="Y88" s="65"/>
      <c r="AJ88" s="68"/>
      <c r="AK88" s="4" cm="1">
        <f t="array" ref="AK88">SUMPRODUCT((Y88:AI88&lt;&gt;"Pendiente")*(Y88:AI88&lt;&gt;""))</f>
        <v>0</v>
      </c>
      <c r="AL88" s="4">
        <f>COUNTA(Tabla2[[#This Row],[INVITACIÓN]:[ACTA DE INICIO]])</f>
        <v>0</v>
      </c>
      <c r="AM88" s="26" t="e">
        <f t="shared" si="12"/>
        <v>#DIV/0!</v>
      </c>
      <c r="AN88" s="47"/>
      <c r="BD88" s="4">
        <f>COUNTA(Tabla2[[#This Row],[(1)SOLICITUD DE  APERTURA FIRNANCIERA Y PRESUPUESTO 1 (FECHA) ]:[(15) FECHA DE CONTRATACIÓN ADMINISTRATIVO]])</f>
        <v>0</v>
      </c>
      <c r="BE88" s="26">
        <f>Tabla2[[#This Row],[NUMERO OK]]/15</f>
        <v>0</v>
      </c>
      <c r="BF88" s="4" t="str">
        <f t="shared" ca="1" si="13"/>
        <v>N/A</v>
      </c>
      <c r="BH88" s="9"/>
      <c r="BO88" s="8"/>
    </row>
    <row r="89" spans="1:67">
      <c r="A89" s="9"/>
      <c r="G89" s="10"/>
      <c r="H89" s="62"/>
      <c r="I89" s="10"/>
      <c r="J89" s="10"/>
      <c r="M89" s="4" t="str">
        <f t="shared" ca="1" si="11"/>
        <v>SUSCRITO</v>
      </c>
      <c r="O89" s="6"/>
      <c r="Q89" s="37"/>
      <c r="R89" s="37"/>
      <c r="S89" s="38">
        <f t="shared" si="15"/>
        <v>0</v>
      </c>
      <c r="T89" s="39">
        <f t="shared" si="14"/>
        <v>0</v>
      </c>
      <c r="Y89" s="65"/>
      <c r="AJ89" s="68"/>
      <c r="AK89" s="4" cm="1">
        <f t="array" ref="AK89">SUMPRODUCT((Y89:AI89&lt;&gt;"Pendiente")*(Y89:AI89&lt;&gt;""))</f>
        <v>0</v>
      </c>
      <c r="AL89" s="4">
        <f>COUNTA(Tabla2[[#This Row],[INVITACIÓN]:[ACTA DE INICIO]])</f>
        <v>0</v>
      </c>
      <c r="AM89" s="26" t="e">
        <f t="shared" si="12"/>
        <v>#DIV/0!</v>
      </c>
      <c r="AN89" s="47"/>
      <c r="BD89" s="4">
        <f>COUNTA(Tabla2[[#This Row],[(1)SOLICITUD DE  APERTURA FIRNANCIERA Y PRESUPUESTO 1 (FECHA) ]:[(15) FECHA DE CONTRATACIÓN ADMINISTRATIVO]])</f>
        <v>0</v>
      </c>
      <c r="BE89" s="26">
        <f>Tabla2[[#This Row],[NUMERO OK]]/15</f>
        <v>0</v>
      </c>
      <c r="BF89" s="4" t="str">
        <f t="shared" ca="1" si="13"/>
        <v>N/A</v>
      </c>
      <c r="BH89" s="9"/>
      <c r="BO89" s="8"/>
    </row>
    <row r="90" spans="1:67">
      <c r="A90" s="9"/>
      <c r="G90" s="10"/>
      <c r="H90" s="62"/>
      <c r="I90" s="10"/>
      <c r="J90" s="10"/>
      <c r="M90" s="4" t="str">
        <f t="shared" ca="1" si="11"/>
        <v>SUSCRITO</v>
      </c>
      <c r="O90" s="6"/>
      <c r="Q90" s="37"/>
      <c r="R90" s="37"/>
      <c r="S90" s="38">
        <f t="shared" si="15"/>
        <v>0</v>
      </c>
      <c r="T90" s="39">
        <f t="shared" si="14"/>
        <v>0</v>
      </c>
      <c r="Y90" s="65"/>
      <c r="AJ90" s="68"/>
      <c r="AK90" s="4" cm="1">
        <f t="array" ref="AK90">SUMPRODUCT((Y90:AI90&lt;&gt;"Pendiente")*(Y90:AI90&lt;&gt;""))</f>
        <v>0</v>
      </c>
      <c r="AL90" s="4">
        <f>COUNTA(Tabla2[[#This Row],[INVITACIÓN]:[ACTA DE INICIO]])</f>
        <v>0</v>
      </c>
      <c r="AM90" s="26" t="e">
        <f t="shared" si="12"/>
        <v>#DIV/0!</v>
      </c>
      <c r="AN90" s="47"/>
      <c r="BD90" s="4">
        <f>COUNTA(Tabla2[[#This Row],[(1)SOLICITUD DE  APERTURA FIRNANCIERA Y PRESUPUESTO 1 (FECHA) ]:[(15) FECHA DE CONTRATACIÓN ADMINISTRATIVO]])</f>
        <v>0</v>
      </c>
      <c r="BE90" s="26">
        <f>Tabla2[[#This Row],[NUMERO OK]]/15</f>
        <v>0</v>
      </c>
      <c r="BF90" s="4" t="str">
        <f t="shared" ca="1" si="13"/>
        <v>N/A</v>
      </c>
      <c r="BH90" s="9"/>
      <c r="BO90" s="8"/>
    </row>
    <row r="91" spans="1:67">
      <c r="A91" s="9"/>
      <c r="G91" s="10"/>
      <c r="H91" s="62"/>
      <c r="I91" s="10"/>
      <c r="J91" s="10"/>
      <c r="M91" s="4" t="str">
        <f t="shared" ca="1" si="11"/>
        <v>SUSCRITO</v>
      </c>
      <c r="O91" s="6"/>
      <c r="Q91" s="37"/>
      <c r="R91" s="37"/>
      <c r="S91" s="38">
        <f t="shared" si="15"/>
        <v>0</v>
      </c>
      <c r="T91" s="39">
        <f t="shared" si="14"/>
        <v>0</v>
      </c>
      <c r="Y91" s="65"/>
      <c r="AJ91" s="68"/>
      <c r="AK91" s="4" cm="1">
        <f t="array" ref="AK91">SUMPRODUCT((Y91:AI91&lt;&gt;"Pendiente")*(Y91:AI91&lt;&gt;""))</f>
        <v>0</v>
      </c>
      <c r="AL91" s="4">
        <f>COUNTA(Tabla2[[#This Row],[INVITACIÓN]:[ACTA DE INICIO]])</f>
        <v>0</v>
      </c>
      <c r="AM91" s="26" t="e">
        <f t="shared" si="12"/>
        <v>#DIV/0!</v>
      </c>
      <c r="AN91" s="47"/>
      <c r="BD91" s="4">
        <f>COUNTA(Tabla2[[#This Row],[(1)SOLICITUD DE  APERTURA FIRNANCIERA Y PRESUPUESTO 1 (FECHA) ]:[(15) FECHA DE CONTRATACIÓN ADMINISTRATIVO]])</f>
        <v>0</v>
      </c>
      <c r="BE91" s="26">
        <f>Tabla2[[#This Row],[NUMERO OK]]/15</f>
        <v>0</v>
      </c>
      <c r="BF91" s="4" t="str">
        <f t="shared" ca="1" si="13"/>
        <v>N/A</v>
      </c>
      <c r="BH91" s="9"/>
      <c r="BO91" s="8"/>
    </row>
    <row r="92" spans="1:67">
      <c r="A92" s="9"/>
      <c r="G92" s="10"/>
      <c r="H92" s="62"/>
      <c r="I92" s="10"/>
      <c r="J92" s="10"/>
      <c r="M92" s="4" t="str">
        <f t="shared" ca="1" si="11"/>
        <v>SUSCRITO</v>
      </c>
      <c r="O92" s="6"/>
      <c r="Q92" s="37"/>
      <c r="R92" s="37"/>
      <c r="S92" s="38">
        <f t="shared" si="15"/>
        <v>0</v>
      </c>
      <c r="T92" s="39">
        <f t="shared" si="14"/>
        <v>0</v>
      </c>
      <c r="Y92" s="65"/>
      <c r="AJ92" s="68"/>
      <c r="AK92" s="4" cm="1">
        <f t="array" ref="AK92">SUMPRODUCT((Y92:AI92&lt;&gt;"Pendiente")*(Y92:AI92&lt;&gt;""))</f>
        <v>0</v>
      </c>
      <c r="AL92" s="4">
        <f>COUNTA(Tabla2[[#This Row],[INVITACIÓN]:[ACTA DE INICIO]])</f>
        <v>0</v>
      </c>
      <c r="AM92" s="26" t="e">
        <f t="shared" si="12"/>
        <v>#DIV/0!</v>
      </c>
      <c r="AN92" s="47"/>
      <c r="BD92" s="4">
        <f>COUNTA(Tabla2[[#This Row],[(1)SOLICITUD DE  APERTURA FIRNANCIERA Y PRESUPUESTO 1 (FECHA) ]:[(15) FECHA DE CONTRATACIÓN ADMINISTRATIVO]])</f>
        <v>0</v>
      </c>
      <c r="BE92" s="26">
        <f>Tabla2[[#This Row],[NUMERO OK]]/15</f>
        <v>0</v>
      </c>
      <c r="BF92" s="4" t="str">
        <f t="shared" ca="1" si="13"/>
        <v>N/A</v>
      </c>
      <c r="BH92" s="9"/>
      <c r="BO92" s="8"/>
    </row>
    <row r="93" spans="1:67">
      <c r="A93" s="9"/>
      <c r="G93" s="10"/>
      <c r="H93" s="62"/>
      <c r="I93" s="10"/>
      <c r="J93" s="10"/>
      <c r="M93" s="4" t="str">
        <f t="shared" ca="1" si="11"/>
        <v>SUSCRITO</v>
      </c>
      <c r="O93" s="6"/>
      <c r="Q93" s="37"/>
      <c r="R93" s="37"/>
      <c r="S93" s="38">
        <f t="shared" si="15"/>
        <v>0</v>
      </c>
      <c r="T93" s="39">
        <f t="shared" si="14"/>
        <v>0</v>
      </c>
      <c r="Y93" s="65"/>
      <c r="AJ93" s="68"/>
      <c r="AK93" s="4" cm="1">
        <f t="array" ref="AK93">SUMPRODUCT((Y93:AI93&lt;&gt;"Pendiente")*(Y93:AI93&lt;&gt;""))</f>
        <v>0</v>
      </c>
      <c r="AL93" s="4">
        <f>COUNTA(Tabla2[[#This Row],[INVITACIÓN]:[ACTA DE INICIO]])</f>
        <v>0</v>
      </c>
      <c r="AM93" s="26" t="e">
        <f t="shared" si="12"/>
        <v>#DIV/0!</v>
      </c>
      <c r="AN93" s="47"/>
      <c r="BD93" s="4">
        <f>COUNTA(Tabla2[[#This Row],[(1)SOLICITUD DE  APERTURA FIRNANCIERA Y PRESUPUESTO 1 (FECHA) ]:[(15) FECHA DE CONTRATACIÓN ADMINISTRATIVO]])</f>
        <v>0</v>
      </c>
      <c r="BE93" s="26">
        <f>Tabla2[[#This Row],[NUMERO OK]]/15</f>
        <v>0</v>
      </c>
      <c r="BF93" s="4" t="str">
        <f t="shared" ca="1" si="13"/>
        <v>N/A</v>
      </c>
      <c r="BH93" s="9"/>
      <c r="BO93" s="8"/>
    </row>
    <row r="94" spans="1:67">
      <c r="A94" s="9"/>
      <c r="G94" s="10"/>
      <c r="H94" s="62"/>
      <c r="I94" s="10"/>
      <c r="J94" s="10"/>
      <c r="M94" s="4" t="str">
        <f t="shared" ca="1" si="11"/>
        <v>SUSCRITO</v>
      </c>
      <c r="O94" s="6"/>
      <c r="Q94" s="37"/>
      <c r="R94" s="37"/>
      <c r="S94" s="38">
        <f t="shared" si="15"/>
        <v>0</v>
      </c>
      <c r="T94" s="39">
        <f t="shared" si="14"/>
        <v>0</v>
      </c>
      <c r="Y94" s="65"/>
      <c r="AJ94" s="68"/>
      <c r="AK94" s="4" cm="1">
        <f t="array" ref="AK94">SUMPRODUCT((Y94:AI94&lt;&gt;"Pendiente")*(Y94:AI94&lt;&gt;""))</f>
        <v>0</v>
      </c>
      <c r="AL94" s="4">
        <f>COUNTA(Tabla2[[#This Row],[INVITACIÓN]:[ACTA DE INICIO]])</f>
        <v>0</v>
      </c>
      <c r="AM94" s="26" t="e">
        <f t="shared" si="12"/>
        <v>#DIV/0!</v>
      </c>
      <c r="AN94" s="47"/>
      <c r="BD94" s="4">
        <f>COUNTA(Tabla2[[#This Row],[(1)SOLICITUD DE  APERTURA FIRNANCIERA Y PRESUPUESTO 1 (FECHA) ]:[(15) FECHA DE CONTRATACIÓN ADMINISTRATIVO]])</f>
        <v>0</v>
      </c>
      <c r="BE94" s="26">
        <f>Tabla2[[#This Row],[NUMERO OK]]/15</f>
        <v>0</v>
      </c>
      <c r="BF94" s="4" t="str">
        <f t="shared" ca="1" si="13"/>
        <v>N/A</v>
      </c>
      <c r="BH94" s="9"/>
      <c r="BO94" s="8"/>
    </row>
    <row r="95" spans="1:67">
      <c r="A95" s="9"/>
      <c r="G95" s="10"/>
      <c r="H95" s="62"/>
      <c r="I95" s="10"/>
      <c r="J95" s="10"/>
      <c r="M95" s="4" t="str">
        <f t="shared" ca="1" si="11"/>
        <v>SUSCRITO</v>
      </c>
      <c r="O95" s="6"/>
      <c r="Q95" s="37"/>
      <c r="R95" s="37"/>
      <c r="S95" s="38">
        <f t="shared" si="15"/>
        <v>0</v>
      </c>
      <c r="T95" s="39">
        <f t="shared" si="14"/>
        <v>0</v>
      </c>
      <c r="Y95" s="65"/>
      <c r="AJ95" s="68"/>
      <c r="AK95" s="4" cm="1">
        <f t="array" ref="AK95">SUMPRODUCT((Y95:AI95&lt;&gt;"Pendiente")*(Y95:AI95&lt;&gt;""))</f>
        <v>0</v>
      </c>
      <c r="AL95" s="4">
        <f>COUNTA(Tabla2[[#This Row],[INVITACIÓN]:[ACTA DE INICIO]])</f>
        <v>0</v>
      </c>
      <c r="AM95" s="26" t="e">
        <f t="shared" si="12"/>
        <v>#DIV/0!</v>
      </c>
      <c r="AN95" s="47"/>
      <c r="BD95" s="4">
        <f>COUNTA(Tabla2[[#This Row],[(1)SOLICITUD DE  APERTURA FIRNANCIERA Y PRESUPUESTO 1 (FECHA) ]:[(15) FECHA DE CONTRATACIÓN ADMINISTRATIVO]])</f>
        <v>0</v>
      </c>
      <c r="BE95" s="26">
        <f>Tabla2[[#This Row],[NUMERO OK]]/15</f>
        <v>0</v>
      </c>
      <c r="BF95" s="4" t="str">
        <f t="shared" ca="1" si="13"/>
        <v>N/A</v>
      </c>
      <c r="BH95" s="9"/>
      <c r="BO95" s="8"/>
    </row>
    <row r="96" spans="1:67">
      <c r="A96" s="9"/>
      <c r="G96" s="10"/>
      <c r="H96" s="62"/>
      <c r="I96" s="10"/>
      <c r="J96" s="10"/>
      <c r="M96" s="4" t="str">
        <f t="shared" ca="1" si="11"/>
        <v>SUSCRITO</v>
      </c>
      <c r="O96" s="6"/>
      <c r="Q96" s="37"/>
      <c r="R96" s="37"/>
      <c r="S96" s="38">
        <f t="shared" si="15"/>
        <v>0</v>
      </c>
      <c r="T96" s="39">
        <f t="shared" si="14"/>
        <v>0</v>
      </c>
      <c r="Y96" s="65"/>
      <c r="AJ96" s="68"/>
      <c r="AK96" s="4" cm="1">
        <f t="array" ref="AK96">SUMPRODUCT((Y96:AI96&lt;&gt;"Pendiente")*(Y96:AI96&lt;&gt;""))</f>
        <v>0</v>
      </c>
      <c r="AL96" s="4">
        <f>COUNTA(Tabla2[[#This Row],[INVITACIÓN]:[ACTA DE INICIO]])</f>
        <v>0</v>
      </c>
      <c r="AM96" s="26" t="e">
        <f t="shared" si="12"/>
        <v>#DIV/0!</v>
      </c>
      <c r="AN96" s="47"/>
      <c r="BD96" s="4">
        <f>COUNTA(Tabla2[[#This Row],[(1)SOLICITUD DE  APERTURA FIRNANCIERA Y PRESUPUESTO 1 (FECHA) ]:[(15) FECHA DE CONTRATACIÓN ADMINISTRATIVO]])</f>
        <v>0</v>
      </c>
      <c r="BE96" s="26">
        <f>Tabla2[[#This Row],[NUMERO OK]]/15</f>
        <v>0</v>
      </c>
      <c r="BF96" s="4" t="str">
        <f t="shared" ca="1" si="13"/>
        <v>N/A</v>
      </c>
      <c r="BH96" s="9"/>
      <c r="BO96" s="8"/>
    </row>
    <row r="97" spans="1:67">
      <c r="A97" s="9"/>
      <c r="G97" s="10"/>
      <c r="H97" s="62"/>
      <c r="I97" s="10"/>
      <c r="J97" s="10"/>
      <c r="M97" s="4" t="str">
        <f t="shared" ca="1" si="11"/>
        <v>SUSCRITO</v>
      </c>
      <c r="O97" s="6"/>
      <c r="Q97" s="37"/>
      <c r="R97" s="37"/>
      <c r="S97" s="38">
        <f t="shared" si="15"/>
        <v>0</v>
      </c>
      <c r="T97" s="39">
        <f t="shared" si="14"/>
        <v>0</v>
      </c>
      <c r="Y97" s="65"/>
      <c r="AJ97" s="68"/>
      <c r="AK97" s="4" cm="1">
        <f t="array" ref="AK97">SUMPRODUCT((Y97:AI97&lt;&gt;"Pendiente")*(Y97:AI97&lt;&gt;""))</f>
        <v>0</v>
      </c>
      <c r="AL97" s="4">
        <f>COUNTA(Tabla2[[#This Row],[INVITACIÓN]:[ACTA DE INICIO]])</f>
        <v>0</v>
      </c>
      <c r="AM97" s="26" t="e">
        <f t="shared" si="12"/>
        <v>#DIV/0!</v>
      </c>
      <c r="AN97" s="47"/>
      <c r="BD97" s="4">
        <f>COUNTA(Tabla2[[#This Row],[(1)SOLICITUD DE  APERTURA FIRNANCIERA Y PRESUPUESTO 1 (FECHA) ]:[(15) FECHA DE CONTRATACIÓN ADMINISTRATIVO]])</f>
        <v>0</v>
      </c>
      <c r="BE97" s="26">
        <f>Tabla2[[#This Row],[NUMERO OK]]/15</f>
        <v>0</v>
      </c>
      <c r="BF97" s="4" t="str">
        <f t="shared" ca="1" si="13"/>
        <v>N/A</v>
      </c>
      <c r="BH97" s="9"/>
      <c r="BO97" s="8"/>
    </row>
    <row r="98" spans="1:67">
      <c r="A98" s="9"/>
      <c r="G98" s="10"/>
      <c r="H98" s="62"/>
      <c r="I98" s="10"/>
      <c r="J98" s="10"/>
      <c r="M98" s="4" t="str">
        <f t="shared" ca="1" si="11"/>
        <v>SUSCRITO</v>
      </c>
      <c r="O98" s="6"/>
      <c r="Q98" s="37"/>
      <c r="R98" s="37"/>
      <c r="S98" s="38">
        <f t="shared" si="15"/>
        <v>0</v>
      </c>
      <c r="T98" s="39">
        <f t="shared" si="14"/>
        <v>0</v>
      </c>
      <c r="Y98" s="65"/>
      <c r="AJ98" s="68"/>
      <c r="AK98" s="4" cm="1">
        <f t="array" ref="AK98">SUMPRODUCT((Y98:AI98&lt;&gt;"Pendiente")*(Y98:AI98&lt;&gt;""))</f>
        <v>0</v>
      </c>
      <c r="AL98" s="4">
        <f>COUNTA(Tabla2[[#This Row],[INVITACIÓN]:[ACTA DE INICIO]])</f>
        <v>0</v>
      </c>
      <c r="AM98" s="26" t="e">
        <f t="shared" si="12"/>
        <v>#DIV/0!</v>
      </c>
      <c r="AN98" s="47"/>
      <c r="BD98" s="4">
        <f>COUNTA(Tabla2[[#This Row],[(1)SOLICITUD DE  APERTURA FIRNANCIERA Y PRESUPUESTO 1 (FECHA) ]:[(15) FECHA DE CONTRATACIÓN ADMINISTRATIVO]])</f>
        <v>0</v>
      </c>
      <c r="BE98" s="26">
        <f>Tabla2[[#This Row],[NUMERO OK]]/15</f>
        <v>0</v>
      </c>
      <c r="BF98" s="4" t="str">
        <f t="shared" ca="1" si="13"/>
        <v>N/A</v>
      </c>
      <c r="BH98" s="9"/>
      <c r="BO98" s="8"/>
    </row>
    <row r="99" spans="1:67">
      <c r="A99" s="9"/>
      <c r="G99" s="10"/>
      <c r="H99" s="62"/>
      <c r="I99" s="10"/>
      <c r="J99" s="10"/>
      <c r="M99" s="4" t="str">
        <f t="shared" ref="M99:M122" ca="1" si="16">IF(J99="", "SUSCRITO", IF(J99&lt;=TODAY(), "FINALIZADO", "EN EJECUCIÓN"))</f>
        <v>SUSCRITO</v>
      </c>
      <c r="O99" s="6"/>
      <c r="Q99" s="37"/>
      <c r="R99" s="37"/>
      <c r="S99" s="38">
        <f t="shared" si="15"/>
        <v>0</v>
      </c>
      <c r="T99" s="39">
        <f t="shared" si="14"/>
        <v>0</v>
      </c>
      <c r="Y99" s="65"/>
      <c r="AJ99" s="68"/>
      <c r="AK99" s="4" cm="1">
        <f t="array" ref="AK99">SUMPRODUCT((Y99:AI99&lt;&gt;"Pendiente")*(Y99:AI99&lt;&gt;""))</f>
        <v>0</v>
      </c>
      <c r="AL99" s="4">
        <f>COUNTA(Tabla2[[#This Row],[INVITACIÓN]:[ACTA DE INICIO]])</f>
        <v>0</v>
      </c>
      <c r="AM99" s="26" t="e">
        <f t="shared" ref="AM99:AM122" si="17">AK99/AL99</f>
        <v>#DIV/0!</v>
      </c>
      <c r="AN99" s="47"/>
      <c r="BD99" s="4">
        <f>COUNTA(Tabla2[[#This Row],[(1)SOLICITUD DE  APERTURA FIRNANCIERA Y PRESUPUESTO 1 (FECHA) ]:[(15) FECHA DE CONTRATACIÓN ADMINISTRATIVO]])</f>
        <v>0</v>
      </c>
      <c r="BE99" s="26">
        <f>Tabla2[[#This Row],[NUMERO OK]]/15</f>
        <v>0</v>
      </c>
      <c r="BF99" s="4" t="str">
        <f t="shared" ref="BF99:BF122" ca="1" si="18">IF(ISBLANK(I99),"N/A",
   IF(TODAY()-I99&lt;=15,
      IF(BE99=100%,"EnTiempos","EnProceso"),
      IF(BE99&lt;80%,"RiesgoAlto",
         IF(BE99&lt;100%,"RiesgoMedio","Cumplido")
      )
   )
)</f>
        <v>N/A</v>
      </c>
      <c r="BH99" s="9"/>
      <c r="BO99" s="8"/>
    </row>
    <row r="100" spans="1:67">
      <c r="A100" s="9"/>
      <c r="G100" s="10"/>
      <c r="H100" s="62"/>
      <c r="I100" s="10"/>
      <c r="J100" s="10"/>
      <c r="M100" s="4" t="str">
        <f t="shared" ca="1" si="16"/>
        <v>SUSCRITO</v>
      </c>
      <c r="O100" s="6"/>
      <c r="Q100" s="37"/>
      <c r="R100" s="37"/>
      <c r="S100" s="38">
        <f t="shared" si="15"/>
        <v>0</v>
      </c>
      <c r="T100" s="39">
        <f t="shared" si="14"/>
        <v>0</v>
      </c>
      <c r="Y100" s="65"/>
      <c r="AJ100" s="68"/>
      <c r="AK100" s="4" cm="1">
        <f t="array" ref="AK100">SUMPRODUCT((Y100:AI100&lt;&gt;"Pendiente")*(Y100:AI100&lt;&gt;""))</f>
        <v>0</v>
      </c>
      <c r="AL100" s="4">
        <f>COUNTA(Tabla2[[#This Row],[INVITACIÓN]:[ACTA DE INICIO]])</f>
        <v>0</v>
      </c>
      <c r="AM100" s="26" t="e">
        <f t="shared" si="17"/>
        <v>#DIV/0!</v>
      </c>
      <c r="AN100" s="47"/>
      <c r="BD100" s="4">
        <f>COUNTA(Tabla2[[#This Row],[(1)SOLICITUD DE  APERTURA FIRNANCIERA Y PRESUPUESTO 1 (FECHA) ]:[(15) FECHA DE CONTRATACIÓN ADMINISTRATIVO]])</f>
        <v>0</v>
      </c>
      <c r="BE100" s="26">
        <f>Tabla2[[#This Row],[NUMERO OK]]/15</f>
        <v>0</v>
      </c>
      <c r="BF100" s="4" t="str">
        <f t="shared" ca="1" si="18"/>
        <v>N/A</v>
      </c>
      <c r="BH100" s="9"/>
      <c r="BO100" s="8"/>
    </row>
    <row r="101" spans="1:67">
      <c r="A101" s="9"/>
      <c r="G101" s="10"/>
      <c r="H101" s="62"/>
      <c r="I101" s="10"/>
      <c r="J101" s="10"/>
      <c r="M101" s="4" t="str">
        <f t="shared" ca="1" si="16"/>
        <v>SUSCRITO</v>
      </c>
      <c r="O101" s="6"/>
      <c r="Q101" s="37"/>
      <c r="R101" s="37"/>
      <c r="S101" s="38">
        <f t="shared" si="15"/>
        <v>0</v>
      </c>
      <c r="T101" s="39">
        <f t="shared" si="14"/>
        <v>0</v>
      </c>
      <c r="Y101" s="65"/>
      <c r="AJ101" s="68"/>
      <c r="AK101" s="4" cm="1">
        <f t="array" ref="AK101">SUMPRODUCT((Y101:AI101&lt;&gt;"Pendiente")*(Y101:AI101&lt;&gt;""))</f>
        <v>0</v>
      </c>
      <c r="AL101" s="4">
        <f>COUNTA(Tabla2[[#This Row],[INVITACIÓN]:[ACTA DE INICIO]])</f>
        <v>0</v>
      </c>
      <c r="AM101" s="26" t="e">
        <f t="shared" si="17"/>
        <v>#DIV/0!</v>
      </c>
      <c r="AN101" s="47"/>
      <c r="BD101" s="4">
        <f>COUNTA(Tabla2[[#This Row],[(1)SOLICITUD DE  APERTURA FIRNANCIERA Y PRESUPUESTO 1 (FECHA) ]:[(15) FECHA DE CONTRATACIÓN ADMINISTRATIVO]])</f>
        <v>0</v>
      </c>
      <c r="BE101" s="26">
        <f>Tabla2[[#This Row],[NUMERO OK]]/15</f>
        <v>0</v>
      </c>
      <c r="BF101" s="4" t="str">
        <f t="shared" ca="1" si="18"/>
        <v>N/A</v>
      </c>
      <c r="BH101" s="9"/>
      <c r="BO101" s="8"/>
    </row>
    <row r="102" spans="1:67">
      <c r="A102" s="9"/>
      <c r="G102" s="10"/>
      <c r="H102" s="62"/>
      <c r="I102" s="10"/>
      <c r="J102" s="10"/>
      <c r="M102" s="4" t="str">
        <f t="shared" ca="1" si="16"/>
        <v>SUSCRITO</v>
      </c>
      <c r="O102" s="6"/>
      <c r="Q102" s="37"/>
      <c r="R102" s="37"/>
      <c r="S102" s="38">
        <f t="shared" si="15"/>
        <v>0</v>
      </c>
      <c r="T102" s="39">
        <f t="shared" si="14"/>
        <v>0</v>
      </c>
      <c r="Y102" s="65"/>
      <c r="AJ102" s="68"/>
      <c r="AK102" s="4" cm="1">
        <f t="array" ref="AK102">SUMPRODUCT((Y102:AI102&lt;&gt;"Pendiente")*(Y102:AI102&lt;&gt;""))</f>
        <v>0</v>
      </c>
      <c r="AL102" s="4">
        <f>COUNTA(Tabla2[[#This Row],[INVITACIÓN]:[ACTA DE INICIO]])</f>
        <v>0</v>
      </c>
      <c r="AM102" s="26" t="e">
        <f t="shared" si="17"/>
        <v>#DIV/0!</v>
      </c>
      <c r="AN102" s="47"/>
      <c r="BD102" s="4">
        <f>COUNTA(Tabla2[[#This Row],[(1)SOLICITUD DE  APERTURA FIRNANCIERA Y PRESUPUESTO 1 (FECHA) ]:[(15) FECHA DE CONTRATACIÓN ADMINISTRATIVO]])</f>
        <v>0</v>
      </c>
      <c r="BE102" s="26">
        <f>Tabla2[[#This Row],[NUMERO OK]]/15</f>
        <v>0</v>
      </c>
      <c r="BF102" s="4" t="str">
        <f t="shared" ca="1" si="18"/>
        <v>N/A</v>
      </c>
      <c r="BH102" s="9"/>
      <c r="BO102" s="8"/>
    </row>
    <row r="103" spans="1:67">
      <c r="A103" s="9"/>
      <c r="G103" s="10"/>
      <c r="H103" s="62"/>
      <c r="I103" s="10"/>
      <c r="J103" s="10"/>
      <c r="M103" s="4" t="str">
        <f t="shared" ca="1" si="16"/>
        <v>SUSCRITO</v>
      </c>
      <c r="O103" s="6"/>
      <c r="Q103" s="37"/>
      <c r="R103" s="37"/>
      <c r="S103" s="38">
        <f t="shared" si="15"/>
        <v>0</v>
      </c>
      <c r="T103" s="39">
        <f t="shared" si="14"/>
        <v>0</v>
      </c>
      <c r="Y103" s="65"/>
      <c r="AJ103" s="68"/>
      <c r="AK103" s="4" cm="1">
        <f t="array" ref="AK103">SUMPRODUCT((Y103:AI103&lt;&gt;"Pendiente")*(Y103:AI103&lt;&gt;""))</f>
        <v>0</v>
      </c>
      <c r="AL103" s="4">
        <f>COUNTA(Tabla2[[#This Row],[INVITACIÓN]:[ACTA DE INICIO]])</f>
        <v>0</v>
      </c>
      <c r="AM103" s="26" t="e">
        <f t="shared" si="17"/>
        <v>#DIV/0!</v>
      </c>
      <c r="AN103" s="47"/>
      <c r="BD103" s="4">
        <f>COUNTA(Tabla2[[#This Row],[(1)SOLICITUD DE  APERTURA FIRNANCIERA Y PRESUPUESTO 1 (FECHA) ]:[(15) FECHA DE CONTRATACIÓN ADMINISTRATIVO]])</f>
        <v>0</v>
      </c>
      <c r="BE103" s="26">
        <f>Tabla2[[#This Row],[NUMERO OK]]/15</f>
        <v>0</v>
      </c>
      <c r="BF103" s="4" t="str">
        <f t="shared" ca="1" si="18"/>
        <v>N/A</v>
      </c>
      <c r="BH103" s="9"/>
      <c r="BO103" s="8"/>
    </row>
    <row r="104" spans="1:67">
      <c r="A104" s="9"/>
      <c r="G104" s="10"/>
      <c r="H104" s="62"/>
      <c r="I104" s="10"/>
      <c r="J104" s="10"/>
      <c r="M104" s="4" t="str">
        <f t="shared" ca="1" si="16"/>
        <v>SUSCRITO</v>
      </c>
      <c r="O104" s="6"/>
      <c r="Q104" s="37"/>
      <c r="R104" s="37"/>
      <c r="S104" s="38">
        <f t="shared" si="15"/>
        <v>0</v>
      </c>
      <c r="T104" s="39">
        <f t="shared" si="14"/>
        <v>0</v>
      </c>
      <c r="Y104" s="65"/>
      <c r="AJ104" s="68"/>
      <c r="AK104" s="4" cm="1">
        <f t="array" ref="AK104">SUMPRODUCT((Y104:AI104&lt;&gt;"Pendiente")*(Y104:AI104&lt;&gt;""))</f>
        <v>0</v>
      </c>
      <c r="AL104" s="4">
        <f>COUNTA(Tabla2[[#This Row],[INVITACIÓN]:[ACTA DE INICIO]])</f>
        <v>0</v>
      </c>
      <c r="AM104" s="26" t="e">
        <f t="shared" si="17"/>
        <v>#DIV/0!</v>
      </c>
      <c r="AN104" s="47"/>
      <c r="BD104" s="4">
        <f>COUNTA(Tabla2[[#This Row],[(1)SOLICITUD DE  APERTURA FIRNANCIERA Y PRESUPUESTO 1 (FECHA) ]:[(15) FECHA DE CONTRATACIÓN ADMINISTRATIVO]])</f>
        <v>0</v>
      </c>
      <c r="BE104" s="26">
        <f>Tabla2[[#This Row],[NUMERO OK]]/15</f>
        <v>0</v>
      </c>
      <c r="BF104" s="4" t="str">
        <f t="shared" ca="1" si="18"/>
        <v>N/A</v>
      </c>
      <c r="BH104" s="9"/>
      <c r="BO104" s="8"/>
    </row>
    <row r="105" spans="1:67">
      <c r="A105" s="9"/>
      <c r="G105" s="10"/>
      <c r="H105" s="62"/>
      <c r="I105" s="10"/>
      <c r="J105" s="10"/>
      <c r="M105" s="4" t="str">
        <f t="shared" ca="1" si="16"/>
        <v>SUSCRITO</v>
      </c>
      <c r="O105" s="6"/>
      <c r="Q105" s="37"/>
      <c r="R105" s="37"/>
      <c r="S105" s="38">
        <f t="shared" si="15"/>
        <v>0</v>
      </c>
      <c r="T105" s="39">
        <f t="shared" si="14"/>
        <v>0</v>
      </c>
      <c r="Y105" s="65"/>
      <c r="AJ105" s="68"/>
      <c r="AK105" s="4" cm="1">
        <f t="array" ref="AK105">SUMPRODUCT((Y105:AI105&lt;&gt;"Pendiente")*(Y105:AI105&lt;&gt;""))</f>
        <v>0</v>
      </c>
      <c r="AL105" s="4">
        <f>COUNTA(Tabla2[[#This Row],[INVITACIÓN]:[ACTA DE INICIO]])</f>
        <v>0</v>
      </c>
      <c r="AM105" s="26" t="e">
        <f t="shared" si="17"/>
        <v>#DIV/0!</v>
      </c>
      <c r="AN105" s="47"/>
      <c r="BD105" s="4">
        <f>COUNTA(Tabla2[[#This Row],[(1)SOLICITUD DE  APERTURA FIRNANCIERA Y PRESUPUESTO 1 (FECHA) ]:[(15) FECHA DE CONTRATACIÓN ADMINISTRATIVO]])</f>
        <v>0</v>
      </c>
      <c r="BE105" s="26">
        <f>Tabla2[[#This Row],[NUMERO OK]]/15</f>
        <v>0</v>
      </c>
      <c r="BF105" s="4" t="str">
        <f t="shared" ca="1" si="18"/>
        <v>N/A</v>
      </c>
      <c r="BH105" s="9"/>
      <c r="BO105" s="8"/>
    </row>
    <row r="106" spans="1:67">
      <c r="A106" s="9"/>
      <c r="G106" s="10"/>
      <c r="H106" s="62"/>
      <c r="I106" s="10"/>
      <c r="J106" s="10"/>
      <c r="M106" s="4" t="str">
        <f t="shared" ca="1" si="16"/>
        <v>SUSCRITO</v>
      </c>
      <c r="O106" s="6"/>
      <c r="Q106" s="37"/>
      <c r="R106" s="37"/>
      <c r="S106" s="38">
        <f t="shared" si="15"/>
        <v>0</v>
      </c>
      <c r="T106" s="39">
        <f t="shared" si="14"/>
        <v>0</v>
      </c>
      <c r="Y106" s="65"/>
      <c r="AJ106" s="68"/>
      <c r="AK106" s="4" cm="1">
        <f t="array" ref="AK106">SUMPRODUCT((Y106:AI106&lt;&gt;"Pendiente")*(Y106:AI106&lt;&gt;""))</f>
        <v>0</v>
      </c>
      <c r="AL106" s="4">
        <f>COUNTA(Tabla2[[#This Row],[INVITACIÓN]:[ACTA DE INICIO]])</f>
        <v>0</v>
      </c>
      <c r="AM106" s="26" t="e">
        <f t="shared" si="17"/>
        <v>#DIV/0!</v>
      </c>
      <c r="AN106" s="47"/>
      <c r="BD106" s="4">
        <f>COUNTA(Tabla2[[#This Row],[(1)SOLICITUD DE  APERTURA FIRNANCIERA Y PRESUPUESTO 1 (FECHA) ]:[(15) FECHA DE CONTRATACIÓN ADMINISTRATIVO]])</f>
        <v>0</v>
      </c>
      <c r="BE106" s="26">
        <f>Tabla2[[#This Row],[NUMERO OK]]/15</f>
        <v>0</v>
      </c>
      <c r="BF106" s="4" t="str">
        <f t="shared" ca="1" si="18"/>
        <v>N/A</v>
      </c>
      <c r="BH106" s="9"/>
      <c r="BO106" s="8"/>
    </row>
    <row r="107" spans="1:67">
      <c r="A107" s="9"/>
      <c r="G107" s="10"/>
      <c r="H107" s="62"/>
      <c r="I107" s="10"/>
      <c r="J107" s="10"/>
      <c r="M107" s="4" t="str">
        <f t="shared" ca="1" si="16"/>
        <v>SUSCRITO</v>
      </c>
      <c r="O107" s="6"/>
      <c r="Q107" s="37"/>
      <c r="R107" s="37"/>
      <c r="S107" s="38">
        <f t="shared" si="15"/>
        <v>0</v>
      </c>
      <c r="T107" s="39">
        <f t="shared" si="14"/>
        <v>0</v>
      </c>
      <c r="Y107" s="65"/>
      <c r="AJ107" s="68"/>
      <c r="AK107" s="4" cm="1">
        <f t="array" ref="AK107">SUMPRODUCT((Y107:AI107&lt;&gt;"Pendiente")*(Y107:AI107&lt;&gt;""))</f>
        <v>0</v>
      </c>
      <c r="AL107" s="4">
        <f>COUNTA(Tabla2[[#This Row],[INVITACIÓN]:[ACTA DE INICIO]])</f>
        <v>0</v>
      </c>
      <c r="AM107" s="26" t="e">
        <f t="shared" si="17"/>
        <v>#DIV/0!</v>
      </c>
      <c r="AN107" s="47"/>
      <c r="BD107" s="4">
        <f>COUNTA(Tabla2[[#This Row],[(1)SOLICITUD DE  APERTURA FIRNANCIERA Y PRESUPUESTO 1 (FECHA) ]:[(15) FECHA DE CONTRATACIÓN ADMINISTRATIVO]])</f>
        <v>0</v>
      </c>
      <c r="BE107" s="26">
        <f>Tabla2[[#This Row],[NUMERO OK]]/15</f>
        <v>0</v>
      </c>
      <c r="BF107" s="4" t="str">
        <f t="shared" ca="1" si="18"/>
        <v>N/A</v>
      </c>
      <c r="BH107" s="9"/>
      <c r="BO107" s="8"/>
    </row>
    <row r="108" spans="1:67">
      <c r="A108" s="9"/>
      <c r="G108" s="10"/>
      <c r="H108" s="62"/>
      <c r="I108" s="10"/>
      <c r="J108" s="10"/>
      <c r="M108" s="4" t="str">
        <f t="shared" ca="1" si="16"/>
        <v>SUSCRITO</v>
      </c>
      <c r="O108" s="6"/>
      <c r="Q108" s="37"/>
      <c r="R108" s="37"/>
      <c r="S108" s="38">
        <f t="shared" si="15"/>
        <v>0</v>
      </c>
      <c r="T108" s="39">
        <f t="shared" si="14"/>
        <v>0</v>
      </c>
      <c r="Y108" s="65"/>
      <c r="AJ108" s="68"/>
      <c r="AK108" s="4" cm="1">
        <f t="array" ref="AK108">SUMPRODUCT((Y108:AI108&lt;&gt;"Pendiente")*(Y108:AI108&lt;&gt;""))</f>
        <v>0</v>
      </c>
      <c r="AL108" s="4">
        <f>COUNTA(Tabla2[[#This Row],[INVITACIÓN]:[ACTA DE INICIO]])</f>
        <v>0</v>
      </c>
      <c r="AM108" s="26" t="e">
        <f t="shared" si="17"/>
        <v>#DIV/0!</v>
      </c>
      <c r="AN108" s="47"/>
      <c r="BD108" s="4">
        <f>COUNTA(Tabla2[[#This Row],[(1)SOLICITUD DE  APERTURA FIRNANCIERA Y PRESUPUESTO 1 (FECHA) ]:[(15) FECHA DE CONTRATACIÓN ADMINISTRATIVO]])</f>
        <v>0</v>
      </c>
      <c r="BE108" s="26">
        <f>Tabla2[[#This Row],[NUMERO OK]]/15</f>
        <v>0</v>
      </c>
      <c r="BF108" s="4" t="str">
        <f t="shared" ca="1" si="18"/>
        <v>N/A</v>
      </c>
      <c r="BH108" s="9"/>
      <c r="BO108" s="8"/>
    </row>
    <row r="109" spans="1:67">
      <c r="A109" s="9"/>
      <c r="G109" s="10"/>
      <c r="H109" s="62"/>
      <c r="I109" s="10"/>
      <c r="J109" s="10"/>
      <c r="M109" s="4" t="str">
        <f t="shared" ca="1" si="16"/>
        <v>SUSCRITO</v>
      </c>
      <c r="O109" s="6"/>
      <c r="Q109" s="37"/>
      <c r="R109" s="37"/>
      <c r="S109" s="38">
        <f t="shared" si="15"/>
        <v>0</v>
      </c>
      <c r="T109" s="39">
        <f t="shared" si="14"/>
        <v>0</v>
      </c>
      <c r="Y109" s="65"/>
      <c r="AJ109" s="68"/>
      <c r="AK109" s="4" cm="1">
        <f t="array" ref="AK109">SUMPRODUCT((Y109:AI109&lt;&gt;"Pendiente")*(Y109:AI109&lt;&gt;""))</f>
        <v>0</v>
      </c>
      <c r="AL109" s="4">
        <f>COUNTA(Tabla2[[#This Row],[INVITACIÓN]:[ACTA DE INICIO]])</f>
        <v>0</v>
      </c>
      <c r="AM109" s="26" t="e">
        <f t="shared" si="17"/>
        <v>#DIV/0!</v>
      </c>
      <c r="AN109" s="47"/>
      <c r="BD109" s="4">
        <f>COUNTA(Tabla2[[#This Row],[(1)SOLICITUD DE  APERTURA FIRNANCIERA Y PRESUPUESTO 1 (FECHA) ]:[(15) FECHA DE CONTRATACIÓN ADMINISTRATIVO]])</f>
        <v>0</v>
      </c>
      <c r="BE109" s="26">
        <f>Tabla2[[#This Row],[NUMERO OK]]/15</f>
        <v>0</v>
      </c>
      <c r="BF109" s="4" t="str">
        <f t="shared" ca="1" si="18"/>
        <v>N/A</v>
      </c>
      <c r="BH109" s="9"/>
      <c r="BO109" s="8"/>
    </row>
    <row r="110" spans="1:67">
      <c r="A110" s="9"/>
      <c r="G110" s="10"/>
      <c r="H110" s="62"/>
      <c r="I110" s="10"/>
      <c r="J110" s="10"/>
      <c r="M110" s="4" t="str">
        <f t="shared" ca="1" si="16"/>
        <v>SUSCRITO</v>
      </c>
      <c r="O110" s="6"/>
      <c r="Q110" s="37"/>
      <c r="R110" s="37"/>
      <c r="S110" s="38">
        <f t="shared" si="15"/>
        <v>0</v>
      </c>
      <c r="T110" s="39">
        <f t="shared" si="14"/>
        <v>0</v>
      </c>
      <c r="Y110" s="65"/>
      <c r="AJ110" s="68"/>
      <c r="AK110" s="4" cm="1">
        <f t="array" ref="AK110">SUMPRODUCT((Y110:AI110&lt;&gt;"Pendiente")*(Y110:AI110&lt;&gt;""))</f>
        <v>0</v>
      </c>
      <c r="AL110" s="4">
        <f>COUNTA(Tabla2[[#This Row],[INVITACIÓN]:[ACTA DE INICIO]])</f>
        <v>0</v>
      </c>
      <c r="AM110" s="26" t="e">
        <f t="shared" si="17"/>
        <v>#DIV/0!</v>
      </c>
      <c r="AN110" s="47"/>
      <c r="BD110" s="4">
        <f>COUNTA(Tabla2[[#This Row],[(1)SOLICITUD DE  APERTURA FIRNANCIERA Y PRESUPUESTO 1 (FECHA) ]:[(15) FECHA DE CONTRATACIÓN ADMINISTRATIVO]])</f>
        <v>0</v>
      </c>
      <c r="BE110" s="26">
        <f>Tabla2[[#This Row],[NUMERO OK]]/15</f>
        <v>0</v>
      </c>
      <c r="BF110" s="4" t="str">
        <f t="shared" ca="1" si="18"/>
        <v>N/A</v>
      </c>
      <c r="BH110" s="9"/>
      <c r="BO110" s="8"/>
    </row>
    <row r="111" spans="1:67">
      <c r="A111" s="9"/>
      <c r="G111" s="10"/>
      <c r="H111" s="62"/>
      <c r="I111" s="10"/>
      <c r="J111" s="10"/>
      <c r="M111" s="4" t="str">
        <f t="shared" ca="1" si="16"/>
        <v>SUSCRITO</v>
      </c>
      <c r="O111" s="6"/>
      <c r="Q111" s="37"/>
      <c r="R111" s="37"/>
      <c r="S111" s="38">
        <f t="shared" si="15"/>
        <v>0</v>
      </c>
      <c r="T111" s="39">
        <f t="shared" si="14"/>
        <v>0</v>
      </c>
      <c r="Y111" s="65"/>
      <c r="AJ111" s="68"/>
      <c r="AK111" s="4" cm="1">
        <f t="array" ref="AK111">SUMPRODUCT((Y111:AI111&lt;&gt;"Pendiente")*(Y111:AI111&lt;&gt;""))</f>
        <v>0</v>
      </c>
      <c r="AL111" s="4">
        <f>COUNTA(Tabla2[[#This Row],[INVITACIÓN]:[ACTA DE INICIO]])</f>
        <v>0</v>
      </c>
      <c r="AM111" s="26" t="e">
        <f t="shared" si="17"/>
        <v>#DIV/0!</v>
      </c>
      <c r="AN111" s="47"/>
      <c r="BD111" s="4">
        <f>COUNTA(Tabla2[[#This Row],[(1)SOLICITUD DE  APERTURA FIRNANCIERA Y PRESUPUESTO 1 (FECHA) ]:[(15) FECHA DE CONTRATACIÓN ADMINISTRATIVO]])</f>
        <v>0</v>
      </c>
      <c r="BE111" s="26">
        <f>Tabla2[[#This Row],[NUMERO OK]]/15</f>
        <v>0</v>
      </c>
      <c r="BF111" s="4" t="str">
        <f t="shared" ca="1" si="18"/>
        <v>N/A</v>
      </c>
      <c r="BH111" s="9"/>
      <c r="BO111" s="8"/>
    </row>
    <row r="112" spans="1:67">
      <c r="A112" s="9"/>
      <c r="G112" s="10"/>
      <c r="H112" s="62"/>
      <c r="I112" s="10"/>
      <c r="J112" s="10"/>
      <c r="M112" s="4" t="str">
        <f t="shared" ca="1" si="16"/>
        <v>SUSCRITO</v>
      </c>
      <c r="O112" s="6"/>
      <c r="Q112" s="37"/>
      <c r="R112" s="37"/>
      <c r="S112" s="38">
        <f t="shared" si="15"/>
        <v>0</v>
      </c>
      <c r="T112" s="39">
        <f t="shared" si="14"/>
        <v>0</v>
      </c>
      <c r="Y112" s="65"/>
      <c r="AJ112" s="68"/>
      <c r="AK112" s="4" cm="1">
        <f t="array" ref="AK112">SUMPRODUCT((Y112:AI112&lt;&gt;"Pendiente")*(Y112:AI112&lt;&gt;""))</f>
        <v>0</v>
      </c>
      <c r="AL112" s="4">
        <f>COUNTA(Tabla2[[#This Row],[INVITACIÓN]:[ACTA DE INICIO]])</f>
        <v>0</v>
      </c>
      <c r="AM112" s="26" t="e">
        <f t="shared" si="17"/>
        <v>#DIV/0!</v>
      </c>
      <c r="AN112" s="47"/>
      <c r="BD112" s="4">
        <f>COUNTA(Tabla2[[#This Row],[(1)SOLICITUD DE  APERTURA FIRNANCIERA Y PRESUPUESTO 1 (FECHA) ]:[(15) FECHA DE CONTRATACIÓN ADMINISTRATIVO]])</f>
        <v>0</v>
      </c>
      <c r="BE112" s="26">
        <f>Tabla2[[#This Row],[NUMERO OK]]/15</f>
        <v>0</v>
      </c>
      <c r="BF112" s="4" t="str">
        <f t="shared" ca="1" si="18"/>
        <v>N/A</v>
      </c>
      <c r="BH112" s="9"/>
      <c r="BO112" s="8"/>
    </row>
    <row r="113" spans="1:67">
      <c r="A113" s="9"/>
      <c r="G113" s="10"/>
      <c r="H113" s="62"/>
      <c r="I113" s="10"/>
      <c r="J113" s="10"/>
      <c r="M113" s="4" t="str">
        <f t="shared" ca="1" si="16"/>
        <v>SUSCRITO</v>
      </c>
      <c r="O113" s="6"/>
      <c r="Q113" s="37"/>
      <c r="R113" s="37"/>
      <c r="S113" s="38">
        <f t="shared" si="15"/>
        <v>0</v>
      </c>
      <c r="T113" s="39">
        <f t="shared" si="14"/>
        <v>0</v>
      </c>
      <c r="Y113" s="65"/>
      <c r="AJ113" s="68"/>
      <c r="AK113" s="4" cm="1">
        <f t="array" ref="AK113">SUMPRODUCT((Y113:AI113&lt;&gt;"Pendiente")*(Y113:AI113&lt;&gt;""))</f>
        <v>0</v>
      </c>
      <c r="AL113" s="4">
        <f>COUNTA(Tabla2[[#This Row],[INVITACIÓN]:[ACTA DE INICIO]])</f>
        <v>0</v>
      </c>
      <c r="AM113" s="26" t="e">
        <f t="shared" si="17"/>
        <v>#DIV/0!</v>
      </c>
      <c r="AN113" s="47"/>
      <c r="BD113" s="4">
        <f>COUNTA(Tabla2[[#This Row],[(1)SOLICITUD DE  APERTURA FIRNANCIERA Y PRESUPUESTO 1 (FECHA) ]:[(15) FECHA DE CONTRATACIÓN ADMINISTRATIVO]])</f>
        <v>0</v>
      </c>
      <c r="BE113" s="26">
        <f>Tabla2[[#This Row],[NUMERO OK]]/15</f>
        <v>0</v>
      </c>
      <c r="BF113" s="4" t="str">
        <f t="shared" ca="1" si="18"/>
        <v>N/A</v>
      </c>
      <c r="BH113" s="9"/>
      <c r="BO113" s="8"/>
    </row>
    <row r="114" spans="1:67">
      <c r="A114" s="9"/>
      <c r="G114" s="10"/>
      <c r="H114" s="62"/>
      <c r="I114" s="10"/>
      <c r="J114" s="10"/>
      <c r="M114" s="4" t="str">
        <f t="shared" ca="1" si="16"/>
        <v>SUSCRITO</v>
      </c>
      <c r="O114" s="6"/>
      <c r="Q114" s="37"/>
      <c r="R114" s="37"/>
      <c r="S114" s="38">
        <f t="shared" si="15"/>
        <v>0</v>
      </c>
      <c r="T114" s="39">
        <f t="shared" si="14"/>
        <v>0</v>
      </c>
      <c r="Y114" s="65"/>
      <c r="AJ114" s="68"/>
      <c r="AK114" s="4" cm="1">
        <f t="array" ref="AK114">SUMPRODUCT((Y114:AI114&lt;&gt;"Pendiente")*(Y114:AI114&lt;&gt;""))</f>
        <v>0</v>
      </c>
      <c r="AL114" s="4">
        <f>COUNTA(Tabla2[[#This Row],[INVITACIÓN]:[ACTA DE INICIO]])</f>
        <v>0</v>
      </c>
      <c r="AM114" s="26" t="e">
        <f t="shared" si="17"/>
        <v>#DIV/0!</v>
      </c>
      <c r="AN114" s="47"/>
      <c r="BD114" s="4">
        <f>COUNTA(Tabla2[[#This Row],[(1)SOLICITUD DE  APERTURA FIRNANCIERA Y PRESUPUESTO 1 (FECHA) ]:[(15) FECHA DE CONTRATACIÓN ADMINISTRATIVO]])</f>
        <v>0</v>
      </c>
      <c r="BE114" s="26">
        <f>Tabla2[[#This Row],[NUMERO OK]]/15</f>
        <v>0</v>
      </c>
      <c r="BF114" s="4" t="str">
        <f t="shared" ca="1" si="18"/>
        <v>N/A</v>
      </c>
      <c r="BH114" s="9"/>
      <c r="BO114" s="8"/>
    </row>
    <row r="115" spans="1:67">
      <c r="A115" s="9"/>
      <c r="G115" s="10"/>
      <c r="H115" s="62"/>
      <c r="I115" s="10"/>
      <c r="J115" s="10"/>
      <c r="M115" s="4" t="str">
        <f t="shared" ca="1" si="16"/>
        <v>SUSCRITO</v>
      </c>
      <c r="O115" s="6"/>
      <c r="Q115" s="37"/>
      <c r="R115" s="37"/>
      <c r="S115" s="38">
        <f t="shared" si="15"/>
        <v>0</v>
      </c>
      <c r="T115" s="39">
        <f t="shared" si="14"/>
        <v>0</v>
      </c>
      <c r="Y115" s="65"/>
      <c r="AJ115" s="68"/>
      <c r="AK115" s="4" cm="1">
        <f t="array" ref="AK115">SUMPRODUCT((Y115:AI115&lt;&gt;"Pendiente")*(Y115:AI115&lt;&gt;""))</f>
        <v>0</v>
      </c>
      <c r="AL115" s="4">
        <f>COUNTA(Tabla2[[#This Row],[INVITACIÓN]:[ACTA DE INICIO]])</f>
        <v>0</v>
      </c>
      <c r="AM115" s="26" t="e">
        <f t="shared" si="17"/>
        <v>#DIV/0!</v>
      </c>
      <c r="AN115" s="47"/>
      <c r="BD115" s="4">
        <f>COUNTA(Tabla2[[#This Row],[(1)SOLICITUD DE  APERTURA FIRNANCIERA Y PRESUPUESTO 1 (FECHA) ]:[(15) FECHA DE CONTRATACIÓN ADMINISTRATIVO]])</f>
        <v>0</v>
      </c>
      <c r="BE115" s="26">
        <f>Tabla2[[#This Row],[NUMERO OK]]/15</f>
        <v>0</v>
      </c>
      <c r="BF115" s="4" t="str">
        <f t="shared" ca="1" si="18"/>
        <v>N/A</v>
      </c>
      <c r="BH115" s="9"/>
      <c r="BO115" s="8"/>
    </row>
    <row r="116" spans="1:67">
      <c r="A116" s="9"/>
      <c r="G116" s="10"/>
      <c r="H116" s="62"/>
      <c r="I116" s="10"/>
      <c r="J116" s="10"/>
      <c r="M116" s="4" t="str">
        <f t="shared" ca="1" si="16"/>
        <v>SUSCRITO</v>
      </c>
      <c r="O116" s="6"/>
      <c r="Q116" s="37"/>
      <c r="R116" s="37"/>
      <c r="S116" s="38">
        <f t="shared" si="15"/>
        <v>0</v>
      </c>
      <c r="T116" s="39">
        <f t="shared" si="14"/>
        <v>0</v>
      </c>
      <c r="Y116" s="65"/>
      <c r="AJ116" s="68"/>
      <c r="AK116" s="4" cm="1">
        <f t="array" ref="AK116">SUMPRODUCT((Y116:AI116&lt;&gt;"Pendiente")*(Y116:AI116&lt;&gt;""))</f>
        <v>0</v>
      </c>
      <c r="AL116" s="4">
        <f>COUNTA(Tabla2[[#This Row],[INVITACIÓN]:[ACTA DE INICIO]])</f>
        <v>0</v>
      </c>
      <c r="AM116" s="26" t="e">
        <f t="shared" si="17"/>
        <v>#DIV/0!</v>
      </c>
      <c r="AN116" s="47"/>
      <c r="BD116" s="4">
        <f>COUNTA(Tabla2[[#This Row],[(1)SOLICITUD DE  APERTURA FIRNANCIERA Y PRESUPUESTO 1 (FECHA) ]:[(15) FECHA DE CONTRATACIÓN ADMINISTRATIVO]])</f>
        <v>0</v>
      </c>
      <c r="BE116" s="26">
        <f>Tabla2[[#This Row],[NUMERO OK]]/15</f>
        <v>0</v>
      </c>
      <c r="BF116" s="4" t="str">
        <f t="shared" ca="1" si="18"/>
        <v>N/A</v>
      </c>
      <c r="BH116" s="9"/>
      <c r="BO116" s="8"/>
    </row>
    <row r="117" spans="1:67">
      <c r="A117" s="9"/>
      <c r="G117" s="10"/>
      <c r="H117" s="62"/>
      <c r="I117" s="10"/>
      <c r="J117" s="10"/>
      <c r="M117" s="4" t="str">
        <f t="shared" ca="1" si="16"/>
        <v>SUSCRITO</v>
      </c>
      <c r="O117" s="6"/>
      <c r="Q117" s="37"/>
      <c r="R117" s="37"/>
      <c r="S117" s="38">
        <f t="shared" si="15"/>
        <v>0</v>
      </c>
      <c r="T117" s="39">
        <f t="shared" si="14"/>
        <v>0</v>
      </c>
      <c r="Y117" s="65"/>
      <c r="AJ117" s="68"/>
      <c r="AK117" s="4" cm="1">
        <f t="array" ref="AK117">SUMPRODUCT((Y117:AI117&lt;&gt;"Pendiente")*(Y117:AI117&lt;&gt;""))</f>
        <v>0</v>
      </c>
      <c r="AL117" s="4">
        <f>COUNTA(Tabla2[[#This Row],[INVITACIÓN]:[ACTA DE INICIO]])</f>
        <v>0</v>
      </c>
      <c r="AM117" s="26" t="e">
        <f t="shared" si="17"/>
        <v>#DIV/0!</v>
      </c>
      <c r="AN117" s="47"/>
      <c r="BD117" s="4">
        <f>COUNTA(Tabla2[[#This Row],[(1)SOLICITUD DE  APERTURA FIRNANCIERA Y PRESUPUESTO 1 (FECHA) ]:[(15) FECHA DE CONTRATACIÓN ADMINISTRATIVO]])</f>
        <v>0</v>
      </c>
      <c r="BE117" s="26">
        <f>Tabla2[[#This Row],[NUMERO OK]]/15</f>
        <v>0</v>
      </c>
      <c r="BF117" s="4" t="str">
        <f t="shared" ca="1" si="18"/>
        <v>N/A</v>
      </c>
      <c r="BH117" s="9"/>
      <c r="BO117" s="8"/>
    </row>
    <row r="118" spans="1:67">
      <c r="A118" s="9"/>
      <c r="G118" s="10"/>
      <c r="H118" s="62"/>
      <c r="I118" s="10"/>
      <c r="J118" s="10"/>
      <c r="M118" s="4" t="str">
        <f t="shared" ca="1" si="16"/>
        <v>SUSCRITO</v>
      </c>
      <c r="O118" s="6"/>
      <c r="Q118" s="37"/>
      <c r="R118" s="37"/>
      <c r="S118" s="38">
        <f t="shared" ref="S118:S122" si="19">Q118+R118</f>
        <v>0</v>
      </c>
      <c r="T118" s="39">
        <f t="shared" si="14"/>
        <v>0</v>
      </c>
      <c r="Y118" s="65"/>
      <c r="AJ118" s="68"/>
      <c r="AK118" s="4" cm="1">
        <f t="array" ref="AK118">SUMPRODUCT((Y118:AI118&lt;&gt;"Pendiente")*(Y118:AI118&lt;&gt;""))</f>
        <v>0</v>
      </c>
      <c r="AL118" s="4">
        <f>COUNTA(Tabla2[[#This Row],[INVITACIÓN]:[ACTA DE INICIO]])</f>
        <v>0</v>
      </c>
      <c r="AM118" s="26" t="e">
        <f t="shared" si="17"/>
        <v>#DIV/0!</v>
      </c>
      <c r="AN118" s="47"/>
      <c r="BD118" s="4">
        <f>COUNTA(Tabla2[[#This Row],[(1)SOLICITUD DE  APERTURA FIRNANCIERA Y PRESUPUESTO 1 (FECHA) ]:[(15) FECHA DE CONTRATACIÓN ADMINISTRATIVO]])</f>
        <v>0</v>
      </c>
      <c r="BE118" s="26">
        <f>Tabla2[[#This Row],[NUMERO OK]]/15</f>
        <v>0</v>
      </c>
      <c r="BF118" s="4" t="str">
        <f t="shared" ca="1" si="18"/>
        <v>N/A</v>
      </c>
      <c r="BH118" s="9"/>
      <c r="BO118" s="8"/>
    </row>
    <row r="119" spans="1:67">
      <c r="A119" s="9"/>
      <c r="G119" s="10"/>
      <c r="H119" s="62"/>
      <c r="I119" s="10"/>
      <c r="J119" s="10"/>
      <c r="M119" s="4" t="str">
        <f t="shared" ca="1" si="16"/>
        <v>SUSCRITO</v>
      </c>
      <c r="O119" s="6"/>
      <c r="Q119" s="37"/>
      <c r="R119" s="37"/>
      <c r="S119" s="38">
        <f t="shared" si="19"/>
        <v>0</v>
      </c>
      <c r="T119" s="39">
        <f t="shared" si="14"/>
        <v>0</v>
      </c>
      <c r="Y119" s="65"/>
      <c r="AJ119" s="68"/>
      <c r="AK119" s="4" cm="1">
        <f t="array" ref="AK119">SUMPRODUCT((Y119:AI119&lt;&gt;"Pendiente")*(Y119:AI119&lt;&gt;""))</f>
        <v>0</v>
      </c>
      <c r="AL119" s="4">
        <f>COUNTA(Tabla2[[#This Row],[INVITACIÓN]:[ACTA DE INICIO]])</f>
        <v>0</v>
      </c>
      <c r="AM119" s="26" t="e">
        <f t="shared" si="17"/>
        <v>#DIV/0!</v>
      </c>
      <c r="AN119" s="47"/>
      <c r="BD119" s="4">
        <f>COUNTA(Tabla2[[#This Row],[(1)SOLICITUD DE  APERTURA FIRNANCIERA Y PRESUPUESTO 1 (FECHA) ]:[(15) FECHA DE CONTRATACIÓN ADMINISTRATIVO]])</f>
        <v>0</v>
      </c>
      <c r="BE119" s="26">
        <f>Tabla2[[#This Row],[NUMERO OK]]/15</f>
        <v>0</v>
      </c>
      <c r="BF119" s="4" t="str">
        <f t="shared" ca="1" si="18"/>
        <v>N/A</v>
      </c>
      <c r="BH119" s="9"/>
      <c r="BO119" s="8"/>
    </row>
    <row r="120" spans="1:67">
      <c r="A120" s="9"/>
      <c r="G120" s="10"/>
      <c r="H120" s="62"/>
      <c r="I120" s="10"/>
      <c r="J120" s="10"/>
      <c r="M120" s="4" t="str">
        <f t="shared" ca="1" si="16"/>
        <v>SUSCRITO</v>
      </c>
      <c r="O120" s="6"/>
      <c r="Q120" s="37"/>
      <c r="R120" s="37"/>
      <c r="S120" s="38">
        <f t="shared" si="19"/>
        <v>0</v>
      </c>
      <c r="T120" s="39">
        <f t="shared" si="14"/>
        <v>0</v>
      </c>
      <c r="Y120" s="65"/>
      <c r="AJ120" s="68"/>
      <c r="AK120" s="4" cm="1">
        <f t="array" ref="AK120">SUMPRODUCT((Y120:AI120&lt;&gt;"Pendiente")*(Y120:AI120&lt;&gt;""))</f>
        <v>0</v>
      </c>
      <c r="AL120" s="4">
        <f>COUNTA(Tabla2[[#This Row],[INVITACIÓN]:[ACTA DE INICIO]])</f>
        <v>0</v>
      </c>
      <c r="AM120" s="26" t="e">
        <f t="shared" si="17"/>
        <v>#DIV/0!</v>
      </c>
      <c r="AN120" s="47"/>
      <c r="BD120" s="4">
        <f>COUNTA(Tabla2[[#This Row],[(1)SOLICITUD DE  APERTURA FIRNANCIERA Y PRESUPUESTO 1 (FECHA) ]:[(15) FECHA DE CONTRATACIÓN ADMINISTRATIVO]])</f>
        <v>0</v>
      </c>
      <c r="BE120" s="26">
        <f>Tabla2[[#This Row],[NUMERO OK]]/15</f>
        <v>0</v>
      </c>
      <c r="BF120" s="4" t="str">
        <f t="shared" ca="1" si="18"/>
        <v>N/A</v>
      </c>
      <c r="BH120" s="9"/>
      <c r="BO120" s="8"/>
    </row>
    <row r="121" spans="1:67">
      <c r="A121" s="9"/>
      <c r="G121" s="10"/>
      <c r="H121" s="62"/>
      <c r="I121" s="10"/>
      <c r="J121" s="10"/>
      <c r="M121" s="4" t="str">
        <f t="shared" ca="1" si="16"/>
        <v>SUSCRITO</v>
      </c>
      <c r="O121" s="6"/>
      <c r="Q121" s="37"/>
      <c r="R121" s="37"/>
      <c r="S121" s="38">
        <f t="shared" si="19"/>
        <v>0</v>
      </c>
      <c r="T121" s="39">
        <f t="shared" si="14"/>
        <v>0</v>
      </c>
      <c r="Y121" s="65"/>
      <c r="AJ121" s="68"/>
      <c r="AK121" s="4" cm="1">
        <f t="array" ref="AK121">SUMPRODUCT((Y121:AI121&lt;&gt;"Pendiente")*(Y121:AI121&lt;&gt;""))</f>
        <v>0</v>
      </c>
      <c r="AL121" s="4">
        <f>COUNTA(Tabla2[[#This Row],[INVITACIÓN]:[ACTA DE INICIO]])</f>
        <v>0</v>
      </c>
      <c r="AM121" s="26" t="e">
        <f t="shared" si="17"/>
        <v>#DIV/0!</v>
      </c>
      <c r="AN121" s="47"/>
      <c r="BD121" s="4">
        <f>COUNTA(Tabla2[[#This Row],[(1)SOLICITUD DE  APERTURA FIRNANCIERA Y PRESUPUESTO 1 (FECHA) ]:[(15) FECHA DE CONTRATACIÓN ADMINISTRATIVO]])</f>
        <v>0</v>
      </c>
      <c r="BE121" s="26">
        <f>Tabla2[[#This Row],[NUMERO OK]]/15</f>
        <v>0</v>
      </c>
      <c r="BF121" s="4" t="str">
        <f t="shared" ca="1" si="18"/>
        <v>N/A</v>
      </c>
      <c r="BH121" s="9"/>
      <c r="BO121" s="8"/>
    </row>
    <row r="122" spans="1:67">
      <c r="A122" s="9"/>
      <c r="G122" s="10"/>
      <c r="H122" s="62"/>
      <c r="I122" s="10"/>
      <c r="J122" s="10"/>
      <c r="M122" s="4" t="str">
        <f t="shared" ca="1" si="16"/>
        <v>SUSCRITO</v>
      </c>
      <c r="O122" s="6"/>
      <c r="Q122" s="37"/>
      <c r="R122" s="37"/>
      <c r="S122" s="38">
        <f t="shared" si="19"/>
        <v>0</v>
      </c>
      <c r="T122" s="12">
        <f>SUBTOTAL(109,T3:T121)</f>
        <v>10555092153.558216</v>
      </c>
      <c r="Y122" s="65"/>
      <c r="AJ122" s="68"/>
      <c r="AK122" s="4" cm="1">
        <f t="array" ref="AK122">SUMPRODUCT((Y122:AI122&lt;&gt;"Pendiente")*(Y122:AI122&lt;&gt;""))</f>
        <v>0</v>
      </c>
      <c r="AL122" s="4">
        <f>COUNTA(Tabla2[[#This Row],[INVITACIÓN]:[ACTA DE INICIO]])</f>
        <v>0</v>
      </c>
      <c r="AM122" s="26" t="e">
        <f t="shared" si="17"/>
        <v>#DIV/0!</v>
      </c>
      <c r="AN122" s="47"/>
      <c r="BD122" s="4">
        <f>COUNTA(Tabla2[[#This Row],[(1)SOLICITUD DE  APERTURA FIRNANCIERA Y PRESUPUESTO 1 (FECHA) ]:[(15) FECHA DE CONTRATACIÓN ADMINISTRATIVO]])</f>
        <v>0</v>
      </c>
      <c r="BE122" s="26">
        <f>Tabla2[[#This Row],[NUMERO OK]]/15</f>
        <v>0</v>
      </c>
      <c r="BF122" s="4" t="str">
        <f t="shared" ca="1" si="18"/>
        <v>N/A</v>
      </c>
      <c r="BH122" s="9"/>
      <c r="BO122" s="8"/>
    </row>
    <row r="123" spans="1:67" ht="15" customHeight="1">
      <c r="A123" s="9"/>
      <c r="G123" s="10"/>
      <c r="H123" s="62"/>
      <c r="I123" s="10"/>
      <c r="J123" s="10"/>
      <c r="O123" s="6"/>
      <c r="Q123" s="37"/>
      <c r="R123" s="37"/>
      <c r="S123" s="53"/>
      <c r="Y123" s="65"/>
      <c r="AJ123" s="68"/>
      <c r="AN123" s="47"/>
      <c r="BH123" s="9"/>
      <c r="BO123" s="8"/>
    </row>
    <row r="125" spans="1:67" ht="15" customHeight="1">
      <c r="S125" s="63"/>
    </row>
  </sheetData>
  <protectedRanges>
    <protectedRange algorithmName="SHA-512" hashValue="B3iB6miBgE6U7OW/pTmUSCLaCl8XcioqNzj5/y6VAUjmXFIPrmHZN3ygLYzQbPjJs/G8aMPEQVRzjMwW9q1EDQ==" saltValue="n2zrRUxRlZPkk5p4vx+/Ew==" spinCount="100000" sqref="AS12" name="Rango1"/>
  </protectedRanges>
  <dataConsolidate/>
  <mergeCells count="4">
    <mergeCell ref="A1:X1"/>
    <mergeCell ref="Y1:AM1"/>
    <mergeCell ref="AN1:BG1"/>
    <mergeCell ref="BH1:BO1"/>
  </mergeCells>
  <phoneticPr fontId="10" type="noConversion"/>
  <conditionalFormatting sqref="M3:M122">
    <cfRule type="containsBlanks" priority="9" stopIfTrue="1">
      <formula>LEN(TRIM(M3))=0</formula>
    </cfRule>
  </conditionalFormatting>
  <conditionalFormatting sqref="K2:K1048576">
    <cfRule type="duplicateValues" dxfId="463" priority="3"/>
    <cfRule type="duplicateValues" dxfId="462" priority="7"/>
  </conditionalFormatting>
  <conditionalFormatting sqref="K25:K44">
    <cfRule type="duplicateValues" dxfId="461" priority="145"/>
  </conditionalFormatting>
  <conditionalFormatting sqref="C46">
    <cfRule type="duplicateValues" dxfId="460" priority="1"/>
    <cfRule type="duplicateValues" dxfId="459" priority="2"/>
  </conditionalFormatting>
  <conditionalFormatting sqref="K4:K24">
    <cfRule type="duplicateValues" dxfId="458" priority="148"/>
  </conditionalFormatting>
  <dataValidations xWindow="711" yWindow="613" count="5">
    <dataValidation allowBlank="1" showInputMessage="1" showErrorMessage="1" sqref="Q4:R4" xr:uid="{F2E7CCCF-116D-4246-8DA0-CDEC1E8B80F9}"/>
    <dataValidation type="date" allowBlank="1" showInputMessage="1" showErrorMessage="1" sqref="AV4:AV15 AN4:AN44 AP4:AQ44 AV18:AV44" xr:uid="{C9A979F1-4997-4EAC-A877-C38EE878A92D}">
      <formula1>36526</formula1>
      <formula2>47848</formula2>
    </dataValidation>
    <dataValidation type="date" allowBlank="1" showInputMessage="1" showErrorMessage="1" sqref="I4:I11 J4:J44 I13:I44 H4:H44 G3:G122" xr:uid="{D7F9E1E1-E59E-41BF-AF95-C28348393D74}">
      <formula1>36526</formula1>
      <formula2>48944</formula2>
    </dataValidation>
    <dataValidation allowBlank="1" showInputMessage="1" showErrorMessage="1" promptTitle="ESPACIOS" prompt="NO DEJAR ESPACIOS AL INICIO O FINAL" sqref="K25:K44 P4:P44 K4:K23" xr:uid="{2C502364-685D-41CD-B7B7-28B90A452920}"/>
    <dataValidation allowBlank="1" showInputMessage="1" showErrorMessage="1" promptTitle="NO DEJAR ESAPACIOS" prompt="NO DEJAR ESPACIOS AL INICIO O FINAL " sqref="O4:O44" xr:uid="{22227A7E-E3D4-4C60-96F8-C3AC41397112}"/>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xWindow="711" yWindow="613" count="11">
        <x14:dataValidation type="list" allowBlank="1" showInputMessage="1" showErrorMessage="1" xr:uid="{8B04C72D-780F-4757-BCD4-B51CEA083A8F}">
          <x14:formula1>
            <xm:f>'LISTAS DESPLEGABLES'!$E$3:$E$50</xm:f>
          </x14:formula1>
          <xm:sqref>C3:C45 C47:C122</xm:sqref>
        </x14:dataValidation>
        <x14:dataValidation type="list" allowBlank="1" showInputMessage="1" showErrorMessage="1" promptTitle="AÑO DE SUSCRIPCIÓN" xr:uid="{C67163FE-7F10-4B73-81BC-61E40CD5EA92}">
          <x14:formula1>
            <xm:f>'LISTAS DESPLEGABLES'!$A$3:$A$5</xm:f>
          </x14:formula1>
          <xm:sqref>A122</xm:sqref>
        </x14:dataValidation>
        <x14:dataValidation type="list" allowBlank="1" showInputMessage="1" showErrorMessage="1" xr:uid="{B26CDC8B-056E-4F81-B03D-9EEC82A747C9}">
          <x14:formula1>
            <xm:f>'LISTAS DESPLEGABLES'!$F$3:$F$21</xm:f>
          </x14:formula1>
          <xm:sqref>L122</xm:sqref>
        </x14:dataValidation>
        <x14:dataValidation type="list" allowBlank="1" showInputMessage="1" showErrorMessage="1" xr:uid="{B4CC6D5C-D792-48EB-BF1A-D3641C289A18}">
          <x14:formula1>
            <xm:f>'LISTAS DESPLEGABLES'!$A$3:$A$9</xm:f>
          </x14:formula1>
          <xm:sqref>A3:A121</xm:sqref>
        </x14:dataValidation>
        <x14:dataValidation type="list" allowBlank="1" showInputMessage="1" showErrorMessage="1" xr:uid="{91A2C9A3-B7C6-4BDD-99F8-6446E701C9E0}">
          <x14:formula1>
            <xm:f>'LISTAS DESPLEGABLES'!$F$3:$F$22</xm:f>
          </x14:formula1>
          <xm:sqref>L3:L121</xm:sqref>
        </x14:dataValidation>
        <x14:dataValidation type="list" allowBlank="1" showInputMessage="1" showErrorMessage="1" xr:uid="{7133B001-CA16-4F6C-B490-C924FC415C7A}">
          <x14:formula1>
            <xm:f>'LISTAS DESPLEGABLES'!$M$3:$M$5</xm:f>
          </x14:formula1>
          <xm:sqref>Y3:AI122</xm:sqref>
        </x14:dataValidation>
        <x14:dataValidation type="list" allowBlank="1" showInputMessage="1" showErrorMessage="1" xr:uid="{E848157B-F798-4F2D-8D1D-17E9975E2D02}">
          <x14:formula1>
            <xm:f>'LISTAS DESPLEGABLES'!$J$3:$J$13</xm:f>
          </x14:formula1>
          <xm:sqref>N3:N122</xm:sqref>
        </x14:dataValidation>
        <x14:dataValidation type="list" allowBlank="1" showInputMessage="1" showErrorMessage="1" xr:uid="{4980E5B6-FBC7-42DC-A903-945902812699}">
          <x14:formula1>
            <xm:f>'LISTAS DESPLEGABLES'!$K$3:$K$6</xm:f>
          </x14:formula1>
          <xm:sqref>W3:W122</xm:sqref>
        </x14:dataValidation>
        <x14:dataValidation type="list" allowBlank="1" showInputMessage="1" showErrorMessage="1" xr:uid="{CA8EE9CD-D01A-4CB3-85DD-E7F5CA548C01}">
          <x14:formula1>
            <xm:f>'LISTAS DESPLEGABLES'!$B$3:$B$13</xm:f>
          </x14:formula1>
          <xm:sqref>F3:F122</xm:sqref>
        </x14:dataValidation>
        <x14:dataValidation type="list" allowBlank="1" showInputMessage="1" showErrorMessage="1" xr:uid="{AC4312D2-4BFD-4AF6-81B9-0C4E371F7484}">
          <x14:formula1>
            <xm:f>'LISTAS DESPLEGABLES'!$N$3:$N$5</xm:f>
          </x14:formula1>
          <xm:sqref>BG3:BG122</xm:sqref>
        </x14:dataValidation>
        <x14:dataValidation type="list" allowBlank="1" showInputMessage="1" showErrorMessage="1" xr:uid="{88834EAB-BB8E-417D-ACA9-C4A833828B3F}">
          <x14:formula1>
            <xm:f>'LISTAS DESPLEGABLES'!$L$3:$L$7</xm:f>
          </x14:formula1>
          <xm:sqref>X3:X122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DAB9-186C-489D-9E40-5F5CCC9B6F16}">
  <sheetPr>
    <tabColor theme="6"/>
  </sheetPr>
  <dimension ref="A1:BQ124"/>
  <sheetViews>
    <sheetView zoomScale="95" zoomScaleNormal="95" workbookViewId="0">
      <pane ySplit="2" topLeftCell="A3" activePane="bottomLeft" state="frozen"/>
      <selection activeCell="B1" sqref="B1"/>
      <selection pane="bottomLeft"/>
    </sheetView>
  </sheetViews>
  <sheetFormatPr baseColWidth="10" defaultColWidth="9" defaultRowHeight="15" customHeight="1"/>
  <cols>
    <col min="1" max="1" width="8" style="4" customWidth="1"/>
    <col min="2" max="2" width="17.375" style="4" customWidth="1"/>
    <col min="3" max="4" width="19.625" style="4" customWidth="1"/>
    <col min="5" max="5" width="21.375" style="4" customWidth="1"/>
    <col min="6" max="10" width="15.625" style="4" customWidth="1"/>
    <col min="11" max="11" width="17.25" style="4" customWidth="1"/>
    <col min="12" max="12" width="28.25" style="4" customWidth="1"/>
    <col min="13" max="13" width="13.375" style="4" customWidth="1"/>
    <col min="14" max="14" width="16.75" style="4" customWidth="1"/>
    <col min="15" max="15" width="23.375" style="4" customWidth="1"/>
    <col min="16" max="20" width="25.625" style="4" customWidth="1"/>
    <col min="21" max="21" width="25.625" style="12" customWidth="1"/>
    <col min="22" max="22" width="82.25" style="12" customWidth="1"/>
    <col min="23" max="23" width="27.875" style="11" customWidth="1"/>
    <col min="24" max="24" width="13.375" style="4" customWidth="1"/>
    <col min="25" max="25" width="21.625" style="4" customWidth="1"/>
    <col min="26" max="26" width="22.375" style="4" customWidth="1"/>
    <col min="27" max="37" width="20.625" style="4" customWidth="1"/>
    <col min="38" max="38" width="20.625" style="11" customWidth="1"/>
    <col min="39" max="40" width="20.625" style="4" customWidth="1"/>
    <col min="41" max="41" width="20.625" style="26" customWidth="1"/>
    <col min="42" max="58" width="30.625" style="4" customWidth="1"/>
    <col min="59" max="59" width="30.625" style="26" customWidth="1"/>
    <col min="60" max="69" width="30.625" style="4" customWidth="1"/>
    <col min="70" max="16384" width="9" style="4"/>
  </cols>
  <sheetData>
    <row r="1" spans="1:69" ht="26.25" customHeight="1">
      <c r="A1" s="168" t="s">
        <v>770</v>
      </c>
      <c r="B1" s="169"/>
      <c r="C1" s="169"/>
      <c r="D1" s="169"/>
      <c r="E1" s="169"/>
      <c r="F1" s="169"/>
      <c r="G1" s="169"/>
      <c r="H1" s="180"/>
      <c r="I1" s="169"/>
      <c r="J1" s="169"/>
      <c r="K1" s="169"/>
      <c r="L1" s="169"/>
      <c r="M1" s="169"/>
      <c r="N1" s="169"/>
      <c r="O1" s="169"/>
      <c r="P1" s="169"/>
      <c r="Q1" s="169"/>
      <c r="R1" s="169"/>
      <c r="S1" s="169"/>
      <c r="T1" s="180"/>
      <c r="U1" s="169"/>
      <c r="V1" s="169"/>
      <c r="W1" s="169"/>
      <c r="X1" s="169"/>
      <c r="Y1" s="169"/>
      <c r="Z1" s="170"/>
      <c r="AA1" s="171" t="s">
        <v>771</v>
      </c>
      <c r="AB1" s="172"/>
      <c r="AC1" s="172"/>
      <c r="AD1" s="172"/>
      <c r="AE1" s="172"/>
      <c r="AF1" s="172"/>
      <c r="AG1" s="172"/>
      <c r="AH1" s="172"/>
      <c r="AI1" s="172"/>
      <c r="AJ1" s="172"/>
      <c r="AK1" s="172"/>
      <c r="AL1" s="172"/>
      <c r="AM1" s="172"/>
      <c r="AN1" s="172"/>
      <c r="AO1" s="173"/>
      <c r="AP1" s="174" t="s">
        <v>772</v>
      </c>
      <c r="AQ1" s="175"/>
      <c r="AR1" s="175"/>
      <c r="AS1" s="175"/>
      <c r="AT1" s="175"/>
      <c r="AU1" s="175"/>
      <c r="AV1" s="175"/>
      <c r="AW1" s="175"/>
      <c r="AX1" s="175"/>
      <c r="AY1" s="175"/>
      <c r="AZ1" s="175"/>
      <c r="BA1" s="175"/>
      <c r="BB1" s="175"/>
      <c r="BC1" s="175"/>
      <c r="BD1" s="175"/>
      <c r="BE1" s="175"/>
      <c r="BF1" s="175"/>
      <c r="BG1" s="175"/>
      <c r="BH1" s="175"/>
      <c r="BI1" s="176"/>
      <c r="BJ1" s="177" t="s">
        <v>773</v>
      </c>
      <c r="BK1" s="178"/>
      <c r="BL1" s="178"/>
      <c r="BM1" s="178"/>
      <c r="BN1" s="178"/>
      <c r="BO1" s="178"/>
      <c r="BP1" s="178"/>
      <c r="BQ1" s="179"/>
    </row>
    <row r="2" spans="1:69" s="6" customFormat="1" ht="91.5" customHeight="1">
      <c r="A2" s="49" t="s">
        <v>0</v>
      </c>
      <c r="B2" s="5" t="s">
        <v>1150</v>
      </c>
      <c r="C2" s="6" t="s">
        <v>775</v>
      </c>
      <c r="D2" s="6" t="s">
        <v>776</v>
      </c>
      <c r="E2" s="6" t="s">
        <v>777</v>
      </c>
      <c r="F2" s="5" t="s">
        <v>778</v>
      </c>
      <c r="G2" s="5" t="s">
        <v>779</v>
      </c>
      <c r="H2" s="5" t="s">
        <v>780</v>
      </c>
      <c r="I2" s="32" t="s">
        <v>781</v>
      </c>
      <c r="J2" s="32" t="s">
        <v>782</v>
      </c>
      <c r="K2" s="5" t="s">
        <v>1151</v>
      </c>
      <c r="L2" s="32" t="s">
        <v>180</v>
      </c>
      <c r="M2" s="32" t="s">
        <v>3</v>
      </c>
      <c r="N2" s="32" t="s">
        <v>9</v>
      </c>
      <c r="O2" s="32" t="s">
        <v>181</v>
      </c>
      <c r="P2" s="33" t="s">
        <v>183</v>
      </c>
      <c r="Q2" s="33" t="s">
        <v>1152</v>
      </c>
      <c r="R2" s="33" t="s">
        <v>784</v>
      </c>
      <c r="S2" s="33" t="s">
        <v>1153</v>
      </c>
      <c r="T2" s="33" t="s">
        <v>185</v>
      </c>
      <c r="U2" s="33" t="s">
        <v>785</v>
      </c>
      <c r="V2" s="33" t="s">
        <v>1154</v>
      </c>
      <c r="W2" s="34" t="s">
        <v>186</v>
      </c>
      <c r="X2" s="5" t="s">
        <v>2</v>
      </c>
      <c r="Y2" s="5" t="s">
        <v>10</v>
      </c>
      <c r="Z2" s="5" t="s">
        <v>11</v>
      </c>
      <c r="AA2" s="52" t="s">
        <v>786</v>
      </c>
      <c r="AB2" s="5" t="s">
        <v>787</v>
      </c>
      <c r="AC2" s="5" t="s">
        <v>788</v>
      </c>
      <c r="AD2" s="5" t="s">
        <v>789</v>
      </c>
      <c r="AE2" s="5" t="s">
        <v>790</v>
      </c>
      <c r="AF2" s="5" t="s">
        <v>791</v>
      </c>
      <c r="AG2" s="5" t="s">
        <v>792</v>
      </c>
      <c r="AH2" s="5" t="s">
        <v>793</v>
      </c>
      <c r="AI2" s="5" t="s">
        <v>794</v>
      </c>
      <c r="AJ2" s="5" t="s">
        <v>795</v>
      </c>
      <c r="AK2" s="5" t="s">
        <v>796</v>
      </c>
      <c r="AL2" s="67" t="s">
        <v>187</v>
      </c>
      <c r="AM2" s="27" t="s">
        <v>797</v>
      </c>
      <c r="AN2" s="27" t="s">
        <v>798</v>
      </c>
      <c r="AO2" s="28" t="s">
        <v>799</v>
      </c>
      <c r="AP2" s="45" t="s">
        <v>800</v>
      </c>
      <c r="AQ2" s="5" t="s">
        <v>801</v>
      </c>
      <c r="AR2" s="5" t="s">
        <v>802</v>
      </c>
      <c r="AS2" s="5" t="s">
        <v>803</v>
      </c>
      <c r="AT2" s="5" t="s">
        <v>804</v>
      </c>
      <c r="AU2" s="5" t="s">
        <v>805</v>
      </c>
      <c r="AV2" s="5" t="s">
        <v>806</v>
      </c>
      <c r="AW2" s="5" t="s">
        <v>807</v>
      </c>
      <c r="AX2" s="5" t="s">
        <v>808</v>
      </c>
      <c r="AY2" s="5" t="s">
        <v>809</v>
      </c>
      <c r="AZ2" s="5" t="s">
        <v>810</v>
      </c>
      <c r="BA2" s="5" t="s">
        <v>811</v>
      </c>
      <c r="BB2" s="5" t="s">
        <v>812</v>
      </c>
      <c r="BC2" s="5" t="s">
        <v>813</v>
      </c>
      <c r="BD2" s="5" t="s">
        <v>814</v>
      </c>
      <c r="BE2" s="5" t="s">
        <v>815</v>
      </c>
      <c r="BF2" s="5" t="s">
        <v>816</v>
      </c>
      <c r="BG2" s="42" t="s">
        <v>817</v>
      </c>
      <c r="BH2" s="27" t="s">
        <v>818</v>
      </c>
      <c r="BI2" s="46" t="s">
        <v>13</v>
      </c>
      <c r="BJ2" s="5" t="s">
        <v>819</v>
      </c>
      <c r="BK2" s="5" t="s">
        <v>820</v>
      </c>
      <c r="BL2" s="5" t="s">
        <v>821</v>
      </c>
      <c r="BM2" s="5" t="s">
        <v>822</v>
      </c>
      <c r="BN2" s="5" t="s">
        <v>823</v>
      </c>
      <c r="BO2" s="5" t="s">
        <v>824</v>
      </c>
      <c r="BP2" s="31" t="s">
        <v>825</v>
      </c>
      <c r="BQ2" s="8" t="s">
        <v>826</v>
      </c>
    </row>
    <row r="3" spans="1:69" ht="57">
      <c r="A3" s="9">
        <v>2020</v>
      </c>
      <c r="B3" s="4">
        <v>6503</v>
      </c>
      <c r="C3" s="4" t="s">
        <v>17</v>
      </c>
      <c r="G3" s="10"/>
      <c r="H3" s="62">
        <v>44179</v>
      </c>
      <c r="I3" s="10" t="s">
        <v>827</v>
      </c>
      <c r="J3" s="10">
        <v>46022</v>
      </c>
      <c r="K3" s="6" t="s">
        <v>828</v>
      </c>
      <c r="L3" s="4" t="s">
        <v>130</v>
      </c>
      <c r="M3" s="4" t="str">
        <f t="shared" ref="M3:M9" ca="1" si="0">IF(J3="", "SUSCRITO", IF(J3&lt;=TODAY(), "FINALIZADO", "EN EJECUCIÓN"))</f>
        <v>EN EJECUCIÓN</v>
      </c>
      <c r="N3" s="4" t="s">
        <v>93</v>
      </c>
      <c r="O3" s="78" t="s">
        <v>829</v>
      </c>
      <c r="P3" s="37">
        <v>1500051991</v>
      </c>
      <c r="Q3" s="37">
        <v>0</v>
      </c>
      <c r="R3" s="37">
        <v>0</v>
      </c>
      <c r="S3" s="37">
        <v>0</v>
      </c>
      <c r="T3" s="75">
        <f t="shared" ref="T3:T34" si="1">P3+R3</f>
        <v>1500051991</v>
      </c>
      <c r="U3" s="39">
        <v>0</v>
      </c>
      <c r="V3" s="39" t="s">
        <v>830</v>
      </c>
      <c r="W3" s="11" t="s">
        <v>192</v>
      </c>
      <c r="X3" s="4" t="s">
        <v>831</v>
      </c>
      <c r="Y3" s="4" t="s">
        <v>22</v>
      </c>
      <c r="Z3" s="4" t="s">
        <v>23</v>
      </c>
      <c r="AA3" s="65" t="s">
        <v>17</v>
      </c>
      <c r="AB3" s="4" t="s">
        <v>17</v>
      </c>
      <c r="AC3" s="4" t="s">
        <v>17</v>
      </c>
      <c r="AD3" s="4" t="s">
        <v>24</v>
      </c>
      <c r="AE3" s="4" t="s">
        <v>17</v>
      </c>
      <c r="AF3" s="4" t="s">
        <v>17</v>
      </c>
      <c r="AG3" s="4" t="s">
        <v>24</v>
      </c>
      <c r="AH3" s="4" t="s">
        <v>17</v>
      </c>
      <c r="AI3" s="4" t="s">
        <v>24</v>
      </c>
      <c r="AJ3" s="4" t="s">
        <v>24</v>
      </c>
      <c r="AK3" s="4" t="s">
        <v>24</v>
      </c>
      <c r="AL3" s="68" t="s">
        <v>192</v>
      </c>
      <c r="AM3" s="4" cm="1">
        <f t="array" ref="AM3">SUMPRODUCT((AA3:AK3&lt;&gt;"Pendiente")*(AA3:AK3&lt;&gt;""))</f>
        <v>11</v>
      </c>
      <c r="AN3" s="4">
        <f>COUNTA(Tabla256[[#This Row],[INVITACIÓN]:[ACTA DE INICIO]])</f>
        <v>11</v>
      </c>
      <c r="AO3" s="26">
        <f t="shared" ref="AO3:AO34" si="2">AM3/AN3</f>
        <v>1</v>
      </c>
      <c r="AP3" s="47"/>
      <c r="BF3" s="4">
        <f>COUNTA(Tabla256[[#This Row],[(1)SOLICITUD DE  APERTURA FIRNANCIERA Y PRESUPUESTO 1 (FECHA) ]:[(15) FECHA DE CONTRATACIÓN ADMINISTRATIVO]])</f>
        <v>0</v>
      </c>
      <c r="BG3" s="26">
        <f>Tabla256[[#This Row],[NUMERO OK]]/15</f>
        <v>0</v>
      </c>
      <c r="BH3" s="4" t="e">
        <f t="shared" ref="BH3:BH34" ca="1" si="3">IF(ISBLANK(I3),"N/A",
   IF(TODAY()-I3&lt;=15,
      IF(BG3=100%,"EnTiempos","EnProceso"),
      IF(BG3&lt;80%,"RiesgoAlto",
         IF(BG3&lt;100%,"RiesgoMedio","Cumplido")
      )
   )
)</f>
        <v>#VALUE!</v>
      </c>
      <c r="BI3" s="48"/>
      <c r="BQ3" s="8"/>
    </row>
    <row r="4" spans="1:69" ht="85.5">
      <c r="A4" s="9">
        <v>2021</v>
      </c>
      <c r="B4" s="35">
        <v>6532</v>
      </c>
      <c r="C4" s="4" t="s">
        <v>17</v>
      </c>
      <c r="D4" s="4" t="s">
        <v>123</v>
      </c>
      <c r="E4" s="35" t="s">
        <v>17</v>
      </c>
      <c r="G4" s="10"/>
      <c r="H4" s="36">
        <v>44323</v>
      </c>
      <c r="I4" s="10">
        <v>44369</v>
      </c>
      <c r="J4" s="10">
        <v>46012</v>
      </c>
      <c r="K4" s="6" t="s">
        <v>833</v>
      </c>
      <c r="L4" s="4" t="s">
        <v>97</v>
      </c>
      <c r="M4" s="4" t="str">
        <f t="shared" ca="1" si="0"/>
        <v>EN EJECUCIÓN</v>
      </c>
      <c r="N4" s="4" t="s">
        <v>54</v>
      </c>
      <c r="O4" s="79" t="s">
        <v>834</v>
      </c>
      <c r="P4" s="37">
        <v>9259682085</v>
      </c>
      <c r="Q4" s="37">
        <v>0</v>
      </c>
      <c r="R4" s="37">
        <v>0</v>
      </c>
      <c r="S4" s="37">
        <v>0</v>
      </c>
      <c r="T4" s="75">
        <f t="shared" si="1"/>
        <v>9259682085</v>
      </c>
      <c r="U4" s="39">
        <f>((P4+Q4)*12%)/112%</f>
        <v>992108794.82142854</v>
      </c>
      <c r="V4" s="4" t="s">
        <v>835</v>
      </c>
      <c r="W4" s="64" t="s">
        <v>836</v>
      </c>
      <c r="X4" s="4" t="s">
        <v>837</v>
      </c>
      <c r="Y4" s="4" t="s">
        <v>22</v>
      </c>
      <c r="Z4" s="11" t="s">
        <v>35</v>
      </c>
      <c r="AA4" s="65" t="s">
        <v>17</v>
      </c>
      <c r="AB4" s="4" t="s">
        <v>24</v>
      </c>
      <c r="AC4" s="4" t="s">
        <v>17</v>
      </c>
      <c r="AD4" s="4" t="s">
        <v>24</v>
      </c>
      <c r="AE4" s="4" t="s">
        <v>17</v>
      </c>
      <c r="AF4" s="4" t="s">
        <v>24</v>
      </c>
      <c r="AG4" s="4" t="s">
        <v>24</v>
      </c>
      <c r="AH4" s="4" t="s">
        <v>24</v>
      </c>
      <c r="AI4" s="4" t="s">
        <v>24</v>
      </c>
      <c r="AJ4" s="4" t="s">
        <v>24</v>
      </c>
      <c r="AK4" s="4" t="s">
        <v>24</v>
      </c>
      <c r="AL4" s="68"/>
      <c r="AM4" s="4" cm="1">
        <f t="array" ref="AM4">SUMPRODUCT((AA4:AK4&lt;&gt;"Pendiente")*(AA4:AK4&lt;&gt;""))</f>
        <v>11</v>
      </c>
      <c r="AN4" s="4">
        <f>COUNTA(Tabla256[[#This Row],[INVITACIÓN]:[ACTA DE INICIO]])</f>
        <v>11</v>
      </c>
      <c r="AO4" s="26">
        <f t="shared" si="2"/>
        <v>1</v>
      </c>
      <c r="AP4" s="47"/>
      <c r="AR4" s="10"/>
      <c r="AS4" s="10"/>
      <c r="AX4" s="10"/>
      <c r="BF4" s="4">
        <f>COUNTA(Tabla256[[#This Row],[(1)SOLICITUD DE  APERTURA FIRNANCIERA Y PRESUPUESTO 1 (FECHA) ]:[(15) FECHA DE CONTRATACIÓN ADMINISTRATIVO]])</f>
        <v>0</v>
      </c>
      <c r="BG4" s="26">
        <f>Tabla256[[#This Row],[NUMERO OK]]/15</f>
        <v>0</v>
      </c>
      <c r="BH4" s="4" t="str">
        <f t="shared" ca="1" si="3"/>
        <v>RiesgoAlto</v>
      </c>
      <c r="BI4" s="48"/>
      <c r="BQ4" s="8"/>
    </row>
    <row r="5" spans="1:69" ht="128.25">
      <c r="A5" s="9">
        <v>2021</v>
      </c>
      <c r="C5" s="4" t="s">
        <v>17</v>
      </c>
      <c r="G5" s="10"/>
      <c r="H5" s="62">
        <v>44351</v>
      </c>
      <c r="I5" s="10">
        <v>44351</v>
      </c>
      <c r="J5" s="10">
        <v>45700</v>
      </c>
      <c r="K5" s="6" t="s">
        <v>838</v>
      </c>
      <c r="L5" s="4" t="s">
        <v>74</v>
      </c>
      <c r="M5" s="4" t="str">
        <f t="shared" ca="1" si="0"/>
        <v>FINALIZADO</v>
      </c>
      <c r="N5" s="4" t="s">
        <v>44</v>
      </c>
      <c r="O5" s="79" t="s">
        <v>839</v>
      </c>
      <c r="P5" s="37">
        <v>577046931</v>
      </c>
      <c r="Q5" s="37"/>
      <c r="R5" s="37">
        <v>0</v>
      </c>
      <c r="S5" s="37"/>
      <c r="T5" s="75">
        <f t="shared" si="1"/>
        <v>577046931</v>
      </c>
      <c r="U5" s="39">
        <f>((P5+Q5)*12%)/112%</f>
        <v>61826456.892857134</v>
      </c>
      <c r="V5" s="4" t="s">
        <v>840</v>
      </c>
      <c r="X5" s="4" t="s">
        <v>841</v>
      </c>
      <c r="Z5" s="11"/>
      <c r="AA5" s="65"/>
      <c r="AL5" s="8" t="s">
        <v>1155</v>
      </c>
      <c r="AM5" s="4" cm="1">
        <f t="array" ref="AM5">SUMPRODUCT((AA5:AK5&lt;&gt;"Pendiente")*(AA5:AK5&lt;&gt;""))</f>
        <v>0</v>
      </c>
      <c r="AN5" s="4">
        <f>COUNTA(Tabla256[[#This Row],[INVITACIÓN]:[ACTA DE INICIO]])</f>
        <v>0</v>
      </c>
      <c r="AO5" s="26" t="e">
        <f t="shared" si="2"/>
        <v>#DIV/0!</v>
      </c>
      <c r="AP5" s="47"/>
      <c r="BF5" s="4">
        <f>COUNTA(Tabla256[[#This Row],[(1)SOLICITUD DE  APERTURA FIRNANCIERA Y PRESUPUESTO 1 (FECHA) ]:[(15) FECHA DE CONTRATACIÓN ADMINISTRATIVO]])</f>
        <v>0</v>
      </c>
      <c r="BG5" s="26">
        <f>Tabla256[[#This Row],[NUMERO OK]]/15</f>
        <v>0</v>
      </c>
      <c r="BH5" s="4" t="str">
        <f t="shared" ca="1" si="3"/>
        <v>RiesgoAlto</v>
      </c>
      <c r="BI5" s="48"/>
      <c r="BQ5" s="8"/>
    </row>
    <row r="6" spans="1:69" ht="85.5">
      <c r="A6" s="9">
        <v>2022</v>
      </c>
      <c r="B6" s="35"/>
      <c r="C6" s="4" t="s">
        <v>17</v>
      </c>
      <c r="D6" s="4" t="s">
        <v>123</v>
      </c>
      <c r="E6" s="35" t="s">
        <v>17</v>
      </c>
      <c r="G6" s="10"/>
      <c r="H6" s="36">
        <v>44588</v>
      </c>
      <c r="I6" s="10">
        <v>44602</v>
      </c>
      <c r="J6" s="10">
        <v>46062</v>
      </c>
      <c r="K6" s="6" t="s">
        <v>842</v>
      </c>
      <c r="L6" s="4" t="s">
        <v>97</v>
      </c>
      <c r="M6" s="4" t="str">
        <f t="shared" ca="1" si="0"/>
        <v>EN EJECUCIÓN</v>
      </c>
      <c r="N6" s="4" t="s">
        <v>54</v>
      </c>
      <c r="O6" s="79" t="s">
        <v>834</v>
      </c>
      <c r="P6" s="37">
        <v>5408592000</v>
      </c>
      <c r="Q6" s="37"/>
      <c r="R6" s="37">
        <v>0</v>
      </c>
      <c r="S6" s="37"/>
      <c r="T6" s="75">
        <f t="shared" si="1"/>
        <v>5408592000</v>
      </c>
      <c r="U6" s="39">
        <f>((P6+Q6)*12%)/112%</f>
        <v>579492000</v>
      </c>
      <c r="V6" s="4" t="s">
        <v>843</v>
      </c>
      <c r="W6" s="11" t="s">
        <v>844</v>
      </c>
      <c r="X6" s="4" t="s">
        <v>845</v>
      </c>
      <c r="Y6" s="4" t="s">
        <v>22</v>
      </c>
      <c r="Z6" s="11" t="s">
        <v>35</v>
      </c>
      <c r="AA6" s="65" t="s">
        <v>17</v>
      </c>
      <c r="AB6" s="4" t="s">
        <v>24</v>
      </c>
      <c r="AC6" s="4" t="s">
        <v>24</v>
      </c>
      <c r="AD6" s="4" t="s">
        <v>24</v>
      </c>
      <c r="AE6" s="4" t="s">
        <v>17</v>
      </c>
      <c r="AF6" s="4" t="s">
        <v>24</v>
      </c>
      <c r="AG6" s="4" t="s">
        <v>24</v>
      </c>
      <c r="AH6" s="4" t="s">
        <v>24</v>
      </c>
      <c r="AI6" s="4" t="s">
        <v>24</v>
      </c>
      <c r="AJ6" s="4" t="s">
        <v>24</v>
      </c>
      <c r="AK6" s="4" t="s">
        <v>24</v>
      </c>
      <c r="AL6" s="8" t="s">
        <v>1156</v>
      </c>
      <c r="AM6" s="4" cm="1">
        <f t="array" ref="AM6">SUMPRODUCT((AA6:AK6&lt;&gt;"Pendiente")*(AA6:AK6&lt;&gt;""))</f>
        <v>11</v>
      </c>
      <c r="AN6" s="4">
        <f>COUNTA(Tabla256[[#This Row],[INVITACIÓN]:[ACTA DE INICIO]])</f>
        <v>11</v>
      </c>
      <c r="AO6" s="26">
        <f t="shared" si="2"/>
        <v>1</v>
      </c>
      <c r="AP6" s="47"/>
      <c r="AR6" s="10"/>
      <c r="AS6" s="10"/>
      <c r="AX6" s="10"/>
      <c r="BF6" s="4">
        <f>COUNTA(Tabla256[[#This Row],[(1)SOLICITUD DE  APERTURA FIRNANCIERA Y PRESUPUESTO 1 (FECHA) ]:[(15) FECHA DE CONTRATACIÓN ADMINISTRATIVO]])</f>
        <v>0</v>
      </c>
      <c r="BG6" s="26">
        <f>Tabla256[[#This Row],[NUMERO OK]]/15</f>
        <v>0</v>
      </c>
      <c r="BH6" s="4" t="str">
        <f t="shared" ca="1" si="3"/>
        <v>RiesgoAlto</v>
      </c>
      <c r="BI6" s="48"/>
      <c r="BQ6" s="8"/>
    </row>
    <row r="7" spans="1:69" ht="142.5">
      <c r="A7" s="9">
        <v>2022</v>
      </c>
      <c r="C7" s="4" t="s">
        <v>17</v>
      </c>
      <c r="G7" s="10"/>
      <c r="H7" s="62">
        <v>44589</v>
      </c>
      <c r="I7" s="10">
        <v>45685</v>
      </c>
      <c r="J7" s="10">
        <v>45684</v>
      </c>
      <c r="K7" s="6" t="s">
        <v>846</v>
      </c>
      <c r="L7" s="4" t="s">
        <v>30</v>
      </c>
      <c r="M7" s="4" t="str">
        <f t="shared" ca="1" si="0"/>
        <v>FINALIZADO</v>
      </c>
      <c r="N7" s="4" t="s">
        <v>99</v>
      </c>
      <c r="O7" s="79" t="s">
        <v>847</v>
      </c>
      <c r="P7" s="37">
        <v>766480342</v>
      </c>
      <c r="Q7" s="37"/>
      <c r="R7" s="37">
        <v>279517245</v>
      </c>
      <c r="S7" s="37"/>
      <c r="T7" s="75">
        <f t="shared" si="1"/>
        <v>1045997587</v>
      </c>
      <c r="U7" s="39">
        <v>0</v>
      </c>
      <c r="V7" s="4" t="s">
        <v>848</v>
      </c>
      <c r="X7" s="4" t="s">
        <v>222</v>
      </c>
      <c r="Z7" s="11"/>
      <c r="AA7" s="65"/>
      <c r="AL7" s="8" t="s">
        <v>849</v>
      </c>
      <c r="AM7" s="4" cm="1">
        <f t="array" ref="AM7">SUMPRODUCT((AA7:AK7&lt;&gt;"Pendiente")*(AA7:AK7&lt;&gt;""))</f>
        <v>0</v>
      </c>
      <c r="AN7" s="4">
        <f>COUNTA(Tabla256[[#This Row],[INVITACIÓN]:[ACTA DE INICIO]])</f>
        <v>0</v>
      </c>
      <c r="AO7" s="26" t="e">
        <f t="shared" si="2"/>
        <v>#DIV/0!</v>
      </c>
      <c r="AP7" s="47"/>
      <c r="BF7" s="4">
        <f>COUNTA(Tabla256[[#This Row],[(1)SOLICITUD DE  APERTURA FIRNANCIERA Y PRESUPUESTO 1 (FECHA) ]:[(15) FECHA DE CONTRATACIÓN ADMINISTRATIVO]])</f>
        <v>0</v>
      </c>
      <c r="BG7" s="26">
        <f>Tabla256[[#This Row],[NUMERO OK]]/15</f>
        <v>0</v>
      </c>
      <c r="BH7" s="4" t="str">
        <f t="shared" ca="1" si="3"/>
        <v>RiesgoAlto</v>
      </c>
      <c r="BI7" s="48"/>
      <c r="BQ7" s="8"/>
    </row>
    <row r="8" spans="1:69" ht="85.5">
      <c r="A8" s="9">
        <v>2022</v>
      </c>
      <c r="C8" s="4" t="s">
        <v>17</v>
      </c>
      <c r="G8" s="10"/>
      <c r="H8" s="62">
        <v>44855</v>
      </c>
      <c r="I8" s="10">
        <v>44855</v>
      </c>
      <c r="J8" s="10">
        <v>45767</v>
      </c>
      <c r="K8" s="6" t="s">
        <v>850</v>
      </c>
      <c r="L8" s="4" t="s">
        <v>30</v>
      </c>
      <c r="M8" s="4" t="str">
        <f t="shared" ca="1" si="0"/>
        <v>FINALIZADO</v>
      </c>
      <c r="N8" s="4" t="s">
        <v>99</v>
      </c>
      <c r="O8" s="79" t="s">
        <v>847</v>
      </c>
      <c r="P8" s="37">
        <v>408305587</v>
      </c>
      <c r="Q8" s="37"/>
      <c r="R8" s="37">
        <v>606499128</v>
      </c>
      <c r="S8" s="37"/>
      <c r="T8" s="75">
        <f t="shared" si="1"/>
        <v>1014804715</v>
      </c>
      <c r="U8" s="39">
        <v>0</v>
      </c>
      <c r="V8" s="4" t="s">
        <v>851</v>
      </c>
      <c r="X8" s="4" t="s">
        <v>852</v>
      </c>
      <c r="Z8" s="11"/>
      <c r="AA8" s="65"/>
      <c r="AL8" s="68"/>
      <c r="AM8" s="4" cm="1">
        <f t="array" ref="AM8">SUMPRODUCT((AA8:AK8&lt;&gt;"Pendiente")*(AA8:AK8&lt;&gt;""))</f>
        <v>0</v>
      </c>
      <c r="AN8" s="4">
        <f>COUNTA(Tabla256[[#This Row],[INVITACIÓN]:[ACTA DE INICIO]])</f>
        <v>0</v>
      </c>
      <c r="AO8" s="26" t="e">
        <f t="shared" si="2"/>
        <v>#DIV/0!</v>
      </c>
      <c r="AP8" s="47"/>
      <c r="BF8" s="4">
        <f>COUNTA(Tabla256[[#This Row],[(1)SOLICITUD DE  APERTURA FIRNANCIERA Y PRESUPUESTO 1 (FECHA) ]:[(15) FECHA DE CONTRATACIÓN ADMINISTRATIVO]])</f>
        <v>0</v>
      </c>
      <c r="BG8" s="26">
        <f>Tabla256[[#This Row],[NUMERO OK]]/15</f>
        <v>0</v>
      </c>
      <c r="BH8" s="4" t="str">
        <f t="shared" ca="1" si="3"/>
        <v>RiesgoAlto</v>
      </c>
      <c r="BI8" s="48"/>
      <c r="BQ8" s="8"/>
    </row>
    <row r="9" spans="1:69" ht="71.25">
      <c r="A9" s="9">
        <v>2022</v>
      </c>
      <c r="C9" s="4" t="s">
        <v>17</v>
      </c>
      <c r="G9" s="10"/>
      <c r="H9" s="62">
        <v>44917</v>
      </c>
      <c r="I9" s="10">
        <v>44918</v>
      </c>
      <c r="J9" s="10">
        <v>45830</v>
      </c>
      <c r="K9" s="6" t="s">
        <v>853</v>
      </c>
      <c r="L9" s="4" t="s">
        <v>107</v>
      </c>
      <c r="M9" s="4" t="str">
        <f t="shared" ca="1" si="0"/>
        <v>FINALIZADO</v>
      </c>
      <c r="N9" s="4" t="s">
        <v>21</v>
      </c>
      <c r="O9" s="79" t="s">
        <v>854</v>
      </c>
      <c r="P9" s="37">
        <v>680689715</v>
      </c>
      <c r="Q9" s="37"/>
      <c r="R9" s="37">
        <v>76000000</v>
      </c>
      <c r="S9" s="37"/>
      <c r="T9" s="75">
        <f t="shared" si="1"/>
        <v>756689715</v>
      </c>
      <c r="U9" s="39">
        <v>0</v>
      </c>
      <c r="V9" s="4" t="s">
        <v>855</v>
      </c>
      <c r="X9" s="4" t="s">
        <v>852</v>
      </c>
      <c r="Z9" s="11"/>
      <c r="AA9" s="65"/>
      <c r="AL9" s="68"/>
      <c r="AM9" s="4" cm="1">
        <f t="array" ref="AM9">SUMPRODUCT((AA9:AK9&lt;&gt;"Pendiente")*(AA9:AK9&lt;&gt;""))</f>
        <v>0</v>
      </c>
      <c r="AN9" s="4">
        <f>COUNTA(Tabla256[[#This Row],[INVITACIÓN]:[ACTA DE INICIO]])</f>
        <v>0</v>
      </c>
      <c r="AO9" s="26" t="e">
        <f t="shared" si="2"/>
        <v>#DIV/0!</v>
      </c>
      <c r="AP9" s="47"/>
      <c r="BF9" s="4">
        <f>COUNTA(Tabla256[[#This Row],[(1)SOLICITUD DE  APERTURA FIRNANCIERA Y PRESUPUESTO 1 (FECHA) ]:[(15) FECHA DE CONTRATACIÓN ADMINISTRATIVO]])</f>
        <v>0</v>
      </c>
      <c r="BG9" s="26">
        <f>Tabla256[[#This Row],[NUMERO OK]]/15</f>
        <v>0</v>
      </c>
      <c r="BH9" s="4" t="str">
        <f t="shared" ca="1" si="3"/>
        <v>RiesgoAlto</v>
      </c>
      <c r="BI9" s="48"/>
      <c r="BQ9" s="8"/>
    </row>
    <row r="10" spans="1:69" ht="57">
      <c r="A10" s="9">
        <v>2022</v>
      </c>
      <c r="C10" s="4" t="s">
        <v>17</v>
      </c>
      <c r="G10" s="10"/>
      <c r="H10" s="62">
        <v>44923</v>
      </c>
      <c r="I10" s="10">
        <v>45033</v>
      </c>
      <c r="J10" s="10">
        <v>45667</v>
      </c>
      <c r="K10" s="6" t="s">
        <v>857</v>
      </c>
      <c r="L10" s="4" t="s">
        <v>97</v>
      </c>
      <c r="M10" s="4" t="s">
        <v>856</v>
      </c>
      <c r="N10" s="4" t="s">
        <v>33</v>
      </c>
      <c r="O10" s="79" t="s">
        <v>858</v>
      </c>
      <c r="P10" s="37">
        <v>390823000</v>
      </c>
      <c r="Q10" s="37"/>
      <c r="R10" s="37">
        <v>0</v>
      </c>
      <c r="S10" s="37"/>
      <c r="T10" s="75">
        <f t="shared" si="1"/>
        <v>390823000</v>
      </c>
      <c r="U10" s="39">
        <f>((P10+Q10)*12%)/112%</f>
        <v>41873892.857142851</v>
      </c>
      <c r="V10" s="4" t="s">
        <v>859</v>
      </c>
      <c r="X10" s="4" t="s">
        <v>860</v>
      </c>
      <c r="Y10" s="4" t="s">
        <v>22</v>
      </c>
      <c r="Z10" s="11" t="s">
        <v>23</v>
      </c>
      <c r="AA10" s="65"/>
      <c r="AL10" s="8" t="s">
        <v>861</v>
      </c>
      <c r="AM10" s="4" cm="1">
        <f t="array" ref="AM10">SUMPRODUCT((AA10:AK10&lt;&gt;"Pendiente")*(AA10:AK10&lt;&gt;""))</f>
        <v>0</v>
      </c>
      <c r="AN10" s="4">
        <f>COUNTA(Tabla256[[#This Row],[INVITACIÓN]:[ACTA DE INICIO]])</f>
        <v>0</v>
      </c>
      <c r="AO10" s="26" t="e">
        <f t="shared" si="2"/>
        <v>#DIV/0!</v>
      </c>
      <c r="AP10" s="47"/>
      <c r="BF10" s="4">
        <f>COUNTA(Tabla256[[#This Row],[(1)SOLICITUD DE  APERTURA FIRNANCIERA Y PRESUPUESTO 1 (FECHA) ]:[(15) FECHA DE CONTRATACIÓN ADMINISTRATIVO]])</f>
        <v>0</v>
      </c>
      <c r="BG10" s="26">
        <f>Tabla256[[#This Row],[NUMERO OK]]/15</f>
        <v>0</v>
      </c>
      <c r="BH10" s="4" t="str">
        <f t="shared" ca="1" si="3"/>
        <v>RiesgoAlto</v>
      </c>
      <c r="BI10" s="48"/>
      <c r="BQ10" s="8"/>
    </row>
    <row r="11" spans="1:69" ht="57">
      <c r="A11" s="9">
        <v>2023</v>
      </c>
      <c r="C11" s="4" t="s">
        <v>17</v>
      </c>
      <c r="G11" s="10"/>
      <c r="H11" s="62">
        <v>44999</v>
      </c>
      <c r="I11" s="10">
        <v>44999</v>
      </c>
      <c r="J11" s="10">
        <v>45816</v>
      </c>
      <c r="K11" s="6" t="s">
        <v>862</v>
      </c>
      <c r="L11" s="4" t="s">
        <v>30</v>
      </c>
      <c r="M11" s="4" t="str">
        <f t="shared" ref="M11:M42" ca="1" si="4">IF(J11="", "SUSCRITO", IF(J11&lt;=TODAY(), "FINALIZADO", "EN EJECUCIÓN"))</f>
        <v>FINALIZADO</v>
      </c>
      <c r="N11" s="4" t="s">
        <v>99</v>
      </c>
      <c r="O11" s="79" t="s">
        <v>863</v>
      </c>
      <c r="P11" s="37">
        <v>271357297</v>
      </c>
      <c r="Q11" s="37"/>
      <c r="R11" s="37">
        <v>279443262</v>
      </c>
      <c r="S11" s="37"/>
      <c r="T11" s="75">
        <f t="shared" si="1"/>
        <v>550800559</v>
      </c>
      <c r="U11" s="39">
        <v>0</v>
      </c>
      <c r="V11" s="4" t="s">
        <v>864</v>
      </c>
      <c r="X11" s="4" t="s">
        <v>865</v>
      </c>
      <c r="Y11" s="4" t="s">
        <v>34</v>
      </c>
      <c r="Z11" s="11" t="s">
        <v>23</v>
      </c>
      <c r="AA11" s="65" t="s">
        <v>17</v>
      </c>
      <c r="AB11" s="4" t="s">
        <v>24</v>
      </c>
      <c r="AC11" s="4" t="s">
        <v>17</v>
      </c>
      <c r="AD11" s="4" t="s">
        <v>17</v>
      </c>
      <c r="AE11" s="4" t="s">
        <v>17</v>
      </c>
      <c r="AF11" s="4" t="s">
        <v>36</v>
      </c>
      <c r="AG11" s="4" t="s">
        <v>24</v>
      </c>
      <c r="AH11" s="4" t="s">
        <v>17</v>
      </c>
      <c r="AI11" s="4" t="s">
        <v>24</v>
      </c>
      <c r="AJ11" s="4" t="s">
        <v>24</v>
      </c>
      <c r="AK11" s="4" t="s">
        <v>17</v>
      </c>
      <c r="AL11" s="68"/>
      <c r="AM11" s="4" cm="1">
        <f t="array" ref="AM11">SUMPRODUCT((AA11:AK11&lt;&gt;"Pendiente")*(AA11:AK11&lt;&gt;""))</f>
        <v>10</v>
      </c>
      <c r="AN11" s="4">
        <f>COUNTA(Tabla256[[#This Row],[INVITACIÓN]:[ACTA DE INICIO]])</f>
        <v>11</v>
      </c>
      <c r="AO11" s="26">
        <f t="shared" si="2"/>
        <v>0.90909090909090906</v>
      </c>
      <c r="AP11" s="47"/>
      <c r="BF11" s="4">
        <f>COUNTA(Tabla256[[#This Row],[(1)SOLICITUD DE  APERTURA FIRNANCIERA Y PRESUPUESTO 1 (FECHA) ]:[(15) FECHA DE CONTRATACIÓN ADMINISTRATIVO]])</f>
        <v>0</v>
      </c>
      <c r="BG11" s="26">
        <f>Tabla256[[#This Row],[NUMERO OK]]/15</f>
        <v>0</v>
      </c>
      <c r="BH11" s="4" t="str">
        <f t="shared" ca="1" si="3"/>
        <v>RiesgoAlto</v>
      </c>
      <c r="BI11" s="48"/>
      <c r="BQ11" s="8"/>
    </row>
    <row r="12" spans="1:69" ht="57">
      <c r="A12" s="9">
        <v>2023</v>
      </c>
      <c r="C12" s="4" t="s">
        <v>17</v>
      </c>
      <c r="G12" s="10"/>
      <c r="H12" s="62">
        <v>45105</v>
      </c>
      <c r="I12" s="10">
        <v>45120</v>
      </c>
      <c r="J12" s="10">
        <v>45789</v>
      </c>
      <c r="K12" s="6" t="s">
        <v>866</v>
      </c>
      <c r="L12" s="4" t="s">
        <v>97</v>
      </c>
      <c r="M12" s="4" t="str">
        <f t="shared" ca="1" si="4"/>
        <v>FINALIZADO</v>
      </c>
      <c r="N12" s="4" t="s">
        <v>93</v>
      </c>
      <c r="O12" s="79" t="s">
        <v>867</v>
      </c>
      <c r="P12" s="37">
        <v>330437363</v>
      </c>
      <c r="Q12" s="37"/>
      <c r="R12" s="37">
        <v>80000000</v>
      </c>
      <c r="S12" s="37"/>
      <c r="T12" s="75">
        <f t="shared" si="1"/>
        <v>410437363</v>
      </c>
      <c r="U12" s="39">
        <f>((P12+Q12)*12%)/112%</f>
        <v>35404003.178571418</v>
      </c>
      <c r="V12" s="4" t="s">
        <v>868</v>
      </c>
      <c r="X12" s="4" t="s">
        <v>140</v>
      </c>
      <c r="Z12" s="11"/>
      <c r="AA12" s="65"/>
      <c r="AL12" s="68"/>
      <c r="AM12" s="4" cm="1">
        <f t="array" ref="AM12">SUMPRODUCT((AA12:AK12&lt;&gt;"Pendiente")*(AA12:AK12&lt;&gt;""))</f>
        <v>0</v>
      </c>
      <c r="AN12" s="4">
        <f>COUNTA(Tabla256[[#This Row],[INVITACIÓN]:[ACTA DE INICIO]])</f>
        <v>0</v>
      </c>
      <c r="AO12" s="26" t="e">
        <f t="shared" si="2"/>
        <v>#DIV/0!</v>
      </c>
      <c r="AP12" s="47"/>
      <c r="BF12" s="4">
        <f>COUNTA(Tabla256[[#This Row],[(1)SOLICITUD DE  APERTURA FIRNANCIERA Y PRESUPUESTO 1 (FECHA) ]:[(15) FECHA DE CONTRATACIÓN ADMINISTRATIVO]])</f>
        <v>0</v>
      </c>
      <c r="BG12" s="26">
        <f>Tabla256[[#This Row],[NUMERO OK]]/15</f>
        <v>0</v>
      </c>
      <c r="BH12" s="4" t="str">
        <f t="shared" ca="1" si="3"/>
        <v>RiesgoAlto</v>
      </c>
      <c r="BI12" s="48"/>
      <c r="BQ12" s="8"/>
    </row>
    <row r="13" spans="1:69" ht="71.25">
      <c r="A13" s="9">
        <v>2023</v>
      </c>
      <c r="C13" s="4" t="s">
        <v>17</v>
      </c>
      <c r="G13" s="10"/>
      <c r="H13" s="62">
        <v>45131</v>
      </c>
      <c r="I13" s="10">
        <v>45131</v>
      </c>
      <c r="J13" s="10">
        <v>45680</v>
      </c>
      <c r="K13" s="6" t="s">
        <v>1157</v>
      </c>
      <c r="L13" s="4" t="s">
        <v>30</v>
      </c>
      <c r="M13" s="4" t="str">
        <f t="shared" ca="1" si="4"/>
        <v>FINALIZADO</v>
      </c>
      <c r="N13" s="4" t="s">
        <v>99</v>
      </c>
      <c r="O13" s="79" t="s">
        <v>1158</v>
      </c>
      <c r="P13" s="37">
        <v>164644000</v>
      </c>
      <c r="Q13" s="37"/>
      <c r="R13" s="37">
        <v>75571775</v>
      </c>
      <c r="S13" s="37"/>
      <c r="T13" s="75">
        <f t="shared" si="1"/>
        <v>240215775</v>
      </c>
      <c r="U13" s="39">
        <v>0</v>
      </c>
      <c r="V13" s="4" t="s">
        <v>1159</v>
      </c>
      <c r="X13" s="4" t="s">
        <v>124</v>
      </c>
      <c r="Y13" s="4" t="s">
        <v>34</v>
      </c>
      <c r="Z13" s="11"/>
      <c r="AA13" s="65"/>
      <c r="AL13" s="68"/>
      <c r="AM13" s="4" cm="1">
        <f t="array" ref="AM13">SUMPRODUCT((AA13:AK13&lt;&gt;"Pendiente")*(AA13:AK13&lt;&gt;""))</f>
        <v>0</v>
      </c>
      <c r="AN13" s="4">
        <f>COUNTA(Tabla256[[#This Row],[INVITACIÓN]:[ACTA DE INICIO]])</f>
        <v>0</v>
      </c>
      <c r="AO13" s="26" t="e">
        <f t="shared" si="2"/>
        <v>#DIV/0!</v>
      </c>
      <c r="AP13" s="47"/>
      <c r="BF13" s="4">
        <f>COUNTA(Tabla256[[#This Row],[(1)SOLICITUD DE  APERTURA FIRNANCIERA Y PRESUPUESTO 1 (FECHA) ]:[(15) FECHA DE CONTRATACIÓN ADMINISTRATIVO]])</f>
        <v>0</v>
      </c>
      <c r="BG13" s="26">
        <f>Tabla256[[#This Row],[NUMERO OK]]/15</f>
        <v>0</v>
      </c>
      <c r="BH13" s="4" t="str">
        <f t="shared" ca="1" si="3"/>
        <v>RiesgoAlto</v>
      </c>
      <c r="BI13" s="48"/>
      <c r="BQ13" s="8"/>
    </row>
    <row r="14" spans="1:69" ht="85.5">
      <c r="A14" s="9">
        <v>2024</v>
      </c>
      <c r="B14" s="35"/>
      <c r="C14" s="4" t="s">
        <v>17</v>
      </c>
      <c r="D14" s="4" t="s">
        <v>135</v>
      </c>
      <c r="E14" s="35" t="s">
        <v>17</v>
      </c>
      <c r="F14" s="4" t="s">
        <v>17</v>
      </c>
      <c r="G14" s="10"/>
      <c r="H14" s="36">
        <v>45372</v>
      </c>
      <c r="I14" s="10">
        <v>45490</v>
      </c>
      <c r="J14" s="10">
        <v>45673</v>
      </c>
      <c r="K14" s="6" t="s">
        <v>869</v>
      </c>
      <c r="L14" s="4" t="s">
        <v>86</v>
      </c>
      <c r="M14" s="4" t="str">
        <f t="shared" ca="1" si="4"/>
        <v>FINALIZADO</v>
      </c>
      <c r="N14" s="4" t="s">
        <v>93</v>
      </c>
      <c r="O14" s="79" t="s">
        <v>870</v>
      </c>
      <c r="P14" s="37">
        <v>142450000</v>
      </c>
      <c r="Q14" s="37"/>
      <c r="R14" s="37">
        <v>0</v>
      </c>
      <c r="S14" s="37"/>
      <c r="T14" s="75">
        <f t="shared" si="1"/>
        <v>142450000</v>
      </c>
      <c r="U14" s="39">
        <f t="shared" ref="U14:U53" si="5">((P14+Q14)*12%)/112%</f>
        <v>15262499.999999998</v>
      </c>
      <c r="V14" s="4" t="s">
        <v>871</v>
      </c>
      <c r="W14" s="11" t="s">
        <v>872</v>
      </c>
      <c r="X14" s="4" t="s">
        <v>65</v>
      </c>
      <c r="Y14" s="4" t="s">
        <v>55</v>
      </c>
      <c r="Z14" s="11" t="s">
        <v>93</v>
      </c>
      <c r="AA14" s="65" t="s">
        <v>17</v>
      </c>
      <c r="AB14" s="4" t="s">
        <v>17</v>
      </c>
      <c r="AC14" s="4" t="s">
        <v>17</v>
      </c>
      <c r="AD14" s="4" t="s">
        <v>192</v>
      </c>
      <c r="AE14" s="4" t="s">
        <v>24</v>
      </c>
      <c r="AF14" s="4" t="s">
        <v>24</v>
      </c>
      <c r="AG14" s="4" t="s">
        <v>17</v>
      </c>
      <c r="AH14" s="4" t="s">
        <v>17</v>
      </c>
      <c r="AI14" s="4" t="s">
        <v>24</v>
      </c>
      <c r="AJ14" s="4" t="s">
        <v>24</v>
      </c>
      <c r="AK14" s="4" t="s">
        <v>24</v>
      </c>
      <c r="AL14" s="68"/>
      <c r="AM14" s="4" cm="1">
        <f t="array" ref="AM14">SUMPRODUCT((AA14:AK14&lt;&gt;"Pendiente")*(AA14:AK14&lt;&gt;""))</f>
        <v>11</v>
      </c>
      <c r="AN14" s="4">
        <f>COUNTA(Tabla256[[#This Row],[INVITACIÓN]:[ACTA DE INICIO]])</f>
        <v>11</v>
      </c>
      <c r="AO14" s="26">
        <f t="shared" si="2"/>
        <v>1</v>
      </c>
      <c r="AP14" s="47"/>
      <c r="AR14" s="10"/>
      <c r="AS14" s="10"/>
      <c r="AX14" s="10"/>
      <c r="BF14" s="4">
        <f>COUNTA(Tabla256[[#This Row],[(1)SOLICITUD DE  APERTURA FIRNANCIERA Y PRESUPUESTO 1 (FECHA) ]:[(15) FECHA DE CONTRATACIÓN ADMINISTRATIVO]])</f>
        <v>0</v>
      </c>
      <c r="BG14" s="26">
        <f>Tabla256[[#This Row],[NUMERO OK]]/15</f>
        <v>0</v>
      </c>
      <c r="BH14" s="4" t="str">
        <f t="shared" ca="1" si="3"/>
        <v>RiesgoAlto</v>
      </c>
      <c r="BI14" s="48"/>
      <c r="BQ14" s="8"/>
    </row>
    <row r="15" spans="1:69" ht="99.75">
      <c r="A15" s="54">
        <v>2024</v>
      </c>
      <c r="B15" s="35"/>
      <c r="C15" s="4" t="s">
        <v>17</v>
      </c>
      <c r="D15" s="4" t="s">
        <v>135</v>
      </c>
      <c r="E15" s="35" t="s">
        <v>17</v>
      </c>
      <c r="F15" s="55" t="s">
        <v>17</v>
      </c>
      <c r="G15" s="55"/>
      <c r="H15" s="36">
        <v>45409</v>
      </c>
      <c r="I15" s="10">
        <v>45418</v>
      </c>
      <c r="J15" s="10">
        <v>45721</v>
      </c>
      <c r="K15" s="81" t="s">
        <v>873</v>
      </c>
      <c r="L15" s="4" t="s">
        <v>86</v>
      </c>
      <c r="M15" s="55" t="str">
        <f t="shared" ca="1" si="4"/>
        <v>FINALIZADO</v>
      </c>
      <c r="N15" s="55" t="s">
        <v>874</v>
      </c>
      <c r="O15" s="79" t="s">
        <v>875</v>
      </c>
      <c r="P15" s="55">
        <v>1889071553</v>
      </c>
      <c r="Q15" s="55"/>
      <c r="R15" s="55">
        <v>188907155</v>
      </c>
      <c r="S15" s="55"/>
      <c r="T15" s="75">
        <f t="shared" si="1"/>
        <v>2077978708</v>
      </c>
      <c r="U15" s="39">
        <f t="shared" si="5"/>
        <v>202400523.53571424</v>
      </c>
      <c r="V15" s="55" t="s">
        <v>876</v>
      </c>
      <c r="W15" s="11" t="s">
        <v>877</v>
      </c>
      <c r="X15" s="4" t="s">
        <v>89</v>
      </c>
      <c r="Y15" s="4" t="s">
        <v>34</v>
      </c>
      <c r="Z15" s="11" t="s">
        <v>21</v>
      </c>
      <c r="AA15" s="57" t="s">
        <v>17</v>
      </c>
      <c r="AB15" s="55" t="s">
        <v>24</v>
      </c>
      <c r="AC15" s="55" t="s">
        <v>24</v>
      </c>
      <c r="AD15" s="55" t="s">
        <v>192</v>
      </c>
      <c r="AE15" s="55" t="s">
        <v>24</v>
      </c>
      <c r="AF15" s="55" t="s">
        <v>24</v>
      </c>
      <c r="AG15" s="55" t="s">
        <v>24</v>
      </c>
      <c r="AH15" s="55" t="s">
        <v>24</v>
      </c>
      <c r="AI15" s="55" t="s">
        <v>24</v>
      </c>
      <c r="AJ15" s="55" t="s">
        <v>24</v>
      </c>
      <c r="AK15" s="55" t="s">
        <v>24</v>
      </c>
      <c r="AL15" s="69"/>
      <c r="AM15" s="55" cm="1">
        <f t="array" ref="AM15">SUMPRODUCT((AA15:AK15&lt;&gt;"Pendiente")*(AA15:AK15&lt;&gt;""))</f>
        <v>11</v>
      </c>
      <c r="AN15" s="55">
        <f>COUNTA(Tabla256[[#This Row],[INVITACIÓN]:[ACTA DE INICIO]])</f>
        <v>11</v>
      </c>
      <c r="AO15" s="26">
        <f t="shared" si="2"/>
        <v>1</v>
      </c>
      <c r="AP15" s="57"/>
      <c r="AQ15" s="55"/>
      <c r="AR15" s="55"/>
      <c r="AS15" s="55"/>
      <c r="AT15" s="55"/>
      <c r="AU15" s="55"/>
      <c r="AV15" s="55"/>
      <c r="AW15" s="55"/>
      <c r="AX15" s="55"/>
      <c r="AY15" s="55"/>
      <c r="AZ15" s="55"/>
      <c r="BA15" s="55"/>
      <c r="BB15" s="55"/>
      <c r="BC15" s="55"/>
      <c r="BD15" s="55"/>
      <c r="BE15" s="55"/>
      <c r="BF15" s="55">
        <f>COUNTA(Tabla256[[#This Row],[(1)SOLICITUD DE  APERTURA FIRNANCIERA Y PRESUPUESTO 1 (FECHA) ]:[(15) FECHA DE CONTRATACIÓN ADMINISTRATIVO]])</f>
        <v>0</v>
      </c>
      <c r="BG15" s="55">
        <f>Tabla256[[#This Row],[NUMERO OK]]/15</f>
        <v>0</v>
      </c>
      <c r="BH15" s="55" t="str">
        <f t="shared" ca="1" si="3"/>
        <v>RiesgoAlto</v>
      </c>
      <c r="BI15" s="58"/>
      <c r="BJ15" s="55"/>
      <c r="BK15" s="55"/>
      <c r="BL15" s="55"/>
      <c r="BM15" s="55"/>
      <c r="BN15" s="55"/>
      <c r="BO15" s="55"/>
      <c r="BP15" s="55"/>
      <c r="BQ15" s="56"/>
    </row>
    <row r="16" spans="1:69" ht="85.5">
      <c r="A16" s="9">
        <v>2024</v>
      </c>
      <c r="B16" s="35"/>
      <c r="C16" s="4" t="s">
        <v>17</v>
      </c>
      <c r="D16" s="4" t="s">
        <v>135</v>
      </c>
      <c r="E16" s="35" t="s">
        <v>17</v>
      </c>
      <c r="F16" s="4" t="s">
        <v>17</v>
      </c>
      <c r="G16" s="10"/>
      <c r="H16" s="36">
        <v>45442</v>
      </c>
      <c r="I16" s="10">
        <v>45455</v>
      </c>
      <c r="J16" s="10">
        <v>45747</v>
      </c>
      <c r="K16" s="6" t="s">
        <v>878</v>
      </c>
      <c r="L16" s="4" t="s">
        <v>97</v>
      </c>
      <c r="M16" s="4" t="str">
        <f t="shared" ca="1" si="4"/>
        <v>FINALIZADO</v>
      </c>
      <c r="N16" s="4" t="s">
        <v>93</v>
      </c>
      <c r="O16" s="79" t="s">
        <v>879</v>
      </c>
      <c r="P16" s="37">
        <v>1957000000</v>
      </c>
      <c r="Q16" s="37"/>
      <c r="R16" s="37">
        <v>0</v>
      </c>
      <c r="S16" s="37"/>
      <c r="T16" s="75">
        <f t="shared" si="1"/>
        <v>1957000000</v>
      </c>
      <c r="U16" s="39">
        <f t="shared" si="5"/>
        <v>209678571.4285714</v>
      </c>
      <c r="V16" s="4" t="s">
        <v>880</v>
      </c>
      <c r="W16" s="11" t="s">
        <v>881</v>
      </c>
      <c r="X16" s="4" t="s">
        <v>882</v>
      </c>
      <c r="Y16" s="4" t="s">
        <v>22</v>
      </c>
      <c r="Z16" s="11" t="s">
        <v>93</v>
      </c>
      <c r="AA16" s="65" t="s">
        <v>17</v>
      </c>
      <c r="AB16" s="4" t="s">
        <v>17</v>
      </c>
      <c r="AC16" s="4" t="s">
        <v>24</v>
      </c>
      <c r="AD16" s="4" t="s">
        <v>883</v>
      </c>
      <c r="AE16" s="4" t="s">
        <v>17</v>
      </c>
      <c r="AF16" s="4" t="s">
        <v>24</v>
      </c>
      <c r="AG16" s="4" t="s">
        <v>24</v>
      </c>
      <c r="AH16" s="4" t="s">
        <v>24</v>
      </c>
      <c r="AI16" s="4" t="s">
        <v>24</v>
      </c>
      <c r="AJ16" s="4" t="s">
        <v>24</v>
      </c>
      <c r="AK16" s="4" t="s">
        <v>24</v>
      </c>
      <c r="AL16" s="68"/>
      <c r="AM16" s="4" cm="1">
        <f t="array" ref="AM16">SUMPRODUCT((AA16:AK16&lt;&gt;"Pendiente")*(AA16:AK16&lt;&gt;""))</f>
        <v>11</v>
      </c>
      <c r="AN16" s="4">
        <f>COUNTA(Tabla256[[#This Row],[INVITACIÓN]:[ACTA DE INICIO]])</f>
        <v>11</v>
      </c>
      <c r="AO16" s="26">
        <f t="shared" si="2"/>
        <v>1</v>
      </c>
      <c r="AP16" s="47"/>
      <c r="AR16" s="10"/>
      <c r="AS16" s="10"/>
      <c r="AX16" s="10"/>
      <c r="BF16" s="4">
        <f>COUNTA(Tabla256[[#This Row],[(1)SOLICITUD DE  APERTURA FIRNANCIERA Y PRESUPUESTO 1 (FECHA) ]:[(15) FECHA DE CONTRATACIÓN ADMINISTRATIVO]])</f>
        <v>0</v>
      </c>
      <c r="BG16" s="26">
        <f>Tabla256[[#This Row],[NUMERO OK]]/15</f>
        <v>0</v>
      </c>
      <c r="BH16" s="4" t="str">
        <f t="shared" ca="1" si="3"/>
        <v>RiesgoAlto</v>
      </c>
      <c r="BI16" s="48"/>
      <c r="BQ16" s="8"/>
    </row>
    <row r="17" spans="1:69" ht="57">
      <c r="A17" s="9">
        <v>2024</v>
      </c>
      <c r="B17" s="35"/>
      <c r="C17" s="4" t="s">
        <v>17</v>
      </c>
      <c r="D17" s="4" t="s">
        <v>135</v>
      </c>
      <c r="E17" s="35" t="s">
        <v>17</v>
      </c>
      <c r="F17" s="4" t="s">
        <v>17</v>
      </c>
      <c r="G17" s="10"/>
      <c r="H17" s="36">
        <v>45506</v>
      </c>
      <c r="I17" s="10">
        <v>45525</v>
      </c>
      <c r="J17" s="10">
        <v>45708</v>
      </c>
      <c r="K17" s="6" t="s">
        <v>884</v>
      </c>
      <c r="L17" s="4" t="s">
        <v>52</v>
      </c>
      <c r="M17" s="4" t="str">
        <f t="shared" ca="1" si="4"/>
        <v>FINALIZADO</v>
      </c>
      <c r="N17" s="4" t="s">
        <v>93</v>
      </c>
      <c r="O17" s="79" t="s">
        <v>870</v>
      </c>
      <c r="P17" s="37">
        <v>25168000</v>
      </c>
      <c r="Q17" s="37"/>
      <c r="R17" s="37">
        <v>0</v>
      </c>
      <c r="S17" s="37"/>
      <c r="T17" s="75">
        <f t="shared" si="1"/>
        <v>25168000</v>
      </c>
      <c r="U17" s="39">
        <f t="shared" si="5"/>
        <v>2696571.4285714282</v>
      </c>
      <c r="V17" s="4" t="s">
        <v>885</v>
      </c>
      <c r="W17" s="11" t="s">
        <v>872</v>
      </c>
      <c r="X17" s="4" t="s">
        <v>65</v>
      </c>
      <c r="Y17" s="4" t="s">
        <v>55</v>
      </c>
      <c r="Z17" s="11" t="s">
        <v>93</v>
      </c>
      <c r="AA17" s="65" t="s">
        <v>17</v>
      </c>
      <c r="AB17" s="4" t="s">
        <v>17</v>
      </c>
      <c r="AC17" s="4" t="s">
        <v>17</v>
      </c>
      <c r="AD17" s="4" t="s">
        <v>192</v>
      </c>
      <c r="AE17" s="4" t="s">
        <v>24</v>
      </c>
      <c r="AF17" s="4" t="s">
        <v>24</v>
      </c>
      <c r="AG17" s="4" t="s">
        <v>17</v>
      </c>
      <c r="AH17" s="4" t="s">
        <v>17</v>
      </c>
      <c r="AI17" s="4" t="s">
        <v>24</v>
      </c>
      <c r="AJ17" s="4" t="s">
        <v>24</v>
      </c>
      <c r="AK17" s="4" t="s">
        <v>24</v>
      </c>
      <c r="AL17" s="68"/>
      <c r="AM17" s="4" cm="1">
        <f t="array" ref="AM17">SUMPRODUCT((AA17:AK17&lt;&gt;"Pendiente")*(AA17:AK17&lt;&gt;""))</f>
        <v>11</v>
      </c>
      <c r="AN17" s="4">
        <f>COUNTA(Tabla256[[#This Row],[INVITACIÓN]:[ACTA DE INICIO]])</f>
        <v>11</v>
      </c>
      <c r="AO17" s="26">
        <f t="shared" si="2"/>
        <v>1</v>
      </c>
      <c r="AP17" s="47"/>
      <c r="AR17" s="10"/>
      <c r="AS17" s="10"/>
      <c r="AX17" s="10"/>
      <c r="BF17" s="4">
        <f>COUNTA(Tabla256[[#This Row],[(1)SOLICITUD DE  APERTURA FIRNANCIERA Y PRESUPUESTO 1 (FECHA) ]:[(15) FECHA DE CONTRATACIÓN ADMINISTRATIVO]])</f>
        <v>0</v>
      </c>
      <c r="BG17" s="26">
        <f>Tabla256[[#This Row],[NUMERO OK]]/15</f>
        <v>0</v>
      </c>
      <c r="BH17" s="4" t="str">
        <f t="shared" ca="1" si="3"/>
        <v>RiesgoAlto</v>
      </c>
      <c r="BI17" s="48"/>
      <c r="BQ17" s="8"/>
    </row>
    <row r="18" spans="1:69" ht="57">
      <c r="A18" s="9">
        <v>2024</v>
      </c>
      <c r="B18" s="35"/>
      <c r="C18" s="4" t="s">
        <v>17</v>
      </c>
      <c r="D18" s="4" t="s">
        <v>123</v>
      </c>
      <c r="E18" s="35" t="s">
        <v>17</v>
      </c>
      <c r="G18" s="10"/>
      <c r="H18" s="36">
        <v>45509</v>
      </c>
      <c r="I18" s="10">
        <v>45509</v>
      </c>
      <c r="J18" s="10">
        <v>45762</v>
      </c>
      <c r="K18" s="6" t="s">
        <v>886</v>
      </c>
      <c r="L18" s="4" t="s">
        <v>97</v>
      </c>
      <c r="M18" s="4" t="str">
        <f t="shared" ca="1" si="4"/>
        <v>FINALIZADO</v>
      </c>
      <c r="N18" s="4" t="s">
        <v>33</v>
      </c>
      <c r="O18" s="79" t="s">
        <v>887</v>
      </c>
      <c r="P18" s="37">
        <v>1712294814</v>
      </c>
      <c r="Q18" s="37"/>
      <c r="R18" s="37">
        <v>0</v>
      </c>
      <c r="S18" s="37"/>
      <c r="T18" s="75">
        <f t="shared" si="1"/>
        <v>1712294814</v>
      </c>
      <c r="U18" s="39">
        <f t="shared" si="5"/>
        <v>183460158.64285713</v>
      </c>
      <c r="V18" s="4" t="s">
        <v>888</v>
      </c>
      <c r="W18" s="11" t="s">
        <v>872</v>
      </c>
      <c r="X18" s="4" t="s">
        <v>889</v>
      </c>
      <c r="Y18" s="4" t="s">
        <v>22</v>
      </c>
      <c r="Z18" s="11" t="s">
        <v>33</v>
      </c>
      <c r="AA18" s="65" t="s">
        <v>17</v>
      </c>
      <c r="AB18" s="4" t="s">
        <v>24</v>
      </c>
      <c r="AC18" s="4" t="s">
        <v>24</v>
      </c>
      <c r="AD18" s="4" t="s">
        <v>192</v>
      </c>
      <c r="AE18" s="4" t="s">
        <v>17</v>
      </c>
      <c r="AF18" s="4" t="s">
        <v>24</v>
      </c>
      <c r="AG18" s="4" t="s">
        <v>24</v>
      </c>
      <c r="AH18" s="4" t="s">
        <v>24</v>
      </c>
      <c r="AI18" s="4" t="s">
        <v>24</v>
      </c>
      <c r="AJ18" s="4" t="s">
        <v>24</v>
      </c>
      <c r="AK18" s="4" t="s">
        <v>17</v>
      </c>
      <c r="AL18" s="68"/>
      <c r="AM18" s="4" cm="1">
        <f t="array" ref="AM18">SUMPRODUCT((AA18:AK18&lt;&gt;"Pendiente")*(AA18:AK18&lt;&gt;""))</f>
        <v>11</v>
      </c>
      <c r="AN18" s="4">
        <f>COUNTA(Tabla256[[#This Row],[INVITACIÓN]:[ACTA DE INICIO]])</f>
        <v>11</v>
      </c>
      <c r="AO18" s="26">
        <f t="shared" si="2"/>
        <v>1</v>
      </c>
      <c r="AP18" s="47"/>
      <c r="AR18" s="10"/>
      <c r="AS18" s="10"/>
      <c r="AX18" s="10"/>
      <c r="BF18" s="4">
        <f>COUNTA(Tabla256[[#This Row],[(1)SOLICITUD DE  APERTURA FIRNANCIERA Y PRESUPUESTO 1 (FECHA) ]:[(15) FECHA DE CONTRATACIÓN ADMINISTRATIVO]])</f>
        <v>0</v>
      </c>
      <c r="BG18" s="26">
        <f>Tabla256[[#This Row],[NUMERO OK]]/15</f>
        <v>0</v>
      </c>
      <c r="BH18" s="4" t="str">
        <f t="shared" ca="1" si="3"/>
        <v>RiesgoAlto</v>
      </c>
      <c r="BI18" s="48"/>
      <c r="BQ18" s="8"/>
    </row>
    <row r="19" spans="1:69" ht="57">
      <c r="A19" s="9">
        <v>2024</v>
      </c>
      <c r="B19" s="35"/>
      <c r="C19" s="4" t="s">
        <v>17</v>
      </c>
      <c r="D19" s="4" t="s">
        <v>139</v>
      </c>
      <c r="E19" s="35" t="s">
        <v>17</v>
      </c>
      <c r="F19" s="4" t="s">
        <v>17</v>
      </c>
      <c r="G19" s="10"/>
      <c r="H19" s="36">
        <v>45513</v>
      </c>
      <c r="I19" s="10">
        <v>45554</v>
      </c>
      <c r="J19" s="10">
        <v>45695</v>
      </c>
      <c r="K19" s="6" t="s">
        <v>890</v>
      </c>
      <c r="L19" s="4" t="s">
        <v>97</v>
      </c>
      <c r="M19" s="4" t="str">
        <f t="shared" ca="1" si="4"/>
        <v>FINALIZADO</v>
      </c>
      <c r="N19" s="4" t="s">
        <v>99</v>
      </c>
      <c r="O19" s="79" t="s">
        <v>891</v>
      </c>
      <c r="P19" s="37">
        <v>708000000</v>
      </c>
      <c r="Q19" s="37"/>
      <c r="R19" s="37">
        <v>0</v>
      </c>
      <c r="S19" s="37"/>
      <c r="T19" s="75">
        <f t="shared" si="1"/>
        <v>708000000</v>
      </c>
      <c r="U19" s="39">
        <f t="shared" si="5"/>
        <v>75857142.857142851</v>
      </c>
      <c r="V19" s="4" t="s">
        <v>892</v>
      </c>
      <c r="W19" s="11" t="s">
        <v>872</v>
      </c>
      <c r="X19" s="4" t="s">
        <v>893</v>
      </c>
      <c r="Y19" s="4" t="s">
        <v>22</v>
      </c>
      <c r="Z19" s="11" t="s">
        <v>99</v>
      </c>
      <c r="AA19" s="65" t="s">
        <v>17</v>
      </c>
      <c r="AB19" s="4" t="s">
        <v>17</v>
      </c>
      <c r="AC19" s="4" t="s">
        <v>24</v>
      </c>
      <c r="AD19" s="4" t="s">
        <v>192</v>
      </c>
      <c r="AE19" s="4" t="s">
        <v>17</v>
      </c>
      <c r="AF19" s="4" t="s">
        <v>24</v>
      </c>
      <c r="AG19" s="4" t="s">
        <v>24</v>
      </c>
      <c r="AH19" s="4" t="s">
        <v>24</v>
      </c>
      <c r="AI19" s="4" t="s">
        <v>24</v>
      </c>
      <c r="AJ19" s="4" t="s">
        <v>24</v>
      </c>
      <c r="AK19" s="4" t="s">
        <v>24</v>
      </c>
      <c r="AL19" s="68"/>
      <c r="AM19" s="4" cm="1">
        <f t="array" ref="AM19">SUMPRODUCT((AA19:AK19&lt;&gt;"Pendiente")*(AA19:AK19&lt;&gt;""))</f>
        <v>11</v>
      </c>
      <c r="AN19" s="4">
        <f>COUNTA(Tabla256[[#This Row],[INVITACIÓN]:[ACTA DE INICIO]])</f>
        <v>11</v>
      </c>
      <c r="AO19" s="26">
        <f t="shared" si="2"/>
        <v>1</v>
      </c>
      <c r="AP19" s="47"/>
      <c r="AR19" s="10"/>
      <c r="AS19" s="10"/>
      <c r="AX19" s="10"/>
      <c r="BF19" s="4">
        <f>COUNTA(Tabla256[[#This Row],[(1)SOLICITUD DE  APERTURA FIRNANCIERA Y PRESUPUESTO 1 (FECHA) ]:[(15) FECHA DE CONTRATACIÓN ADMINISTRATIVO]])</f>
        <v>0</v>
      </c>
      <c r="BG19" s="26">
        <f>Tabla256[[#This Row],[NUMERO OK]]/15</f>
        <v>0</v>
      </c>
      <c r="BH19" s="4" t="str">
        <f t="shared" ca="1" si="3"/>
        <v>RiesgoAlto</v>
      </c>
      <c r="BI19" s="48"/>
      <c r="BQ19" s="8"/>
    </row>
    <row r="20" spans="1:69" ht="57">
      <c r="A20" s="9">
        <v>2024</v>
      </c>
      <c r="B20" s="35"/>
      <c r="C20" s="4" t="s">
        <v>17</v>
      </c>
      <c r="D20" s="4" t="s">
        <v>135</v>
      </c>
      <c r="E20" s="35" t="s">
        <v>17</v>
      </c>
      <c r="G20" s="10"/>
      <c r="H20" s="36">
        <v>45520</v>
      </c>
      <c r="I20" s="10">
        <v>45539</v>
      </c>
      <c r="J20" s="10">
        <v>45903</v>
      </c>
      <c r="K20" s="6" t="s">
        <v>897</v>
      </c>
      <c r="L20" s="4" t="s">
        <v>52</v>
      </c>
      <c r="M20" s="4" t="str">
        <f t="shared" ca="1" si="4"/>
        <v>EN EJECUCIÓN</v>
      </c>
      <c r="N20" s="4" t="s">
        <v>93</v>
      </c>
      <c r="O20" s="79" t="s">
        <v>870</v>
      </c>
      <c r="P20" s="37">
        <v>476086000</v>
      </c>
      <c r="Q20" s="37"/>
      <c r="R20" s="37">
        <v>0</v>
      </c>
      <c r="S20" s="37"/>
      <c r="T20" s="75">
        <f t="shared" si="1"/>
        <v>476086000</v>
      </c>
      <c r="U20" s="39">
        <f t="shared" si="5"/>
        <v>51009214.285714284</v>
      </c>
      <c r="V20" s="4" t="s">
        <v>898</v>
      </c>
      <c r="W20" s="11" t="s">
        <v>872</v>
      </c>
      <c r="X20" s="4" t="s">
        <v>65</v>
      </c>
      <c r="Y20" s="4" t="s">
        <v>55</v>
      </c>
      <c r="Z20" s="11" t="s">
        <v>93</v>
      </c>
      <c r="AA20" s="65" t="s">
        <v>17</v>
      </c>
      <c r="AB20" s="4" t="s">
        <v>17</v>
      </c>
      <c r="AC20" s="4" t="s">
        <v>17</v>
      </c>
      <c r="AD20" s="4" t="s">
        <v>192</v>
      </c>
      <c r="AE20" s="4" t="s">
        <v>24</v>
      </c>
      <c r="AF20" s="4" t="s">
        <v>24</v>
      </c>
      <c r="AG20" s="4" t="s">
        <v>17</v>
      </c>
      <c r="AH20" s="4" t="s">
        <v>17</v>
      </c>
      <c r="AI20" s="4" t="s">
        <v>24</v>
      </c>
      <c r="AJ20" s="4" t="s">
        <v>24</v>
      </c>
      <c r="AK20" s="4" t="s">
        <v>24</v>
      </c>
      <c r="AL20" s="68"/>
      <c r="AM20" s="4" cm="1">
        <f t="array" ref="AM20">SUMPRODUCT((AA20:AK20&lt;&gt;"Pendiente")*(AA20:AK20&lt;&gt;""))</f>
        <v>11</v>
      </c>
      <c r="AN20" s="4">
        <f>COUNTA(Tabla256[[#This Row],[INVITACIÓN]:[ACTA DE INICIO]])</f>
        <v>11</v>
      </c>
      <c r="AO20" s="26">
        <f t="shared" si="2"/>
        <v>1</v>
      </c>
      <c r="AP20" s="47"/>
      <c r="AR20" s="10"/>
      <c r="AS20" s="10"/>
      <c r="AX20" s="10"/>
      <c r="BF20" s="4">
        <f>COUNTA(Tabla256[[#This Row],[(1)SOLICITUD DE  APERTURA FIRNANCIERA Y PRESUPUESTO 1 (FECHA) ]:[(15) FECHA DE CONTRATACIÓN ADMINISTRATIVO]])</f>
        <v>0</v>
      </c>
      <c r="BG20" s="26">
        <f>Tabla256[[#This Row],[NUMERO OK]]/15</f>
        <v>0</v>
      </c>
      <c r="BH20" s="4" t="str">
        <f t="shared" ca="1" si="3"/>
        <v>RiesgoAlto</v>
      </c>
      <c r="BI20" s="48"/>
      <c r="BQ20" s="8"/>
    </row>
    <row r="21" spans="1:69" ht="71.25">
      <c r="A21" s="9">
        <v>2024</v>
      </c>
      <c r="B21" s="35"/>
      <c r="C21" s="4" t="s">
        <v>17</v>
      </c>
      <c r="D21" s="4" t="s">
        <v>139</v>
      </c>
      <c r="E21" s="35" t="s">
        <v>17</v>
      </c>
      <c r="G21" s="10"/>
      <c r="H21" s="36">
        <v>45520</v>
      </c>
      <c r="I21" s="10">
        <v>45533</v>
      </c>
      <c r="J21" s="10">
        <v>45762</v>
      </c>
      <c r="K21" s="6" t="s">
        <v>894</v>
      </c>
      <c r="L21" s="4" t="s">
        <v>97</v>
      </c>
      <c r="M21" s="4" t="str">
        <f t="shared" ca="1" si="4"/>
        <v>FINALIZADO</v>
      </c>
      <c r="N21" s="4" t="s">
        <v>33</v>
      </c>
      <c r="O21" s="79" t="s">
        <v>891</v>
      </c>
      <c r="P21" s="37">
        <v>400000000</v>
      </c>
      <c r="Q21" s="37"/>
      <c r="R21" s="37">
        <v>0</v>
      </c>
      <c r="S21" s="37"/>
      <c r="T21" s="75">
        <f t="shared" si="1"/>
        <v>400000000</v>
      </c>
      <c r="U21" s="39">
        <f t="shared" si="5"/>
        <v>42857142.857142851</v>
      </c>
      <c r="V21" s="4" t="s">
        <v>895</v>
      </c>
      <c r="W21" s="11" t="s">
        <v>872</v>
      </c>
      <c r="X21" s="4" t="s">
        <v>896</v>
      </c>
      <c r="Y21" s="4" t="s">
        <v>22</v>
      </c>
      <c r="Z21" s="11" t="s">
        <v>33</v>
      </c>
      <c r="AA21" s="65" t="s">
        <v>17</v>
      </c>
      <c r="AB21" s="4" t="s">
        <v>17</v>
      </c>
      <c r="AC21" s="4" t="s">
        <v>17</v>
      </c>
      <c r="AD21" s="4" t="s">
        <v>192</v>
      </c>
      <c r="AE21" s="4" t="s">
        <v>17</v>
      </c>
      <c r="AF21" s="4" t="s">
        <v>24</v>
      </c>
      <c r="AG21" s="4" t="s">
        <v>24</v>
      </c>
      <c r="AH21" s="4" t="s">
        <v>24</v>
      </c>
      <c r="AI21" s="4" t="s">
        <v>24</v>
      </c>
      <c r="AJ21" s="4" t="s">
        <v>24</v>
      </c>
      <c r="AK21" s="4" t="s">
        <v>24</v>
      </c>
      <c r="AL21" s="68"/>
      <c r="AM21" s="4" cm="1">
        <f t="array" ref="AM21">SUMPRODUCT((AA21:AK21&lt;&gt;"Pendiente")*(AA21:AK21&lt;&gt;""))</f>
        <v>11</v>
      </c>
      <c r="AN21" s="4">
        <f>COUNTA(Tabla256[[#This Row],[INVITACIÓN]:[ACTA DE INICIO]])</f>
        <v>11</v>
      </c>
      <c r="AO21" s="26">
        <f t="shared" si="2"/>
        <v>1</v>
      </c>
      <c r="AP21" s="47"/>
      <c r="AR21" s="10"/>
      <c r="AS21" s="10"/>
      <c r="AX21" s="10"/>
      <c r="BF21" s="4">
        <f>COUNTA(Tabla256[[#This Row],[(1)SOLICITUD DE  APERTURA FIRNANCIERA Y PRESUPUESTO 1 (FECHA) ]:[(15) FECHA DE CONTRATACIÓN ADMINISTRATIVO]])</f>
        <v>0</v>
      </c>
      <c r="BG21" s="26">
        <f>Tabla256[[#This Row],[NUMERO OK]]/15</f>
        <v>0</v>
      </c>
      <c r="BH21" s="4" t="str">
        <f t="shared" ca="1" si="3"/>
        <v>RiesgoAlto</v>
      </c>
      <c r="BI21" s="48"/>
      <c r="BQ21" s="8"/>
    </row>
    <row r="22" spans="1:69" ht="71.25">
      <c r="A22" s="9">
        <v>2024</v>
      </c>
      <c r="B22" s="35"/>
      <c r="C22" s="4" t="s">
        <v>17</v>
      </c>
      <c r="D22" s="4" t="s">
        <v>135</v>
      </c>
      <c r="E22" s="35" t="s">
        <v>17</v>
      </c>
      <c r="G22" s="10"/>
      <c r="H22" s="36">
        <v>45525</v>
      </c>
      <c r="I22" s="10">
        <v>45558</v>
      </c>
      <c r="J22" s="10">
        <v>45922</v>
      </c>
      <c r="K22" s="6" t="s">
        <v>906</v>
      </c>
      <c r="L22" s="4" t="s">
        <v>52</v>
      </c>
      <c r="M22" s="4" t="str">
        <f t="shared" ca="1" si="4"/>
        <v>EN EJECUCIÓN</v>
      </c>
      <c r="N22" s="4" t="s">
        <v>93</v>
      </c>
      <c r="O22" s="79" t="s">
        <v>870</v>
      </c>
      <c r="P22" s="37">
        <v>218701000</v>
      </c>
      <c r="Q22" s="37"/>
      <c r="R22" s="37">
        <v>0</v>
      </c>
      <c r="S22" s="37"/>
      <c r="T22" s="75">
        <f t="shared" si="1"/>
        <v>218701000</v>
      </c>
      <c r="U22" s="39">
        <f t="shared" si="5"/>
        <v>23432249.999999996</v>
      </c>
      <c r="V22" s="4" t="s">
        <v>907</v>
      </c>
      <c r="W22" s="11" t="s">
        <v>872</v>
      </c>
      <c r="X22" s="4" t="s">
        <v>101</v>
      </c>
      <c r="Y22" s="4" t="s">
        <v>55</v>
      </c>
      <c r="Z22" s="11" t="s">
        <v>93</v>
      </c>
      <c r="AA22" s="65" t="s">
        <v>17</v>
      </c>
      <c r="AB22" s="4" t="s">
        <v>17</v>
      </c>
      <c r="AC22" s="4" t="s">
        <v>17</v>
      </c>
      <c r="AD22" s="4" t="s">
        <v>192</v>
      </c>
      <c r="AE22" s="4" t="s">
        <v>24</v>
      </c>
      <c r="AF22" s="4" t="s">
        <v>24</v>
      </c>
      <c r="AG22" s="4" t="s">
        <v>17</v>
      </c>
      <c r="AH22" s="4" t="s">
        <v>17</v>
      </c>
      <c r="AI22" s="4" t="s">
        <v>24</v>
      </c>
      <c r="AJ22" s="4" t="s">
        <v>24</v>
      </c>
      <c r="AK22" s="4" t="s">
        <v>24</v>
      </c>
      <c r="AL22" s="68"/>
      <c r="AM22" s="4" cm="1">
        <f t="array" ref="AM22">SUMPRODUCT((AA22:AK22&lt;&gt;"Pendiente")*(AA22:AK22&lt;&gt;""))</f>
        <v>11</v>
      </c>
      <c r="AN22" s="4">
        <f>COUNTA(Tabla256[[#This Row],[INVITACIÓN]:[ACTA DE INICIO]])</f>
        <v>11</v>
      </c>
      <c r="AO22" s="26">
        <f t="shared" si="2"/>
        <v>1</v>
      </c>
      <c r="AP22" s="47"/>
      <c r="AR22" s="10"/>
      <c r="AS22" s="10"/>
      <c r="AX22" s="10"/>
      <c r="BF22" s="4">
        <f>COUNTA(Tabla256[[#This Row],[(1)SOLICITUD DE  APERTURA FIRNANCIERA Y PRESUPUESTO 1 (FECHA) ]:[(15) FECHA DE CONTRATACIÓN ADMINISTRATIVO]])</f>
        <v>0</v>
      </c>
      <c r="BG22" s="26">
        <f>Tabla256[[#This Row],[NUMERO OK]]/15</f>
        <v>0</v>
      </c>
      <c r="BH22" s="4" t="str">
        <f t="shared" ca="1" si="3"/>
        <v>RiesgoAlto</v>
      </c>
      <c r="BI22" s="48"/>
      <c r="BQ22" s="8"/>
    </row>
    <row r="23" spans="1:69" ht="99.75">
      <c r="A23" s="9">
        <v>2024</v>
      </c>
      <c r="B23" s="35"/>
      <c r="C23" s="4" t="s">
        <v>17</v>
      </c>
      <c r="D23" s="4" t="s">
        <v>135</v>
      </c>
      <c r="E23" s="35" t="s">
        <v>17</v>
      </c>
      <c r="G23" s="10"/>
      <c r="H23" s="36">
        <v>45525</v>
      </c>
      <c r="I23" s="10">
        <v>45530</v>
      </c>
      <c r="J23" s="10">
        <v>45894</v>
      </c>
      <c r="K23" s="6" t="s">
        <v>904</v>
      </c>
      <c r="L23" s="4" t="s">
        <v>52</v>
      </c>
      <c r="M23" s="4" t="str">
        <f t="shared" ca="1" si="4"/>
        <v>EN EJECUCIÓN</v>
      </c>
      <c r="N23" s="4" t="s">
        <v>93</v>
      </c>
      <c r="O23" s="79" t="s">
        <v>870</v>
      </c>
      <c r="P23" s="37">
        <v>123544350</v>
      </c>
      <c r="Q23" s="37"/>
      <c r="R23" s="37">
        <v>0</v>
      </c>
      <c r="S23" s="37"/>
      <c r="T23" s="75">
        <f t="shared" si="1"/>
        <v>123544350</v>
      </c>
      <c r="U23" s="39">
        <f t="shared" si="5"/>
        <v>13236894.642857142</v>
      </c>
      <c r="V23" s="4" t="s">
        <v>905</v>
      </c>
      <c r="W23" s="11" t="s">
        <v>872</v>
      </c>
      <c r="X23" s="4" t="s">
        <v>65</v>
      </c>
      <c r="Y23" s="4" t="s">
        <v>55</v>
      </c>
      <c r="Z23" s="11" t="s">
        <v>93</v>
      </c>
      <c r="AA23" s="65" t="s">
        <v>17</v>
      </c>
      <c r="AB23" s="4" t="s">
        <v>17</v>
      </c>
      <c r="AC23" s="4" t="s">
        <v>17</v>
      </c>
      <c r="AD23" s="4" t="s">
        <v>192</v>
      </c>
      <c r="AE23" s="4" t="s">
        <v>24</v>
      </c>
      <c r="AF23" s="4" t="s">
        <v>24</v>
      </c>
      <c r="AG23" s="4" t="s">
        <v>17</v>
      </c>
      <c r="AH23" s="4" t="s">
        <v>17</v>
      </c>
      <c r="AI23" s="4" t="s">
        <v>24</v>
      </c>
      <c r="AJ23" s="4" t="s">
        <v>24</v>
      </c>
      <c r="AK23" s="4" t="s">
        <v>24</v>
      </c>
      <c r="AL23" s="68"/>
      <c r="AM23" s="4" cm="1">
        <f t="array" ref="AM23">SUMPRODUCT((AA23:AK23&lt;&gt;"Pendiente")*(AA23:AK23&lt;&gt;""))</f>
        <v>11</v>
      </c>
      <c r="AN23" s="4">
        <f>COUNTA(Tabla256[[#This Row],[INVITACIÓN]:[ACTA DE INICIO]])</f>
        <v>11</v>
      </c>
      <c r="AO23" s="26">
        <f t="shared" si="2"/>
        <v>1</v>
      </c>
      <c r="AP23" s="47"/>
      <c r="AR23" s="10"/>
      <c r="AS23" s="10"/>
      <c r="AX23" s="10"/>
      <c r="BF23" s="4">
        <f>COUNTA(Tabla256[[#This Row],[(1)SOLICITUD DE  APERTURA FIRNANCIERA Y PRESUPUESTO 1 (FECHA) ]:[(15) FECHA DE CONTRATACIÓN ADMINISTRATIVO]])</f>
        <v>0</v>
      </c>
      <c r="BG23" s="26">
        <f>Tabla256[[#This Row],[NUMERO OK]]/15</f>
        <v>0</v>
      </c>
      <c r="BH23" s="4" t="str">
        <f t="shared" ca="1" si="3"/>
        <v>RiesgoAlto</v>
      </c>
      <c r="BI23" s="48"/>
      <c r="BQ23" s="8"/>
    </row>
    <row r="24" spans="1:69" ht="57">
      <c r="A24" s="9">
        <v>2024</v>
      </c>
      <c r="B24" s="35"/>
      <c r="C24" s="4" t="s">
        <v>17</v>
      </c>
      <c r="D24" s="4" t="s">
        <v>135</v>
      </c>
      <c r="E24" s="35" t="s">
        <v>17</v>
      </c>
      <c r="G24" s="10"/>
      <c r="H24" s="36">
        <v>45525</v>
      </c>
      <c r="I24" s="10">
        <v>45527</v>
      </c>
      <c r="J24" s="10">
        <v>45891</v>
      </c>
      <c r="K24" s="6" t="s">
        <v>902</v>
      </c>
      <c r="L24" s="4" t="s">
        <v>52</v>
      </c>
      <c r="M24" s="4" t="str">
        <f t="shared" ca="1" si="4"/>
        <v>EN EJECUCIÓN</v>
      </c>
      <c r="N24" s="4" t="s">
        <v>93</v>
      </c>
      <c r="O24" s="79" t="s">
        <v>870</v>
      </c>
      <c r="P24" s="37">
        <v>102609200</v>
      </c>
      <c r="Q24" s="37"/>
      <c r="R24" s="37">
        <v>0</v>
      </c>
      <c r="S24" s="37"/>
      <c r="T24" s="75">
        <f t="shared" si="1"/>
        <v>102609200</v>
      </c>
      <c r="U24" s="39">
        <f t="shared" si="5"/>
        <v>10993842.857142856</v>
      </c>
      <c r="V24" s="4" t="s">
        <v>903</v>
      </c>
      <c r="W24" s="11" t="s">
        <v>872</v>
      </c>
      <c r="X24" s="4" t="s">
        <v>65</v>
      </c>
      <c r="Y24" s="4" t="s">
        <v>55</v>
      </c>
      <c r="Z24" s="11" t="s">
        <v>93</v>
      </c>
      <c r="AA24" s="65" t="s">
        <v>17</v>
      </c>
      <c r="AB24" s="4" t="s">
        <v>17</v>
      </c>
      <c r="AC24" s="4" t="s">
        <v>17</v>
      </c>
      <c r="AD24" s="4" t="s">
        <v>192</v>
      </c>
      <c r="AE24" s="4" t="s">
        <v>24</v>
      </c>
      <c r="AF24" s="4" t="s">
        <v>24</v>
      </c>
      <c r="AG24" s="4" t="s">
        <v>17</v>
      </c>
      <c r="AH24" s="4" t="s">
        <v>17</v>
      </c>
      <c r="AI24" s="4" t="s">
        <v>24</v>
      </c>
      <c r="AJ24" s="4" t="s">
        <v>24</v>
      </c>
      <c r="AK24" s="4" t="s">
        <v>24</v>
      </c>
      <c r="AL24" s="68"/>
      <c r="AM24" s="4" cm="1">
        <f t="array" ref="AM24">SUMPRODUCT((AA24:AK24&lt;&gt;"Pendiente")*(AA24:AK24&lt;&gt;""))</f>
        <v>11</v>
      </c>
      <c r="AN24" s="4">
        <f>COUNTA(Tabla256[[#This Row],[INVITACIÓN]:[ACTA DE INICIO]])</f>
        <v>11</v>
      </c>
      <c r="AO24" s="26">
        <f t="shared" si="2"/>
        <v>1</v>
      </c>
      <c r="AP24" s="47"/>
      <c r="AR24" s="10"/>
      <c r="AS24" s="10"/>
      <c r="AX24" s="10"/>
      <c r="BF24" s="4">
        <f>COUNTA(Tabla256[[#This Row],[(1)SOLICITUD DE  APERTURA FIRNANCIERA Y PRESUPUESTO 1 (FECHA) ]:[(15) FECHA DE CONTRATACIÓN ADMINISTRATIVO]])</f>
        <v>0</v>
      </c>
      <c r="BG24" s="26">
        <f>Tabla256[[#This Row],[NUMERO OK]]/15</f>
        <v>0</v>
      </c>
      <c r="BH24" s="4" t="str">
        <f t="shared" ca="1" si="3"/>
        <v>RiesgoAlto</v>
      </c>
      <c r="BI24" s="48"/>
      <c r="BQ24" s="8"/>
    </row>
    <row r="25" spans="1:69" s="55" customFormat="1" ht="114">
      <c r="A25" s="9">
        <v>2024</v>
      </c>
      <c r="B25" s="35"/>
      <c r="C25" s="4" t="s">
        <v>17</v>
      </c>
      <c r="D25" s="4" t="s">
        <v>123</v>
      </c>
      <c r="E25" s="35" t="s">
        <v>17</v>
      </c>
      <c r="F25" s="4" t="s">
        <v>17</v>
      </c>
      <c r="G25" s="10"/>
      <c r="H25" s="36">
        <v>45525</v>
      </c>
      <c r="I25" s="10">
        <v>45567</v>
      </c>
      <c r="J25" s="10">
        <v>45746</v>
      </c>
      <c r="K25" s="6" t="s">
        <v>899</v>
      </c>
      <c r="L25" s="4" t="s">
        <v>74</v>
      </c>
      <c r="M25" s="4" t="str">
        <f t="shared" ca="1" si="4"/>
        <v>FINALIZADO</v>
      </c>
      <c r="N25" s="4" t="s">
        <v>93</v>
      </c>
      <c r="O25" s="79" t="s">
        <v>870</v>
      </c>
      <c r="P25" s="37">
        <v>64880000</v>
      </c>
      <c r="Q25" s="37"/>
      <c r="R25" s="37">
        <v>0</v>
      </c>
      <c r="S25" s="37"/>
      <c r="T25" s="76">
        <f t="shared" si="1"/>
        <v>64880000</v>
      </c>
      <c r="U25" s="39">
        <f t="shared" si="5"/>
        <v>6951428.5714285709</v>
      </c>
      <c r="V25" s="4" t="s">
        <v>900</v>
      </c>
      <c r="W25" s="11" t="s">
        <v>872</v>
      </c>
      <c r="X25" s="4" t="s">
        <v>65</v>
      </c>
      <c r="Y25" s="4" t="s">
        <v>55</v>
      </c>
      <c r="Z25" s="11" t="s">
        <v>93</v>
      </c>
      <c r="AA25" s="65" t="s">
        <v>17</v>
      </c>
      <c r="AB25" s="4" t="s">
        <v>17</v>
      </c>
      <c r="AC25" s="4" t="s">
        <v>17</v>
      </c>
      <c r="AD25" s="4" t="s">
        <v>192</v>
      </c>
      <c r="AE25" s="4" t="s">
        <v>24</v>
      </c>
      <c r="AF25" s="4" t="s">
        <v>24</v>
      </c>
      <c r="AG25" s="4" t="s">
        <v>17</v>
      </c>
      <c r="AH25" s="4" t="s">
        <v>17</v>
      </c>
      <c r="AI25" s="4" t="s">
        <v>24</v>
      </c>
      <c r="AJ25" s="4" t="s">
        <v>24</v>
      </c>
      <c r="AK25" s="4" t="s">
        <v>24</v>
      </c>
      <c r="AL25" s="68"/>
      <c r="AM25" s="4" cm="1">
        <f t="array" ref="AM25">SUMPRODUCT((AA25:AK25&lt;&gt;"Pendiente")*(AA25:AK25&lt;&gt;""))</f>
        <v>11</v>
      </c>
      <c r="AN25" s="4">
        <f>COUNTA(Tabla256[[#This Row],[INVITACIÓN]:[ACTA DE INICIO]])</f>
        <v>11</v>
      </c>
      <c r="AO25" s="26">
        <f t="shared" si="2"/>
        <v>1</v>
      </c>
      <c r="AP25" s="47"/>
      <c r="AQ25" s="4"/>
      <c r="AR25" s="10"/>
      <c r="AS25" s="10"/>
      <c r="AT25" s="4"/>
      <c r="AU25" s="4"/>
      <c r="AV25" s="4"/>
      <c r="AW25" s="4"/>
      <c r="AX25" s="10"/>
      <c r="AY25" s="4"/>
      <c r="AZ25" s="4"/>
      <c r="BA25" s="4"/>
      <c r="BB25" s="4"/>
      <c r="BC25" s="4"/>
      <c r="BD25" s="4"/>
      <c r="BE25" s="4"/>
      <c r="BF25" s="4">
        <f>COUNTA(Tabla256[[#This Row],[(1)SOLICITUD DE  APERTURA FIRNANCIERA Y PRESUPUESTO 1 (FECHA) ]:[(15) FECHA DE CONTRATACIÓN ADMINISTRATIVO]])</f>
        <v>0</v>
      </c>
      <c r="BG25" s="26">
        <f>Tabla256[[#This Row],[NUMERO OK]]/15</f>
        <v>0</v>
      </c>
      <c r="BH25" s="4" t="str">
        <f t="shared" ca="1" si="3"/>
        <v>RiesgoAlto</v>
      </c>
      <c r="BI25" s="48"/>
      <c r="BJ25" s="4"/>
      <c r="BK25" s="4"/>
      <c r="BL25" s="4"/>
      <c r="BM25" s="4"/>
      <c r="BN25" s="4"/>
      <c r="BO25" s="4"/>
      <c r="BP25" s="4"/>
      <c r="BQ25" s="8"/>
    </row>
    <row r="26" spans="1:69" ht="85.5">
      <c r="A26" s="9">
        <v>2024</v>
      </c>
      <c r="C26" s="4" t="s">
        <v>17</v>
      </c>
      <c r="G26" s="10"/>
      <c r="H26" s="62">
        <v>45547</v>
      </c>
      <c r="I26" s="10">
        <v>45558</v>
      </c>
      <c r="J26" s="10">
        <v>45679</v>
      </c>
      <c r="K26" s="6" t="s">
        <v>908</v>
      </c>
      <c r="L26" s="4" t="s">
        <v>97</v>
      </c>
      <c r="M26" s="4" t="str">
        <f t="shared" ca="1" si="4"/>
        <v>FINALIZADO</v>
      </c>
      <c r="N26" s="4" t="s">
        <v>93</v>
      </c>
      <c r="O26" s="79" t="s">
        <v>909</v>
      </c>
      <c r="P26" s="37">
        <v>111464444</v>
      </c>
      <c r="Q26" s="37"/>
      <c r="R26" s="37">
        <v>0</v>
      </c>
      <c r="S26" s="37"/>
      <c r="T26" s="75">
        <f t="shared" si="1"/>
        <v>111464444</v>
      </c>
      <c r="U26" s="39">
        <f t="shared" si="5"/>
        <v>11942618.999999998</v>
      </c>
      <c r="V26" s="4" t="s">
        <v>910</v>
      </c>
      <c r="W26" s="4" t="s">
        <v>911</v>
      </c>
      <c r="X26" s="4" t="s">
        <v>49</v>
      </c>
      <c r="Y26" s="4" t="s">
        <v>22</v>
      </c>
      <c r="Z26" s="11" t="s">
        <v>23</v>
      </c>
      <c r="AA26" s="65"/>
      <c r="AL26" s="68"/>
      <c r="AM26" s="4" cm="1">
        <f t="array" ref="AM26">SUMPRODUCT((AA26:AK26&lt;&gt;"Pendiente")*(AA26:AK26&lt;&gt;""))</f>
        <v>0</v>
      </c>
      <c r="AN26" s="4">
        <f>COUNTA(Tabla256[[#This Row],[INVITACIÓN]:[ACTA DE INICIO]])</f>
        <v>0</v>
      </c>
      <c r="AO26" s="26" t="e">
        <f t="shared" si="2"/>
        <v>#DIV/0!</v>
      </c>
      <c r="AP26" s="47"/>
      <c r="BF26" s="4">
        <f>COUNTA(Tabla256[[#This Row],[(1)SOLICITUD DE  APERTURA FIRNANCIERA Y PRESUPUESTO 1 (FECHA) ]:[(15) FECHA DE CONTRATACIÓN ADMINISTRATIVO]])</f>
        <v>0</v>
      </c>
      <c r="BG26" s="26">
        <f>Tabla256[[#This Row],[NUMERO OK]]/15</f>
        <v>0</v>
      </c>
      <c r="BH26" s="4" t="str">
        <f t="shared" ca="1" si="3"/>
        <v>RiesgoAlto</v>
      </c>
      <c r="BI26" s="48"/>
      <c r="BQ26" s="8"/>
    </row>
    <row r="27" spans="1:69" ht="57">
      <c r="A27" s="9">
        <v>2024</v>
      </c>
      <c r="B27" s="35"/>
      <c r="C27" s="4" t="s">
        <v>17</v>
      </c>
      <c r="D27" s="4" t="s">
        <v>123</v>
      </c>
      <c r="E27" s="35" t="s">
        <v>17</v>
      </c>
      <c r="G27" s="10"/>
      <c r="H27" s="36">
        <v>45560</v>
      </c>
      <c r="I27" s="10">
        <v>45568</v>
      </c>
      <c r="J27" s="10">
        <v>45777</v>
      </c>
      <c r="K27" s="6" t="s">
        <v>912</v>
      </c>
      <c r="L27" s="4" t="s">
        <v>97</v>
      </c>
      <c r="M27" s="4" t="str">
        <f t="shared" ca="1" si="4"/>
        <v>FINALIZADO</v>
      </c>
      <c r="N27" s="4" t="s">
        <v>93</v>
      </c>
      <c r="O27" s="79" t="s">
        <v>913</v>
      </c>
      <c r="P27" s="37">
        <v>300600000</v>
      </c>
      <c r="Q27" s="37"/>
      <c r="R27" s="37">
        <v>0</v>
      </c>
      <c r="S27" s="37"/>
      <c r="T27" s="75">
        <f t="shared" si="1"/>
        <v>300600000</v>
      </c>
      <c r="U27" s="39">
        <f t="shared" si="5"/>
        <v>32207142.857142854</v>
      </c>
      <c r="V27" s="4" t="s">
        <v>914</v>
      </c>
      <c r="W27" s="11" t="s">
        <v>200</v>
      </c>
      <c r="X27" s="4" t="s">
        <v>915</v>
      </c>
      <c r="Y27" s="4" t="s">
        <v>22</v>
      </c>
      <c r="Z27" s="11" t="s">
        <v>93</v>
      </c>
      <c r="AA27" s="65" t="s">
        <v>17</v>
      </c>
      <c r="AB27" s="4" t="s">
        <v>24</v>
      </c>
      <c r="AC27" s="4" t="s">
        <v>24</v>
      </c>
      <c r="AD27" s="4" t="s">
        <v>192</v>
      </c>
      <c r="AE27" s="4" t="s">
        <v>17</v>
      </c>
      <c r="AF27" s="4" t="s">
        <v>24</v>
      </c>
      <c r="AG27" s="4" t="s">
        <v>24</v>
      </c>
      <c r="AH27" s="4" t="s">
        <v>24</v>
      </c>
      <c r="AI27" s="4" t="s">
        <v>24</v>
      </c>
      <c r="AJ27" s="4" t="s">
        <v>24</v>
      </c>
      <c r="AK27" s="4" t="s">
        <v>24</v>
      </c>
      <c r="AL27" s="68"/>
      <c r="AM27" s="4" cm="1">
        <f t="array" ref="AM27">SUMPRODUCT((AA27:AK27&lt;&gt;"Pendiente")*(AA27:AK27&lt;&gt;""))</f>
        <v>11</v>
      </c>
      <c r="AN27" s="4">
        <f>COUNTA(Tabla256[[#This Row],[INVITACIÓN]:[ACTA DE INICIO]])</f>
        <v>11</v>
      </c>
      <c r="AO27" s="26">
        <f t="shared" si="2"/>
        <v>1</v>
      </c>
      <c r="AP27" s="47"/>
      <c r="AR27" s="10"/>
      <c r="AS27" s="10"/>
      <c r="AX27" s="10"/>
      <c r="BF27" s="4">
        <f>COUNTA(Tabla256[[#This Row],[(1)SOLICITUD DE  APERTURA FIRNANCIERA Y PRESUPUESTO 1 (FECHA) ]:[(15) FECHA DE CONTRATACIÓN ADMINISTRATIVO]])</f>
        <v>0</v>
      </c>
      <c r="BG27" s="26">
        <f>Tabla256[[#This Row],[NUMERO OK]]/15</f>
        <v>0</v>
      </c>
      <c r="BH27" s="4" t="str">
        <f t="shared" ca="1" si="3"/>
        <v>RiesgoAlto</v>
      </c>
      <c r="BI27" s="48"/>
      <c r="BQ27" s="8"/>
    </row>
    <row r="28" spans="1:69" ht="242.25">
      <c r="A28" s="9">
        <v>2024</v>
      </c>
      <c r="C28" s="4" t="s">
        <v>17</v>
      </c>
      <c r="G28" s="10"/>
      <c r="H28" s="62">
        <v>45594</v>
      </c>
      <c r="I28" s="62">
        <v>45595</v>
      </c>
      <c r="J28" s="62">
        <v>45672</v>
      </c>
      <c r="K28" s="6" t="s">
        <v>916</v>
      </c>
      <c r="L28" s="4" t="s">
        <v>68</v>
      </c>
      <c r="M28" s="4" t="str">
        <f t="shared" ca="1" si="4"/>
        <v>FINALIZADO</v>
      </c>
      <c r="N28" s="4" t="s">
        <v>93</v>
      </c>
      <c r="O28" s="79" t="s">
        <v>917</v>
      </c>
      <c r="P28" s="37">
        <v>65000000</v>
      </c>
      <c r="Q28" s="37"/>
      <c r="R28" s="37">
        <v>0</v>
      </c>
      <c r="S28" s="37"/>
      <c r="T28" s="75">
        <f t="shared" si="1"/>
        <v>65000000</v>
      </c>
      <c r="U28" s="39">
        <f t="shared" si="5"/>
        <v>6964285.7142857136</v>
      </c>
      <c r="V28" s="4" t="s">
        <v>918</v>
      </c>
      <c r="W28" s="4" t="s">
        <v>919</v>
      </c>
      <c r="X28" s="4" t="s">
        <v>920</v>
      </c>
      <c r="Y28" s="4" t="s">
        <v>22</v>
      </c>
      <c r="Z28" s="11" t="s">
        <v>23</v>
      </c>
      <c r="AA28" s="65" t="s">
        <v>24</v>
      </c>
      <c r="AB28" s="4" t="s">
        <v>17</v>
      </c>
      <c r="AC28" s="4" t="s">
        <v>24</v>
      </c>
      <c r="AD28" s="4" t="s">
        <v>17</v>
      </c>
      <c r="AE28" s="4" t="s">
        <v>24</v>
      </c>
      <c r="AF28" s="4" t="s">
        <v>24</v>
      </c>
      <c r="AG28" s="4" t="s">
        <v>24</v>
      </c>
      <c r="AH28" s="4" t="s">
        <v>24</v>
      </c>
      <c r="AI28" s="4" t="s">
        <v>24</v>
      </c>
      <c r="AJ28" s="4" t="s">
        <v>24</v>
      </c>
      <c r="AK28" s="4" t="s">
        <v>24</v>
      </c>
      <c r="AL28" s="68"/>
      <c r="AM28" s="4" cm="1">
        <f t="array" ref="AM28">SUMPRODUCT((AA28:AK28&lt;&gt;"Pendiente")*(AA28:AK28&lt;&gt;""))</f>
        <v>11</v>
      </c>
      <c r="AN28" s="4">
        <f>COUNTA(Tabla256[[#This Row],[INVITACIÓN]:[ACTA DE INICIO]])</f>
        <v>11</v>
      </c>
      <c r="AO28" s="26">
        <f t="shared" si="2"/>
        <v>1</v>
      </c>
      <c r="AP28" s="47"/>
      <c r="BF28" s="4">
        <f>COUNTA(Tabla256[[#This Row],[(1)SOLICITUD DE  APERTURA FIRNANCIERA Y PRESUPUESTO 1 (FECHA) ]:[(15) FECHA DE CONTRATACIÓN ADMINISTRATIVO]])</f>
        <v>0</v>
      </c>
      <c r="BG28" s="26">
        <f>Tabla256[[#This Row],[NUMERO OK]]/15</f>
        <v>0</v>
      </c>
      <c r="BH28" s="4" t="str">
        <f t="shared" ca="1" si="3"/>
        <v>RiesgoAlto</v>
      </c>
      <c r="BI28" s="48"/>
      <c r="BQ28" s="8"/>
    </row>
    <row r="29" spans="1:69" ht="156.75">
      <c r="A29" s="9">
        <v>2024</v>
      </c>
      <c r="B29" s="35"/>
      <c r="C29" s="4" t="s">
        <v>17</v>
      </c>
      <c r="D29" s="4" t="s">
        <v>135</v>
      </c>
      <c r="E29" s="35" t="s">
        <v>17</v>
      </c>
      <c r="G29" s="10"/>
      <c r="H29" s="36">
        <v>45602</v>
      </c>
      <c r="I29" s="10">
        <v>45614</v>
      </c>
      <c r="J29" s="10">
        <v>45750</v>
      </c>
      <c r="K29" s="6" t="s">
        <v>921</v>
      </c>
      <c r="L29" s="4" t="s">
        <v>68</v>
      </c>
      <c r="M29" s="4" t="str">
        <f t="shared" ca="1" si="4"/>
        <v>FINALIZADO</v>
      </c>
      <c r="N29" s="4" t="s">
        <v>93</v>
      </c>
      <c r="O29" s="79" t="s">
        <v>870</v>
      </c>
      <c r="P29" s="37">
        <v>15525000</v>
      </c>
      <c r="Q29" s="37"/>
      <c r="R29" s="37">
        <v>0</v>
      </c>
      <c r="S29" s="37"/>
      <c r="T29" s="75">
        <f t="shared" si="1"/>
        <v>15525000</v>
      </c>
      <c r="U29" s="39">
        <f t="shared" si="5"/>
        <v>1663392.857142857</v>
      </c>
      <c r="V29" s="4" t="s">
        <v>922</v>
      </c>
      <c r="W29" s="11" t="s">
        <v>923</v>
      </c>
      <c r="X29" s="4" t="s">
        <v>924</v>
      </c>
      <c r="Y29" s="4" t="s">
        <v>55</v>
      </c>
      <c r="Z29" s="11" t="s">
        <v>93</v>
      </c>
      <c r="AA29" s="65" t="s">
        <v>17</v>
      </c>
      <c r="AB29" s="4" t="s">
        <v>17</v>
      </c>
      <c r="AC29" s="4" t="s">
        <v>17</v>
      </c>
      <c r="AD29" s="4" t="s">
        <v>192</v>
      </c>
      <c r="AE29" s="4" t="s">
        <v>24</v>
      </c>
      <c r="AF29" s="4" t="s">
        <v>24</v>
      </c>
      <c r="AG29" s="4" t="s">
        <v>17</v>
      </c>
      <c r="AH29" s="4" t="s">
        <v>17</v>
      </c>
      <c r="AI29" s="4" t="s">
        <v>24</v>
      </c>
      <c r="AJ29" s="4" t="s">
        <v>24</v>
      </c>
      <c r="AK29" s="4" t="s">
        <v>24</v>
      </c>
      <c r="AL29" s="68"/>
      <c r="AM29" s="4" cm="1">
        <f t="array" ref="AM29">SUMPRODUCT((AA29:AK29&lt;&gt;"Pendiente")*(AA29:AK29&lt;&gt;""))</f>
        <v>11</v>
      </c>
      <c r="AN29" s="4">
        <f>COUNTA(Tabla256[[#This Row],[INVITACIÓN]:[ACTA DE INICIO]])</f>
        <v>11</v>
      </c>
      <c r="AO29" s="26">
        <f t="shared" si="2"/>
        <v>1</v>
      </c>
      <c r="AP29" s="47"/>
      <c r="AR29" s="10"/>
      <c r="AS29" s="10"/>
      <c r="AX29" s="10"/>
      <c r="BF29" s="4">
        <f>COUNTA(Tabla256[[#This Row],[(1)SOLICITUD DE  APERTURA FIRNANCIERA Y PRESUPUESTO 1 (FECHA) ]:[(15) FECHA DE CONTRATACIÓN ADMINISTRATIVO]])</f>
        <v>0</v>
      </c>
      <c r="BG29" s="26">
        <f>Tabla256[[#This Row],[NUMERO OK]]/15</f>
        <v>0</v>
      </c>
      <c r="BH29" s="4" t="str">
        <f t="shared" ca="1" si="3"/>
        <v>RiesgoAlto</v>
      </c>
      <c r="BI29" s="48"/>
      <c r="BQ29" s="8"/>
    </row>
    <row r="30" spans="1:69" ht="60">
      <c r="A30" s="9">
        <v>2024</v>
      </c>
      <c r="B30" s="35"/>
      <c r="C30" s="4" t="s">
        <v>17</v>
      </c>
      <c r="D30" s="4" t="s">
        <v>123</v>
      </c>
      <c r="E30" s="35" t="s">
        <v>17</v>
      </c>
      <c r="G30" s="10"/>
      <c r="H30" s="36">
        <v>45609</v>
      </c>
      <c r="I30" s="10">
        <v>45618</v>
      </c>
      <c r="J30" s="10">
        <v>45798</v>
      </c>
      <c r="K30" s="6" t="s">
        <v>925</v>
      </c>
      <c r="L30" s="4" t="s">
        <v>97</v>
      </c>
      <c r="M30" s="4" t="str">
        <f t="shared" ca="1" si="4"/>
        <v>FINALIZADO</v>
      </c>
      <c r="N30" s="4" t="s">
        <v>33</v>
      </c>
      <c r="O30" s="79" t="s">
        <v>926</v>
      </c>
      <c r="P30" s="37">
        <v>1500000000</v>
      </c>
      <c r="Q30" s="37"/>
      <c r="R30" s="37">
        <v>0</v>
      </c>
      <c r="S30" s="37"/>
      <c r="T30" s="75">
        <f t="shared" si="1"/>
        <v>1500000000</v>
      </c>
      <c r="U30" s="39">
        <f t="shared" si="5"/>
        <v>160714285.7142857</v>
      </c>
      <c r="V30" s="4" t="s">
        <v>927</v>
      </c>
      <c r="W30" s="11" t="s">
        <v>928</v>
      </c>
      <c r="X30" s="4" t="s">
        <v>65</v>
      </c>
      <c r="Y30" s="4" t="s">
        <v>22</v>
      </c>
      <c r="Z30" s="11" t="s">
        <v>33</v>
      </c>
      <c r="AA30" s="65" t="s">
        <v>24</v>
      </c>
      <c r="AB30" s="4" t="s">
        <v>17</v>
      </c>
      <c r="AC30" s="4" t="s">
        <v>24</v>
      </c>
      <c r="AD30" s="4" t="s">
        <v>192</v>
      </c>
      <c r="AE30" s="4" t="s">
        <v>17</v>
      </c>
      <c r="AF30" s="4" t="s">
        <v>24</v>
      </c>
      <c r="AG30" s="4" t="s">
        <v>24</v>
      </c>
      <c r="AH30" s="4" t="s">
        <v>17</v>
      </c>
      <c r="AI30" s="4" t="s">
        <v>24</v>
      </c>
      <c r="AJ30" s="4" t="s">
        <v>24</v>
      </c>
      <c r="AK30" s="4" t="s">
        <v>24</v>
      </c>
      <c r="AL30" s="68" t="s">
        <v>929</v>
      </c>
      <c r="AM30" s="4" cm="1">
        <f t="array" ref="AM30">SUMPRODUCT((AA30:AK30&lt;&gt;"Pendiente")*(AA30:AK30&lt;&gt;""))</f>
        <v>11</v>
      </c>
      <c r="AN30" s="4">
        <f>COUNTA(Tabla256[[#This Row],[INVITACIÓN]:[ACTA DE INICIO]])</f>
        <v>11</v>
      </c>
      <c r="AO30" s="26">
        <f t="shared" si="2"/>
        <v>1</v>
      </c>
      <c r="AP30" s="47"/>
      <c r="AR30" s="10"/>
      <c r="AS30" s="10"/>
      <c r="AX30" s="10"/>
      <c r="BF30" s="4">
        <f>COUNTA(Tabla256[[#This Row],[(1)SOLICITUD DE  APERTURA FIRNANCIERA Y PRESUPUESTO 1 (FECHA) ]:[(15) FECHA DE CONTRATACIÓN ADMINISTRATIVO]])</f>
        <v>0</v>
      </c>
      <c r="BG30" s="26">
        <f>Tabla256[[#This Row],[NUMERO OK]]/15</f>
        <v>0</v>
      </c>
      <c r="BH30" s="4" t="str">
        <f t="shared" ca="1" si="3"/>
        <v>RiesgoAlto</v>
      </c>
      <c r="BI30" s="48"/>
      <c r="BQ30" s="8"/>
    </row>
    <row r="31" spans="1:69" ht="185.25">
      <c r="A31" s="9">
        <v>2024</v>
      </c>
      <c r="B31" s="35"/>
      <c r="C31" s="4" t="s">
        <v>163</v>
      </c>
      <c r="D31" s="4" t="s">
        <v>123</v>
      </c>
      <c r="E31" s="35"/>
      <c r="G31" s="10"/>
      <c r="H31" s="36">
        <v>45609</v>
      </c>
      <c r="I31" s="10">
        <v>45616</v>
      </c>
      <c r="J31" s="10">
        <v>45805</v>
      </c>
      <c r="K31" s="6" t="s">
        <v>930</v>
      </c>
      <c r="L31" s="4" t="s">
        <v>97</v>
      </c>
      <c r="M31" s="4" t="str">
        <f t="shared" ca="1" si="4"/>
        <v>FINALIZADO</v>
      </c>
      <c r="N31" s="4" t="s">
        <v>21</v>
      </c>
      <c r="O31" s="79" t="s">
        <v>931</v>
      </c>
      <c r="P31" s="37">
        <v>1078997482</v>
      </c>
      <c r="Q31" s="37"/>
      <c r="R31" s="37">
        <v>0</v>
      </c>
      <c r="S31" s="37"/>
      <c r="T31" s="75">
        <f t="shared" si="1"/>
        <v>1078997482</v>
      </c>
      <c r="U31" s="39">
        <f t="shared" si="5"/>
        <v>115606873.07142855</v>
      </c>
      <c r="V31" s="4" t="s">
        <v>932</v>
      </c>
      <c r="W31" s="11" t="s">
        <v>192</v>
      </c>
      <c r="X31" s="4" t="s">
        <v>933</v>
      </c>
      <c r="Y31" s="4" t="s">
        <v>22</v>
      </c>
      <c r="Z31" s="11" t="s">
        <v>23</v>
      </c>
      <c r="AA31" s="65" t="s">
        <v>17</v>
      </c>
      <c r="AB31" s="4" t="s">
        <v>24</v>
      </c>
      <c r="AC31" s="4" t="s">
        <v>17</v>
      </c>
      <c r="AD31" s="4" t="s">
        <v>24</v>
      </c>
      <c r="AE31" s="4" t="s">
        <v>17</v>
      </c>
      <c r="AF31" s="4" t="s">
        <v>934</v>
      </c>
      <c r="AG31" s="4" t="s">
        <v>24</v>
      </c>
      <c r="AH31" s="4" t="s">
        <v>24</v>
      </c>
      <c r="AI31" s="4" t="s">
        <v>24</v>
      </c>
      <c r="AJ31" s="4" t="s">
        <v>24</v>
      </c>
      <c r="AK31" s="4" t="s">
        <v>24</v>
      </c>
      <c r="AL31" s="8" t="s">
        <v>935</v>
      </c>
      <c r="AM31" s="4" cm="1">
        <f t="array" ref="AM31">SUMPRODUCT((AA31:AK31&lt;&gt;"Pendiente")*(AA31:AK31&lt;&gt;""))</f>
        <v>11</v>
      </c>
      <c r="AN31" s="4">
        <f>COUNTA(Tabla256[[#This Row],[INVITACIÓN]:[ACTA DE INICIO]])</f>
        <v>11</v>
      </c>
      <c r="AO31" s="26">
        <f t="shared" si="2"/>
        <v>1</v>
      </c>
      <c r="AP31" s="47">
        <v>45608</v>
      </c>
      <c r="AQ31" s="10">
        <v>45693</v>
      </c>
      <c r="BF31" s="4">
        <f>COUNTA(Tabla256[[#This Row],[(1)SOLICITUD DE  APERTURA FIRNANCIERA Y PRESUPUESTO 1 (FECHA) ]:[(15) FECHA DE CONTRATACIÓN ADMINISTRATIVO]])</f>
        <v>2</v>
      </c>
      <c r="BG31" s="26">
        <f>Tabla256[[#This Row],[NUMERO OK]]/15</f>
        <v>0.13333333333333333</v>
      </c>
      <c r="BH31" s="4" t="str">
        <f t="shared" ca="1" si="3"/>
        <v>RiesgoAlto</v>
      </c>
      <c r="BI31" s="48"/>
      <c r="BQ31" s="8"/>
    </row>
    <row r="32" spans="1:69" ht="71.25">
      <c r="A32" s="9">
        <v>2024</v>
      </c>
      <c r="C32" s="4" t="s">
        <v>17</v>
      </c>
      <c r="G32" s="10"/>
      <c r="H32" s="62">
        <v>45615</v>
      </c>
      <c r="I32" s="10">
        <v>45624</v>
      </c>
      <c r="J32" s="10">
        <v>45715</v>
      </c>
      <c r="K32" s="6" t="s">
        <v>1160</v>
      </c>
      <c r="L32" s="4" t="s">
        <v>97</v>
      </c>
      <c r="M32" s="4" t="str">
        <f t="shared" ca="1" si="4"/>
        <v>FINALIZADO</v>
      </c>
      <c r="N32" s="4" t="s">
        <v>21</v>
      </c>
      <c r="O32" s="79" t="s">
        <v>1161</v>
      </c>
      <c r="P32" s="37">
        <v>9600000</v>
      </c>
      <c r="Q32" s="37"/>
      <c r="R32" s="37">
        <v>0</v>
      </c>
      <c r="S32" s="37"/>
      <c r="T32" s="75">
        <f t="shared" si="1"/>
        <v>9600000</v>
      </c>
      <c r="U32" s="39">
        <f t="shared" si="5"/>
        <v>1028571.4285714285</v>
      </c>
      <c r="V32" s="4"/>
      <c r="W32" s="4" t="s">
        <v>1162</v>
      </c>
      <c r="X32" s="4" t="s">
        <v>39</v>
      </c>
      <c r="Y32" s="4" t="s">
        <v>22</v>
      </c>
      <c r="Z32" s="4" t="s">
        <v>23</v>
      </c>
      <c r="AA32" s="65" t="s">
        <v>24</v>
      </c>
      <c r="AB32" s="4" t="s">
        <v>24</v>
      </c>
      <c r="AC32" s="4" t="s">
        <v>17</v>
      </c>
      <c r="AD32" s="4" t="s">
        <v>24</v>
      </c>
      <c r="AE32" s="4" t="s">
        <v>17</v>
      </c>
      <c r="AF32" s="4" t="s">
        <v>24</v>
      </c>
      <c r="AG32" s="4" t="s">
        <v>24</v>
      </c>
      <c r="AH32" s="4" t="s">
        <v>17</v>
      </c>
      <c r="AI32" s="4" t="s">
        <v>24</v>
      </c>
      <c r="AJ32" s="4" t="s">
        <v>24</v>
      </c>
      <c r="AK32" s="4" t="s">
        <v>24</v>
      </c>
      <c r="AL32" s="8" t="s">
        <v>1163</v>
      </c>
      <c r="AM32" s="4" cm="1">
        <f t="array" ref="AM32">SUMPRODUCT((AA32:AK32&lt;&gt;"Pendiente")*(AA32:AK32&lt;&gt;""))</f>
        <v>11</v>
      </c>
      <c r="AN32" s="4">
        <f>COUNTA(Tabla256[[#This Row],[INVITACIÓN]:[ACTA DE INICIO]])</f>
        <v>11</v>
      </c>
      <c r="AO32" s="26">
        <f t="shared" si="2"/>
        <v>1</v>
      </c>
      <c r="AP32" s="47"/>
      <c r="BF32" s="4">
        <f>COUNTA(Tabla256[[#This Row],[(1)SOLICITUD DE  APERTURA FIRNANCIERA Y PRESUPUESTO 1 (FECHA) ]:[(15) FECHA DE CONTRATACIÓN ADMINISTRATIVO]])</f>
        <v>0</v>
      </c>
      <c r="BG32" s="26">
        <f>Tabla256[[#This Row],[NUMERO OK]]/15</f>
        <v>0</v>
      </c>
      <c r="BH32" s="4" t="str">
        <f t="shared" ca="1" si="3"/>
        <v>RiesgoAlto</v>
      </c>
      <c r="BI32" s="48"/>
      <c r="BQ32" s="8"/>
    </row>
    <row r="33" spans="1:69" ht="85.5">
      <c r="A33" s="9">
        <v>2024</v>
      </c>
      <c r="B33" s="35"/>
      <c r="C33" s="4" t="s">
        <v>163</v>
      </c>
      <c r="D33" s="4" t="s">
        <v>135</v>
      </c>
      <c r="E33" s="35" t="s">
        <v>936</v>
      </c>
      <c r="G33" s="10"/>
      <c r="H33" s="36">
        <v>45623</v>
      </c>
      <c r="I33" s="10">
        <v>45653</v>
      </c>
      <c r="J33" s="10">
        <v>45864</v>
      </c>
      <c r="K33" s="6" t="s">
        <v>937</v>
      </c>
      <c r="L33" s="4" t="s">
        <v>97</v>
      </c>
      <c r="M33" s="4" t="str">
        <f t="shared" ca="1" si="4"/>
        <v>FINALIZADO</v>
      </c>
      <c r="N33" s="4" t="s">
        <v>44</v>
      </c>
      <c r="O33" s="79" t="s">
        <v>938</v>
      </c>
      <c r="P33" s="37">
        <v>1418446006</v>
      </c>
      <c r="Q33" s="37"/>
      <c r="R33" s="37">
        <v>0</v>
      </c>
      <c r="S33" s="37"/>
      <c r="T33" s="75">
        <f t="shared" si="1"/>
        <v>1418446006</v>
      </c>
      <c r="U33" s="39">
        <f t="shared" si="5"/>
        <v>151976357.78571427</v>
      </c>
      <c r="V33" s="4" t="s">
        <v>939</v>
      </c>
      <c r="W33" s="11" t="s">
        <v>940</v>
      </c>
      <c r="X33" s="4" t="s">
        <v>72</v>
      </c>
      <c r="Y33" s="4" t="s">
        <v>941</v>
      </c>
      <c r="Z33" s="11" t="s">
        <v>23</v>
      </c>
      <c r="AA33" s="65" t="s">
        <v>17</v>
      </c>
      <c r="AB33" s="4" t="s">
        <v>24</v>
      </c>
      <c r="AC33" s="4" t="s">
        <v>24</v>
      </c>
      <c r="AD33" s="4" t="s">
        <v>192</v>
      </c>
      <c r="AE33" s="4" t="s">
        <v>17</v>
      </c>
      <c r="AF33" s="4" t="s">
        <v>24</v>
      </c>
      <c r="AG33" s="4" t="s">
        <v>24</v>
      </c>
      <c r="AH33" s="4" t="s">
        <v>17</v>
      </c>
      <c r="AI33" s="4" t="s">
        <v>24</v>
      </c>
      <c r="AJ33" s="4" t="s">
        <v>24</v>
      </c>
      <c r="AK33" s="4" t="s">
        <v>24</v>
      </c>
      <c r="AL33" s="68" t="s">
        <v>192</v>
      </c>
      <c r="AM33" s="4" cm="1">
        <f t="array" ref="AM33">SUMPRODUCT((AA33:AK33&lt;&gt;"Pendiente")*(AA33:AK33&lt;&gt;""))</f>
        <v>11</v>
      </c>
      <c r="AN33" s="4">
        <f>COUNTA(Tabla256[[#This Row],[INVITACIÓN]:[ACTA DE INICIO]])</f>
        <v>11</v>
      </c>
      <c r="AO33" s="26">
        <f t="shared" si="2"/>
        <v>1</v>
      </c>
      <c r="AP33" s="47">
        <v>45631</v>
      </c>
      <c r="AQ33" s="4" t="s">
        <v>832</v>
      </c>
      <c r="AR33" s="10">
        <v>45636</v>
      </c>
      <c r="AS33" s="10">
        <v>45642</v>
      </c>
      <c r="AT33" s="4" t="s">
        <v>942</v>
      </c>
      <c r="AU33" s="4" t="s">
        <v>943</v>
      </c>
      <c r="AV33" s="4" t="s">
        <v>944</v>
      </c>
      <c r="AW33" s="4" t="s">
        <v>832</v>
      </c>
      <c r="AX33" s="10">
        <v>45653</v>
      </c>
      <c r="AY33" s="4" t="s">
        <v>832</v>
      </c>
      <c r="AZ33" s="10">
        <v>45650</v>
      </c>
      <c r="BA33" s="10">
        <v>45651</v>
      </c>
      <c r="BB33" s="10">
        <v>45651</v>
      </c>
      <c r="BC33" s="10">
        <v>45652</v>
      </c>
      <c r="BD33" s="10">
        <v>45652</v>
      </c>
      <c r="BE33" s="4" t="s">
        <v>945</v>
      </c>
      <c r="BF33" s="4">
        <f>COUNTA(Tabla256[[#This Row],[(1)SOLICITUD DE  APERTURA FIRNANCIERA Y PRESUPUESTO 1 (FECHA) ]:[(15) FECHA DE CONTRATACIÓN ADMINISTRATIVO]])</f>
        <v>15</v>
      </c>
      <c r="BG33" s="26">
        <f>Tabla256[[#This Row],[NUMERO OK]]/15</f>
        <v>1</v>
      </c>
      <c r="BH33" s="4" t="str">
        <f t="shared" ca="1" si="3"/>
        <v>Cumplido</v>
      </c>
      <c r="BI33" s="48"/>
      <c r="BQ33" s="8"/>
    </row>
    <row r="34" spans="1:69" ht="57">
      <c r="A34" s="9">
        <v>2024</v>
      </c>
      <c r="B34" s="35"/>
      <c r="C34" s="4" t="s">
        <v>17</v>
      </c>
      <c r="D34" s="4" t="s">
        <v>123</v>
      </c>
      <c r="E34" s="35" t="s">
        <v>17</v>
      </c>
      <c r="G34" s="10"/>
      <c r="H34" s="36">
        <v>45630</v>
      </c>
      <c r="I34" s="10">
        <v>45632</v>
      </c>
      <c r="J34" s="10">
        <v>45991</v>
      </c>
      <c r="K34" s="6" t="s">
        <v>954</v>
      </c>
      <c r="L34" s="4" t="s">
        <v>97</v>
      </c>
      <c r="M34" s="4" t="str">
        <f t="shared" ca="1" si="4"/>
        <v>EN EJECUCIÓN</v>
      </c>
      <c r="N34" s="4" t="s">
        <v>874</v>
      </c>
      <c r="O34" s="79" t="s">
        <v>463</v>
      </c>
      <c r="P34" s="37">
        <v>845530500</v>
      </c>
      <c r="Q34" s="37"/>
      <c r="R34" s="37">
        <v>0</v>
      </c>
      <c r="S34" s="37"/>
      <c r="T34" s="75">
        <f t="shared" si="1"/>
        <v>845530500</v>
      </c>
      <c r="U34" s="39">
        <f t="shared" si="5"/>
        <v>90592553.571428567</v>
      </c>
      <c r="V34" s="4" t="s">
        <v>955</v>
      </c>
      <c r="W34" s="11" t="s">
        <v>956</v>
      </c>
      <c r="X34" s="4" t="s">
        <v>290</v>
      </c>
      <c r="Y34" s="4" t="s">
        <v>22</v>
      </c>
      <c r="Z34" s="11" t="s">
        <v>21</v>
      </c>
      <c r="AA34" s="65" t="s">
        <v>24</v>
      </c>
      <c r="AB34" s="4" t="s">
        <v>24</v>
      </c>
      <c r="AC34" s="4" t="s">
        <v>17</v>
      </c>
      <c r="AD34" s="4" t="s">
        <v>192</v>
      </c>
      <c r="AE34" s="4" t="s">
        <v>17</v>
      </c>
      <c r="AF34" s="4" t="s">
        <v>24</v>
      </c>
      <c r="AG34" s="4" t="s">
        <v>24</v>
      </c>
      <c r="AH34" s="4" t="s">
        <v>24</v>
      </c>
      <c r="AI34" s="4" t="s">
        <v>24</v>
      </c>
      <c r="AJ34" s="4" t="s">
        <v>24</v>
      </c>
      <c r="AK34" s="4" t="s">
        <v>24</v>
      </c>
      <c r="AL34" s="8" t="s">
        <v>957</v>
      </c>
      <c r="AM34" s="4" cm="1">
        <f t="array" ref="AM34">SUMPRODUCT((AA34:AK34&lt;&gt;"Pendiente")*(AA34:AK34&lt;&gt;""))</f>
        <v>11</v>
      </c>
      <c r="AN34" s="4">
        <f>COUNTA(Tabla256[[#This Row],[INVITACIÓN]:[ACTA DE INICIO]])</f>
        <v>11</v>
      </c>
      <c r="AO34" s="26">
        <f t="shared" si="2"/>
        <v>1</v>
      </c>
      <c r="AP34" s="47"/>
      <c r="AR34" s="10"/>
      <c r="AS34" s="10"/>
      <c r="AX34" s="10"/>
      <c r="BF34" s="4">
        <f>COUNTA(Tabla256[[#This Row],[(1)SOLICITUD DE  APERTURA FIRNANCIERA Y PRESUPUESTO 1 (FECHA) ]:[(15) FECHA DE CONTRATACIÓN ADMINISTRATIVO]])</f>
        <v>0</v>
      </c>
      <c r="BG34" s="26">
        <f>Tabla256[[#This Row],[NUMERO OK]]/15</f>
        <v>0</v>
      </c>
      <c r="BH34" s="4" t="str">
        <f t="shared" ca="1" si="3"/>
        <v>RiesgoAlto</v>
      </c>
      <c r="BI34" s="48"/>
      <c r="BQ34" s="8"/>
    </row>
    <row r="35" spans="1:69" ht="57">
      <c r="A35" s="9">
        <v>2024</v>
      </c>
      <c r="B35" s="35"/>
      <c r="C35" s="4" t="s">
        <v>164</v>
      </c>
      <c r="D35" s="4" t="s">
        <v>123</v>
      </c>
      <c r="E35" s="35" t="s">
        <v>936</v>
      </c>
      <c r="G35" s="10"/>
      <c r="H35" s="36">
        <v>45630</v>
      </c>
      <c r="I35" s="10">
        <v>45636</v>
      </c>
      <c r="J35" s="10">
        <v>45754</v>
      </c>
      <c r="K35" s="6" t="s">
        <v>946</v>
      </c>
      <c r="L35" s="4" t="s">
        <v>97</v>
      </c>
      <c r="M35" s="4" t="str">
        <f t="shared" ca="1" si="4"/>
        <v>FINALIZADO</v>
      </c>
      <c r="N35" s="4" t="s">
        <v>44</v>
      </c>
      <c r="O35" s="79" t="s">
        <v>947</v>
      </c>
      <c r="P35" s="37">
        <v>126672629.87</v>
      </c>
      <c r="Q35" s="37"/>
      <c r="R35" s="37">
        <v>0</v>
      </c>
      <c r="S35" s="37"/>
      <c r="T35" s="75">
        <f t="shared" ref="T35:T66" si="6">P35+R35</f>
        <v>126672629.87</v>
      </c>
      <c r="U35" s="39">
        <f t="shared" si="5"/>
        <v>13572067.486071426</v>
      </c>
      <c r="V35" s="4" t="s">
        <v>948</v>
      </c>
      <c r="W35" s="11" t="s">
        <v>949</v>
      </c>
      <c r="X35" s="4" t="s">
        <v>950</v>
      </c>
      <c r="Y35" s="4" t="s">
        <v>22</v>
      </c>
      <c r="Z35" s="11" t="s">
        <v>23</v>
      </c>
      <c r="AA35" s="65" t="s">
        <v>17</v>
      </c>
      <c r="AB35" s="4" t="s">
        <v>24</v>
      </c>
      <c r="AC35" s="4" t="s">
        <v>24</v>
      </c>
      <c r="AD35" s="4" t="s">
        <v>192</v>
      </c>
      <c r="AE35" s="4" t="s">
        <v>17</v>
      </c>
      <c r="AF35" s="4" t="s">
        <v>24</v>
      </c>
      <c r="AG35" s="4" t="s">
        <v>24</v>
      </c>
      <c r="AH35" s="4" t="s">
        <v>24</v>
      </c>
      <c r="AI35" s="4" t="s">
        <v>24</v>
      </c>
      <c r="AJ35" s="4" t="s">
        <v>24</v>
      </c>
      <c r="AK35" s="4" t="s">
        <v>24</v>
      </c>
      <c r="AL35" s="68" t="s">
        <v>951</v>
      </c>
      <c r="AM35" s="4" cm="1">
        <f t="array" ref="AM35">SUMPRODUCT((AA35:AK35&lt;&gt;"Pendiente")*(AA35:AK35&lt;&gt;""))</f>
        <v>11</v>
      </c>
      <c r="AN35" s="4">
        <f>COUNTA(Tabla256[[#This Row],[INVITACIÓN]:[ACTA DE INICIO]])</f>
        <v>11</v>
      </c>
      <c r="AO35" s="26">
        <f t="shared" ref="AO35:AO66" si="7">AM35/AN35</f>
        <v>1</v>
      </c>
      <c r="AP35" s="47">
        <v>45631</v>
      </c>
      <c r="AQ35" s="10">
        <v>45635</v>
      </c>
      <c r="AR35" s="10">
        <v>45636</v>
      </c>
      <c r="AS35" s="10"/>
      <c r="AT35" s="4" t="s">
        <v>952</v>
      </c>
      <c r="AU35" s="4" t="s">
        <v>943</v>
      </c>
      <c r="AV35" s="4" t="s">
        <v>953</v>
      </c>
      <c r="AW35" s="4" t="s">
        <v>832</v>
      </c>
      <c r="AX35" s="10">
        <v>45636</v>
      </c>
      <c r="AY35" s="4" t="s">
        <v>832</v>
      </c>
      <c r="AZ35" s="10">
        <v>45649</v>
      </c>
      <c r="BA35" s="10">
        <v>45649</v>
      </c>
      <c r="BB35" s="10">
        <v>45649</v>
      </c>
      <c r="BC35" s="10">
        <v>45671</v>
      </c>
      <c r="BD35" s="10">
        <v>45685</v>
      </c>
      <c r="BE35" s="4" t="s">
        <v>945</v>
      </c>
      <c r="BF35" s="4">
        <f>COUNTA(Tabla256[[#This Row],[(1)SOLICITUD DE  APERTURA FIRNANCIERA Y PRESUPUESTO 1 (FECHA) ]:[(15) FECHA DE CONTRATACIÓN ADMINISTRATIVO]])</f>
        <v>14</v>
      </c>
      <c r="BG35" s="26">
        <f>Tabla256[[#This Row],[NUMERO OK]]/15</f>
        <v>0.93333333333333335</v>
      </c>
      <c r="BH35" s="4" t="str">
        <f t="shared" ref="BH35:BH66" ca="1" si="8">IF(ISBLANK(I35),"N/A",
   IF(TODAY()-I35&lt;=15,
      IF(BG35=100%,"EnTiempos","EnProceso"),
      IF(BG35&lt;80%,"RiesgoAlto",
         IF(BG35&lt;100%,"RiesgoMedio","Cumplido")
      )
   )
)</f>
        <v>RiesgoMedio</v>
      </c>
      <c r="BI35" s="48"/>
      <c r="BQ35" s="8"/>
    </row>
    <row r="36" spans="1:69" ht="42.75">
      <c r="A36" s="9">
        <v>2024</v>
      </c>
      <c r="B36" s="35"/>
      <c r="C36" s="4" t="s">
        <v>167</v>
      </c>
      <c r="D36" s="4" t="s">
        <v>127</v>
      </c>
      <c r="E36" s="35" t="s">
        <v>958</v>
      </c>
      <c r="F36" s="4" t="s">
        <v>14</v>
      </c>
      <c r="G36" s="10"/>
      <c r="H36" s="36">
        <v>45635</v>
      </c>
      <c r="I36" s="10">
        <v>45698</v>
      </c>
      <c r="J36" s="10">
        <v>45787</v>
      </c>
      <c r="K36" s="6" t="s">
        <v>959</v>
      </c>
      <c r="L36" s="4" t="s">
        <v>97</v>
      </c>
      <c r="M36" s="4" t="str">
        <f t="shared" ca="1" si="4"/>
        <v>FINALIZADO</v>
      </c>
      <c r="N36" s="4" t="s">
        <v>33</v>
      </c>
      <c r="O36" s="79" t="s">
        <v>333</v>
      </c>
      <c r="P36" s="37">
        <v>471353344</v>
      </c>
      <c r="Q36" s="37"/>
      <c r="R36" s="37">
        <v>0</v>
      </c>
      <c r="S36" s="37"/>
      <c r="T36" s="75">
        <f t="shared" si="6"/>
        <v>471353344</v>
      </c>
      <c r="U36" s="39">
        <f t="shared" si="5"/>
        <v>50502143.999999993</v>
      </c>
      <c r="V36" s="4" t="s">
        <v>960</v>
      </c>
      <c r="W36" s="11" t="s">
        <v>961</v>
      </c>
      <c r="X36" s="4" t="s">
        <v>39</v>
      </c>
      <c r="Y36" s="4" t="s">
        <v>22</v>
      </c>
      <c r="Z36" s="11" t="s">
        <v>23</v>
      </c>
      <c r="AA36" s="65" t="s">
        <v>17</v>
      </c>
      <c r="AB36" s="4" t="s">
        <v>24</v>
      </c>
      <c r="AC36" s="4" t="s">
        <v>24</v>
      </c>
      <c r="AD36" s="4" t="s">
        <v>192</v>
      </c>
      <c r="AE36" s="4" t="s">
        <v>17</v>
      </c>
      <c r="AF36" s="4" t="s">
        <v>24</v>
      </c>
      <c r="AG36" s="4" t="s">
        <v>24</v>
      </c>
      <c r="AH36" s="4" t="s">
        <v>24</v>
      </c>
      <c r="AI36" s="4" t="s">
        <v>24</v>
      </c>
      <c r="AJ36" s="4" t="s">
        <v>24</v>
      </c>
      <c r="AK36" s="4" t="s">
        <v>24</v>
      </c>
      <c r="AL36" s="68" t="s">
        <v>962</v>
      </c>
      <c r="AM36" s="4" cm="1">
        <f t="array" ref="AM36">SUMPRODUCT((AA36:AK36&lt;&gt;"Pendiente")*(AA36:AK36&lt;&gt;""))</f>
        <v>11</v>
      </c>
      <c r="AN36" s="4">
        <f>COUNTA(Tabla256[[#This Row],[INVITACIÓN]:[ACTA DE INICIO]])</f>
        <v>11</v>
      </c>
      <c r="AO36" s="26">
        <f t="shared" si="7"/>
        <v>1</v>
      </c>
      <c r="AP36" s="47">
        <v>45644</v>
      </c>
      <c r="AQ36" s="10">
        <v>45693</v>
      </c>
      <c r="AR36" s="10">
        <v>45686</v>
      </c>
      <c r="AS36" s="10">
        <v>45681</v>
      </c>
      <c r="AT36" s="4" t="s">
        <v>963</v>
      </c>
      <c r="AU36" s="4" t="s">
        <v>964</v>
      </c>
      <c r="AV36" s="4" t="s">
        <v>965</v>
      </c>
      <c r="AW36" s="10">
        <v>45721</v>
      </c>
      <c r="AX36" s="73">
        <v>45749</v>
      </c>
      <c r="AY36" s="4" t="s">
        <v>966</v>
      </c>
      <c r="AZ36" s="10">
        <v>45321</v>
      </c>
      <c r="BA36" s="10">
        <v>45699</v>
      </c>
      <c r="BB36" s="10">
        <v>45745</v>
      </c>
      <c r="BC36" s="60">
        <v>45749</v>
      </c>
      <c r="BD36" s="60">
        <v>45749</v>
      </c>
      <c r="BE36" s="60">
        <v>45753</v>
      </c>
      <c r="BF36" s="4">
        <f>COUNTA(Tabla256[[#This Row],[(1)SOLICITUD DE  APERTURA FIRNANCIERA Y PRESUPUESTO 1 (FECHA) ]:[(15) FECHA DE CONTRATACIÓN ADMINISTRATIVO]])</f>
        <v>15</v>
      </c>
      <c r="BG36" s="26">
        <f>Tabla256[[#This Row],[NUMERO OK]]/15</f>
        <v>1</v>
      </c>
      <c r="BH36" s="4" t="str">
        <f t="shared" ca="1" si="8"/>
        <v>Cumplido</v>
      </c>
      <c r="BI36" s="48"/>
      <c r="BQ36" s="8"/>
    </row>
    <row r="37" spans="1:69" ht="128.25">
      <c r="A37" s="9">
        <v>2024</v>
      </c>
      <c r="B37" s="35"/>
      <c r="C37" s="4" t="s">
        <v>162</v>
      </c>
      <c r="D37" s="4" t="s">
        <v>127</v>
      </c>
      <c r="E37" s="35" t="s">
        <v>104</v>
      </c>
      <c r="G37" s="10"/>
      <c r="H37" s="36">
        <v>45636</v>
      </c>
      <c r="I37" s="10">
        <v>45646</v>
      </c>
      <c r="J37" s="10">
        <v>45802</v>
      </c>
      <c r="K37" s="6" t="s">
        <v>967</v>
      </c>
      <c r="L37" s="4" t="s">
        <v>97</v>
      </c>
      <c r="M37" s="4" t="str">
        <f t="shared" ca="1" si="4"/>
        <v>FINALIZADO</v>
      </c>
      <c r="N37" s="4" t="s">
        <v>33</v>
      </c>
      <c r="O37" s="79" t="s">
        <v>968</v>
      </c>
      <c r="P37" s="37">
        <v>305000000</v>
      </c>
      <c r="Q37" s="37"/>
      <c r="R37" s="37">
        <v>0</v>
      </c>
      <c r="S37" s="37"/>
      <c r="T37" s="75">
        <f t="shared" si="6"/>
        <v>305000000</v>
      </c>
      <c r="U37" s="39">
        <f t="shared" si="5"/>
        <v>32678571.428571425</v>
      </c>
      <c r="V37" s="4" t="s">
        <v>969</v>
      </c>
      <c r="W37" s="11" t="s">
        <v>970</v>
      </c>
      <c r="X37" s="4" t="s">
        <v>971</v>
      </c>
      <c r="Y37" s="4" t="s">
        <v>22</v>
      </c>
      <c r="Z37" s="11" t="s">
        <v>23</v>
      </c>
      <c r="AA37" s="65" t="s">
        <v>24</v>
      </c>
      <c r="AB37" s="4" t="s">
        <v>24</v>
      </c>
      <c r="AC37" s="4" t="s">
        <v>24</v>
      </c>
      <c r="AD37" s="4" t="s">
        <v>192</v>
      </c>
      <c r="AE37" s="4" t="s">
        <v>17</v>
      </c>
      <c r="AF37" s="4" t="s">
        <v>24</v>
      </c>
      <c r="AG37" s="4" t="s">
        <v>24</v>
      </c>
      <c r="AH37" s="4" t="s">
        <v>24</v>
      </c>
      <c r="AI37" s="4" t="s">
        <v>24</v>
      </c>
      <c r="AJ37" s="4" t="s">
        <v>24</v>
      </c>
      <c r="AK37" s="4" t="s">
        <v>24</v>
      </c>
      <c r="AL37" s="68" t="s">
        <v>972</v>
      </c>
      <c r="AM37" s="4" cm="1">
        <f t="array" ref="AM37">SUMPRODUCT((AA37:AK37&lt;&gt;"Pendiente")*(AA37:AK37&lt;&gt;""))</f>
        <v>11</v>
      </c>
      <c r="AN37" s="4">
        <f>COUNTA(Tabla256[[#This Row],[INVITACIÓN]:[ACTA DE INICIO]])</f>
        <v>11</v>
      </c>
      <c r="AO37" s="26">
        <f t="shared" si="7"/>
        <v>1</v>
      </c>
      <c r="AP37" s="47">
        <v>45644</v>
      </c>
      <c r="AQ37" s="10">
        <v>45496</v>
      </c>
      <c r="AR37" s="10">
        <v>45712</v>
      </c>
      <c r="AS37" s="10">
        <v>45712</v>
      </c>
      <c r="AT37" s="4" t="s">
        <v>973</v>
      </c>
      <c r="AU37" s="4" t="s">
        <v>974</v>
      </c>
      <c r="AV37" s="4" t="s">
        <v>832</v>
      </c>
      <c r="AW37" s="10">
        <v>45705</v>
      </c>
      <c r="AX37" s="10">
        <v>45706</v>
      </c>
      <c r="AY37" s="4" t="s">
        <v>975</v>
      </c>
      <c r="AZ37" s="10">
        <v>45732</v>
      </c>
      <c r="BA37" s="10">
        <v>45734</v>
      </c>
      <c r="BB37" s="4" t="s">
        <v>832</v>
      </c>
      <c r="BC37" s="10">
        <v>45734</v>
      </c>
      <c r="BD37" s="4" t="s">
        <v>832</v>
      </c>
      <c r="BE37" s="4" t="s">
        <v>976</v>
      </c>
      <c r="BF37" s="4">
        <f>COUNTA(Tabla256[[#This Row],[(1)SOLICITUD DE  APERTURA FIRNANCIERA Y PRESUPUESTO 1 (FECHA) ]:[(15) FECHA DE CONTRATACIÓN ADMINISTRATIVO]])</f>
        <v>15</v>
      </c>
      <c r="BG37" s="26">
        <f>Tabla256[[#This Row],[NUMERO OK]]/15</f>
        <v>1</v>
      </c>
      <c r="BH37" s="4" t="str">
        <f t="shared" ca="1" si="8"/>
        <v>Cumplido</v>
      </c>
      <c r="BI37" s="48"/>
      <c r="BQ37" s="8"/>
    </row>
    <row r="38" spans="1:69" ht="85.5">
      <c r="A38" s="9">
        <v>2024</v>
      </c>
      <c r="B38" s="35"/>
      <c r="C38" s="4" t="s">
        <v>164</v>
      </c>
      <c r="D38" s="4" t="s">
        <v>139</v>
      </c>
      <c r="E38" s="35" t="s">
        <v>104</v>
      </c>
      <c r="G38" s="10"/>
      <c r="H38" s="36">
        <v>45643</v>
      </c>
      <c r="I38" s="10">
        <v>45653</v>
      </c>
      <c r="J38" s="10">
        <v>45961</v>
      </c>
      <c r="K38" s="6" t="s">
        <v>984</v>
      </c>
      <c r="L38" s="4" t="s">
        <v>97</v>
      </c>
      <c r="M38" s="4" t="str">
        <f t="shared" ca="1" si="4"/>
        <v>EN EJECUCIÓN</v>
      </c>
      <c r="N38" s="4" t="s">
        <v>44</v>
      </c>
      <c r="O38" s="79" t="s">
        <v>985</v>
      </c>
      <c r="P38" s="37">
        <v>2150000000</v>
      </c>
      <c r="Q38" s="37"/>
      <c r="R38" s="37">
        <v>0</v>
      </c>
      <c r="S38" s="37"/>
      <c r="T38" s="75">
        <f t="shared" si="6"/>
        <v>2150000000</v>
      </c>
      <c r="U38" s="39">
        <f t="shared" si="5"/>
        <v>230357142.85714284</v>
      </c>
      <c r="V38" s="4" t="s">
        <v>986</v>
      </c>
      <c r="W38" s="11" t="s">
        <v>987</v>
      </c>
      <c r="X38" s="4" t="s">
        <v>988</v>
      </c>
      <c r="Y38" s="4" t="s">
        <v>22</v>
      </c>
      <c r="Z38" s="11" t="s">
        <v>23</v>
      </c>
      <c r="AA38" s="65" t="s">
        <v>24</v>
      </c>
      <c r="AB38" s="4" t="s">
        <v>24</v>
      </c>
      <c r="AC38" s="4" t="s">
        <v>24</v>
      </c>
      <c r="AD38" s="4" t="s">
        <v>192</v>
      </c>
      <c r="AE38" s="4" t="s">
        <v>17</v>
      </c>
      <c r="AF38" s="4" t="s">
        <v>24</v>
      </c>
      <c r="AG38" s="4" t="s">
        <v>24</v>
      </c>
      <c r="AH38" s="4" t="s">
        <v>24</v>
      </c>
      <c r="AI38" s="4" t="s">
        <v>24</v>
      </c>
      <c r="AJ38" s="4" t="s">
        <v>24</v>
      </c>
      <c r="AK38" s="4" t="s">
        <v>24</v>
      </c>
      <c r="AL38" s="68" t="s">
        <v>989</v>
      </c>
      <c r="AM38" s="4" cm="1">
        <f t="array" ref="AM38">SUMPRODUCT((AA38:AK38&lt;&gt;"Pendiente")*(AA38:AK38&lt;&gt;""))</f>
        <v>11</v>
      </c>
      <c r="AN38" s="4">
        <f>COUNTA(Tabla256[[#This Row],[INVITACIÓN]:[ACTA DE INICIO]])</f>
        <v>11</v>
      </c>
      <c r="AO38" s="26">
        <f t="shared" si="7"/>
        <v>1</v>
      </c>
      <c r="AP38" s="47">
        <v>45667</v>
      </c>
      <c r="AQ38" s="10">
        <v>45664</v>
      </c>
      <c r="AR38" s="10">
        <v>45709</v>
      </c>
      <c r="AS38" s="10">
        <v>45712</v>
      </c>
      <c r="AT38" s="4" t="s">
        <v>974</v>
      </c>
      <c r="AU38" s="4" t="s">
        <v>990</v>
      </c>
      <c r="AW38" s="10">
        <v>45694</v>
      </c>
      <c r="AX38" s="10">
        <v>45695</v>
      </c>
      <c r="AY38" s="4" t="s">
        <v>991</v>
      </c>
      <c r="BE38" s="4" t="s">
        <v>976</v>
      </c>
      <c r="BF38" s="4">
        <f>COUNTA(Tabla256[[#This Row],[(1)SOLICITUD DE  APERTURA FIRNANCIERA Y PRESUPUESTO 1 (FECHA) ]:[(15) FECHA DE CONTRATACIÓN ADMINISTRATIVO]])</f>
        <v>9</v>
      </c>
      <c r="BG38" s="26">
        <f>Tabla256[[#This Row],[NUMERO OK]]/15</f>
        <v>0.6</v>
      </c>
      <c r="BH38" s="4" t="str">
        <f t="shared" ca="1" si="8"/>
        <v>RiesgoAlto</v>
      </c>
      <c r="BI38" s="48"/>
      <c r="BQ38" s="8"/>
    </row>
    <row r="39" spans="1:69" ht="71.25">
      <c r="A39" s="9">
        <v>2024</v>
      </c>
      <c r="B39" s="35"/>
      <c r="C39" s="4" t="s">
        <v>164</v>
      </c>
      <c r="D39" s="4" t="s">
        <v>131</v>
      </c>
      <c r="E39" s="35" t="s">
        <v>104</v>
      </c>
      <c r="G39" s="10"/>
      <c r="H39" s="36">
        <v>45643</v>
      </c>
      <c r="I39" s="10">
        <v>45666</v>
      </c>
      <c r="J39" s="10">
        <v>45816</v>
      </c>
      <c r="K39" s="6" t="s">
        <v>977</v>
      </c>
      <c r="L39" s="4" t="s">
        <v>52</v>
      </c>
      <c r="M39" s="4" t="str">
        <f t="shared" ca="1" si="4"/>
        <v>FINALIZADO</v>
      </c>
      <c r="N39" s="4" t="s">
        <v>93</v>
      </c>
      <c r="O39" s="79" t="s">
        <v>978</v>
      </c>
      <c r="P39" s="37">
        <v>50894807</v>
      </c>
      <c r="Q39" s="37"/>
      <c r="R39" s="37">
        <v>15268442</v>
      </c>
      <c r="S39" s="37"/>
      <c r="T39" s="75">
        <f t="shared" si="6"/>
        <v>66163249</v>
      </c>
      <c r="U39" s="39">
        <f t="shared" si="5"/>
        <v>5453015.0357142854</v>
      </c>
      <c r="V39" s="4" t="s">
        <v>979</v>
      </c>
      <c r="W39" s="11" t="s">
        <v>980</v>
      </c>
      <c r="X39" s="4" t="s">
        <v>57</v>
      </c>
      <c r="Y39" s="4" t="s">
        <v>34</v>
      </c>
      <c r="Z39" s="11" t="s">
        <v>23</v>
      </c>
      <c r="AA39" s="65" t="s">
        <v>24</v>
      </c>
      <c r="AB39" s="4" t="s">
        <v>24</v>
      </c>
      <c r="AC39" s="4" t="s">
        <v>17</v>
      </c>
      <c r="AD39" s="4" t="s">
        <v>192</v>
      </c>
      <c r="AE39" s="4" t="s">
        <v>24</v>
      </c>
      <c r="AF39" s="4" t="s">
        <v>24</v>
      </c>
      <c r="AG39" s="4" t="s">
        <v>24</v>
      </c>
      <c r="AH39" s="4" t="s">
        <v>24</v>
      </c>
      <c r="AI39" s="4" t="s">
        <v>24</v>
      </c>
      <c r="AJ39" s="4" t="s">
        <v>24</v>
      </c>
      <c r="AK39" s="4" t="s">
        <v>24</v>
      </c>
      <c r="AL39" s="70" t="s">
        <v>981</v>
      </c>
      <c r="AM39" s="4" cm="1">
        <f t="array" ref="AM39">SUMPRODUCT((AA39:AK39&lt;&gt;"Pendiente")*(AA39:AK39&lt;&gt;""))</f>
        <v>11</v>
      </c>
      <c r="AN39" s="4">
        <f>COUNTA(Tabla256[[#This Row],[INVITACIÓN]:[ACTA DE INICIO]])</f>
        <v>11</v>
      </c>
      <c r="AO39" s="26">
        <f t="shared" si="7"/>
        <v>1</v>
      </c>
      <c r="AP39" s="47">
        <v>45667</v>
      </c>
      <c r="AQ39" s="10">
        <v>45701</v>
      </c>
      <c r="AR39" s="10"/>
      <c r="AS39" s="10">
        <v>45708</v>
      </c>
      <c r="AU39" s="29" t="s">
        <v>982</v>
      </c>
      <c r="AV39" s="4" t="s">
        <v>832</v>
      </c>
      <c r="AW39" s="10"/>
      <c r="AX39" s="10">
        <v>45748</v>
      </c>
      <c r="AY39" s="4" t="s">
        <v>983</v>
      </c>
      <c r="AZ39" s="10"/>
      <c r="BB39" s="4" t="s">
        <v>832</v>
      </c>
      <c r="BD39" s="4" t="s">
        <v>832</v>
      </c>
      <c r="BE39" s="4" t="s">
        <v>976</v>
      </c>
      <c r="BF39" s="4">
        <f>COUNTA(Tabla256[[#This Row],[(1)SOLICITUD DE  APERTURA FIRNANCIERA Y PRESUPUESTO 1 (FECHA) ]:[(15) FECHA DE CONTRATACIÓN ADMINISTRATIVO]])</f>
        <v>9</v>
      </c>
      <c r="BG39" s="26">
        <f>Tabla256[[#This Row],[NUMERO OK]]/15</f>
        <v>0.6</v>
      </c>
      <c r="BH39" s="4" t="str">
        <f t="shared" ca="1" si="8"/>
        <v>RiesgoAlto</v>
      </c>
      <c r="BI39" s="48"/>
      <c r="BQ39" s="8"/>
    </row>
    <row r="40" spans="1:69" ht="60">
      <c r="A40" s="9">
        <v>2024</v>
      </c>
      <c r="B40" s="35"/>
      <c r="C40" s="4" t="s">
        <v>166</v>
      </c>
      <c r="D40" s="4" t="s">
        <v>123</v>
      </c>
      <c r="E40" s="35" t="s">
        <v>992</v>
      </c>
      <c r="G40" s="10"/>
      <c r="H40" s="36">
        <v>45645</v>
      </c>
      <c r="I40" s="10">
        <v>45653</v>
      </c>
      <c r="J40" s="10">
        <v>45834</v>
      </c>
      <c r="K40" s="6" t="s">
        <v>993</v>
      </c>
      <c r="L40" s="4" t="s">
        <v>103</v>
      </c>
      <c r="M40" s="4" t="str">
        <f t="shared" ca="1" si="4"/>
        <v>FINALIZADO</v>
      </c>
      <c r="N40" s="4" t="s">
        <v>93</v>
      </c>
      <c r="O40" s="79" t="s">
        <v>685</v>
      </c>
      <c r="P40" s="37">
        <v>35550000</v>
      </c>
      <c r="Q40" s="37"/>
      <c r="R40" s="37">
        <v>0</v>
      </c>
      <c r="S40" s="37"/>
      <c r="T40" s="75">
        <f t="shared" si="6"/>
        <v>35550000</v>
      </c>
      <c r="U40" s="39">
        <f t="shared" si="5"/>
        <v>3808928.5714285709</v>
      </c>
      <c r="V40" s="4" t="s">
        <v>994</v>
      </c>
      <c r="W40" s="11" t="s">
        <v>995</v>
      </c>
      <c r="X40" s="4" t="s">
        <v>65</v>
      </c>
      <c r="Y40" s="4" t="s">
        <v>22</v>
      </c>
      <c r="Z40" s="11" t="s">
        <v>23</v>
      </c>
      <c r="AA40" s="65" t="s">
        <v>17</v>
      </c>
      <c r="AB40" s="4" t="s">
        <v>24</v>
      </c>
      <c r="AC40" s="4" t="s">
        <v>17</v>
      </c>
      <c r="AD40" s="4" t="s">
        <v>24</v>
      </c>
      <c r="AE40" s="4" t="s">
        <v>17</v>
      </c>
      <c r="AF40" s="4" t="s">
        <v>24</v>
      </c>
      <c r="AG40" s="4" t="s">
        <v>24</v>
      </c>
      <c r="AH40" s="4" t="s">
        <v>24</v>
      </c>
      <c r="AI40" s="4" t="s">
        <v>24</v>
      </c>
      <c r="AJ40" s="4" t="s">
        <v>24</v>
      </c>
      <c r="AK40" s="4" t="s">
        <v>24</v>
      </c>
      <c r="AL40" s="68" t="s">
        <v>192</v>
      </c>
      <c r="AM40" s="4" cm="1">
        <f t="array" ref="AM40">SUMPRODUCT((AA40:AK40&lt;&gt;"Pendiente")*(AA40:AK40&lt;&gt;""))</f>
        <v>11</v>
      </c>
      <c r="AN40" s="4">
        <f>COUNTA(Tabla256[[#This Row],[INVITACIÓN]:[ACTA DE INICIO]])</f>
        <v>11</v>
      </c>
      <c r="AO40" s="26">
        <f t="shared" si="7"/>
        <v>1</v>
      </c>
      <c r="AP40" s="47">
        <v>45652</v>
      </c>
      <c r="AQ40" s="10">
        <v>45701</v>
      </c>
      <c r="AR40" s="10">
        <v>45689</v>
      </c>
      <c r="AS40" s="10">
        <v>45692</v>
      </c>
      <c r="AT40" s="4" t="s">
        <v>996</v>
      </c>
      <c r="AU40" s="4" t="s">
        <v>997</v>
      </c>
      <c r="AV40" s="4" t="s">
        <v>998</v>
      </c>
      <c r="AW40" s="10">
        <v>45677</v>
      </c>
      <c r="AX40" s="10">
        <v>45677</v>
      </c>
      <c r="AY40" s="4" t="s">
        <v>999</v>
      </c>
      <c r="AZ40" s="10">
        <v>45705</v>
      </c>
      <c r="BA40" s="10">
        <v>45693</v>
      </c>
      <c r="BB40" s="10">
        <v>45693</v>
      </c>
      <c r="BC40" s="10">
        <v>45708</v>
      </c>
      <c r="BD40" s="10">
        <v>45708</v>
      </c>
      <c r="BE40" s="4" t="s">
        <v>976</v>
      </c>
      <c r="BF40" s="4">
        <f>COUNTA(Tabla256[[#This Row],[(1)SOLICITUD DE  APERTURA FIRNANCIERA Y PRESUPUESTO 1 (FECHA) ]:[(15) FECHA DE CONTRATACIÓN ADMINISTRATIVO]])</f>
        <v>15</v>
      </c>
      <c r="BG40" s="26">
        <f>Tabla256[[#This Row],[NUMERO OK]]/15</f>
        <v>1</v>
      </c>
      <c r="BH40" s="4" t="str">
        <f t="shared" ca="1" si="8"/>
        <v>Cumplido</v>
      </c>
      <c r="BI40" s="48"/>
      <c r="BQ40" s="8"/>
    </row>
    <row r="41" spans="1:69" ht="85.5">
      <c r="A41" s="9">
        <v>2024</v>
      </c>
      <c r="B41" s="35"/>
      <c r="C41" s="4" t="s">
        <v>17</v>
      </c>
      <c r="D41" s="4" t="s">
        <v>123</v>
      </c>
      <c r="E41" s="35" t="s">
        <v>17</v>
      </c>
      <c r="F41" s="4" t="s">
        <v>17</v>
      </c>
      <c r="G41" s="10"/>
      <c r="H41" s="36">
        <v>45649</v>
      </c>
      <c r="I41" s="10">
        <v>45653</v>
      </c>
      <c r="J41" s="10">
        <v>45742</v>
      </c>
      <c r="K41" s="6" t="s">
        <v>1000</v>
      </c>
      <c r="L41" s="4" t="s">
        <v>18</v>
      </c>
      <c r="M41" s="4" t="str">
        <f t="shared" ca="1" si="4"/>
        <v>FINALIZADO</v>
      </c>
      <c r="N41" s="4" t="s">
        <v>93</v>
      </c>
      <c r="O41" s="79" t="s">
        <v>1001</v>
      </c>
      <c r="P41" s="37">
        <v>259168000</v>
      </c>
      <c r="Q41" s="37"/>
      <c r="R41" s="37">
        <v>23140000</v>
      </c>
      <c r="S41" s="37"/>
      <c r="T41" s="75">
        <f t="shared" si="6"/>
        <v>282308000</v>
      </c>
      <c r="U41" s="39">
        <f t="shared" si="5"/>
        <v>27767999.999999996</v>
      </c>
      <c r="V41" s="4" t="s">
        <v>1002</v>
      </c>
      <c r="W41" s="11" t="s">
        <v>1003</v>
      </c>
      <c r="X41" s="4" t="s">
        <v>39</v>
      </c>
      <c r="Y41" s="4" t="s">
        <v>34</v>
      </c>
      <c r="Z41" s="11" t="s">
        <v>93</v>
      </c>
      <c r="AA41" s="65" t="s">
        <v>17</v>
      </c>
      <c r="AB41" s="4" t="s">
        <v>17</v>
      </c>
      <c r="AC41" s="4" t="s">
        <v>24</v>
      </c>
      <c r="AD41" s="4" t="s">
        <v>24</v>
      </c>
      <c r="AE41" s="4" t="s">
        <v>17</v>
      </c>
      <c r="AF41" s="4" t="s">
        <v>24</v>
      </c>
      <c r="AG41" s="4" t="s">
        <v>24</v>
      </c>
      <c r="AH41" s="4" t="s">
        <v>24</v>
      </c>
      <c r="AI41" s="4" t="s">
        <v>24</v>
      </c>
      <c r="AJ41" s="4" t="s">
        <v>24</v>
      </c>
      <c r="AK41" s="4" t="s">
        <v>24</v>
      </c>
      <c r="AL41" s="68"/>
      <c r="AM41" s="4" cm="1">
        <f t="array" ref="AM41">SUMPRODUCT((AA41:AK41&lt;&gt;"Pendiente")*(AA41:AK41&lt;&gt;""))</f>
        <v>11</v>
      </c>
      <c r="AN41" s="4">
        <f>COUNTA(Tabla256[[#This Row],[INVITACIÓN]:[ACTA DE INICIO]])</f>
        <v>11</v>
      </c>
      <c r="AO41" s="26">
        <f t="shared" si="7"/>
        <v>1</v>
      </c>
      <c r="AP41" s="47"/>
      <c r="AR41" s="10"/>
      <c r="AS41" s="10"/>
      <c r="AX41" s="10"/>
      <c r="BF41" s="4">
        <f>COUNTA(Tabla256[[#This Row],[(1)SOLICITUD DE  APERTURA FIRNANCIERA Y PRESUPUESTO 1 (FECHA) ]:[(15) FECHA DE CONTRATACIÓN ADMINISTRATIVO]])</f>
        <v>0</v>
      </c>
      <c r="BG41" s="26">
        <f>Tabla256[[#This Row],[NUMERO OK]]/15</f>
        <v>0</v>
      </c>
      <c r="BH41" s="4" t="str">
        <f t="shared" ca="1" si="8"/>
        <v>RiesgoAlto</v>
      </c>
      <c r="BI41" s="48"/>
      <c r="BQ41" s="8"/>
    </row>
    <row r="42" spans="1:69" ht="85.5">
      <c r="A42" s="9">
        <v>2024</v>
      </c>
      <c r="B42" s="35"/>
      <c r="C42" s="4" t="s">
        <v>163</v>
      </c>
      <c r="D42" s="4" t="s">
        <v>131</v>
      </c>
      <c r="E42" s="35" t="s">
        <v>1004</v>
      </c>
      <c r="G42" s="10"/>
      <c r="H42" s="36">
        <v>45650</v>
      </c>
      <c r="I42" s="10">
        <v>45712</v>
      </c>
      <c r="J42" s="10">
        <v>46014</v>
      </c>
      <c r="K42" s="6" t="s">
        <v>1005</v>
      </c>
      <c r="L42" s="4" t="s">
        <v>97</v>
      </c>
      <c r="M42" s="4" t="str">
        <f t="shared" ca="1" si="4"/>
        <v>EN EJECUCIÓN</v>
      </c>
      <c r="N42" s="4" t="s">
        <v>93</v>
      </c>
      <c r="O42" s="79" t="s">
        <v>1006</v>
      </c>
      <c r="P42" s="37">
        <v>2827080133</v>
      </c>
      <c r="Q42" s="37"/>
      <c r="R42" s="37">
        <v>0</v>
      </c>
      <c r="S42" s="37"/>
      <c r="T42" s="75">
        <f t="shared" si="6"/>
        <v>2827080133</v>
      </c>
      <c r="U42" s="39">
        <f t="shared" si="5"/>
        <v>302901442.82142854</v>
      </c>
      <c r="V42" s="4" t="s">
        <v>1007</v>
      </c>
      <c r="W42" s="11" t="s">
        <v>1008</v>
      </c>
      <c r="X42" s="4" t="s">
        <v>89</v>
      </c>
      <c r="Y42" s="4" t="s">
        <v>22</v>
      </c>
      <c r="Z42" s="11" t="s">
        <v>23</v>
      </c>
      <c r="AA42" s="65" t="s">
        <v>934</v>
      </c>
      <c r="AB42" s="4" t="s">
        <v>24</v>
      </c>
      <c r="AC42" s="4" t="s">
        <v>24</v>
      </c>
      <c r="AD42" s="4" t="s">
        <v>24</v>
      </c>
      <c r="AE42" s="4" t="s">
        <v>17</v>
      </c>
      <c r="AF42" s="4" t="s">
        <v>24</v>
      </c>
      <c r="AG42" s="4" t="s">
        <v>24</v>
      </c>
      <c r="AH42" s="4" t="s">
        <v>24</v>
      </c>
      <c r="AI42" s="4" t="s">
        <v>24</v>
      </c>
      <c r="AJ42" s="4" t="s">
        <v>24</v>
      </c>
      <c r="AK42" s="4" t="s">
        <v>24</v>
      </c>
      <c r="AL42" s="68" t="s">
        <v>1009</v>
      </c>
      <c r="AM42" s="4" cm="1">
        <f t="array" ref="AM42">SUMPRODUCT((AA42:AK42&lt;&gt;"Pendiente")*(AA42:AK42&lt;&gt;""))</f>
        <v>11</v>
      </c>
      <c r="AN42" s="4">
        <f>COUNTA(Tabla256[[#This Row],[INVITACIÓN]:[ACTA DE INICIO]])</f>
        <v>11</v>
      </c>
      <c r="AO42" s="26">
        <f t="shared" si="7"/>
        <v>1</v>
      </c>
      <c r="AP42" s="47">
        <v>45666</v>
      </c>
      <c r="AQ42" s="10">
        <v>45701</v>
      </c>
      <c r="AR42" s="10">
        <v>45720</v>
      </c>
      <c r="AS42" s="10"/>
      <c r="AT42" s="43" t="s">
        <v>1010</v>
      </c>
      <c r="AU42" s="4" t="s">
        <v>1011</v>
      </c>
      <c r="AV42" s="43" t="s">
        <v>1012</v>
      </c>
      <c r="AW42" s="10">
        <v>45681</v>
      </c>
      <c r="AX42" s="10">
        <v>45695</v>
      </c>
      <c r="AY42" s="163" t="s">
        <v>1013</v>
      </c>
      <c r="BE42" s="4" t="s">
        <v>976</v>
      </c>
      <c r="BF42" s="4">
        <f>COUNTA(Tabla256[[#This Row],[(1)SOLICITUD DE  APERTURA FIRNANCIERA Y PRESUPUESTO 1 (FECHA) ]:[(15) FECHA DE CONTRATACIÓN ADMINISTRATIVO]])</f>
        <v>9</v>
      </c>
      <c r="BG42" s="26">
        <f>Tabla256[[#This Row],[NUMERO OK]]/15</f>
        <v>0.6</v>
      </c>
      <c r="BH42" s="4" t="str">
        <f t="shared" ca="1" si="8"/>
        <v>RiesgoAlto</v>
      </c>
      <c r="BI42" s="48" t="s">
        <v>37</v>
      </c>
      <c r="BQ42" s="8"/>
    </row>
    <row r="43" spans="1:69" ht="99.75">
      <c r="A43" s="9">
        <v>2024</v>
      </c>
      <c r="B43" s="35"/>
      <c r="C43" s="4" t="s">
        <v>167</v>
      </c>
      <c r="D43" s="4" t="s">
        <v>127</v>
      </c>
      <c r="E43" s="35" t="s">
        <v>1004</v>
      </c>
      <c r="G43" s="10"/>
      <c r="H43" s="36">
        <v>45652</v>
      </c>
      <c r="I43" s="10">
        <v>45691</v>
      </c>
      <c r="J43" s="10">
        <v>45932</v>
      </c>
      <c r="K43" s="6" t="s">
        <v>1014</v>
      </c>
      <c r="L43" s="4" t="s">
        <v>97</v>
      </c>
      <c r="M43" s="4" t="str">
        <f t="shared" ref="M43:M74" ca="1" si="9">IF(J43="", "SUSCRITO", IF(J43&lt;=TODAY(), "FINALIZADO", "EN EJECUCIÓN"))</f>
        <v>EN EJECUCIÓN</v>
      </c>
      <c r="N43" s="4" t="s">
        <v>99</v>
      </c>
      <c r="O43" s="79" t="s">
        <v>1006</v>
      </c>
      <c r="P43" s="37">
        <v>2438185998</v>
      </c>
      <c r="Q43" s="37"/>
      <c r="R43" s="37">
        <v>0</v>
      </c>
      <c r="S43" s="37"/>
      <c r="T43" s="75">
        <f t="shared" si="6"/>
        <v>2438185998</v>
      </c>
      <c r="U43" s="39">
        <f t="shared" si="5"/>
        <v>261234214.07142854</v>
      </c>
      <c r="V43" s="4" t="s">
        <v>1015</v>
      </c>
      <c r="W43" s="11" t="s">
        <v>1016</v>
      </c>
      <c r="X43" s="4" t="s">
        <v>78</v>
      </c>
      <c r="Y43" s="4" t="s">
        <v>22</v>
      </c>
      <c r="Z43" s="11" t="s">
        <v>23</v>
      </c>
      <c r="AA43" s="65" t="s">
        <v>17</v>
      </c>
      <c r="AB43" s="4" t="s">
        <v>24</v>
      </c>
      <c r="AC43" s="4" t="s">
        <v>24</v>
      </c>
      <c r="AD43" s="4" t="s">
        <v>24</v>
      </c>
      <c r="AE43" s="4" t="s">
        <v>17</v>
      </c>
      <c r="AF43" s="4" t="s">
        <v>24</v>
      </c>
      <c r="AG43" s="4" t="s">
        <v>24</v>
      </c>
      <c r="AH43" s="4" t="s">
        <v>24</v>
      </c>
      <c r="AI43" s="4" t="s">
        <v>24</v>
      </c>
      <c r="AJ43" s="4" t="s">
        <v>24</v>
      </c>
      <c r="AK43" s="4" t="s">
        <v>24</v>
      </c>
      <c r="AL43" s="8" t="s">
        <v>1009</v>
      </c>
      <c r="AM43" s="4" cm="1">
        <f t="array" ref="AM43">SUMPRODUCT((AA43:AK43&lt;&gt;"Pendiente")*(AA43:AK43&lt;&gt;""))</f>
        <v>11</v>
      </c>
      <c r="AN43" s="4">
        <f>COUNTA(Tabla256[[#This Row],[INVITACIÓN]:[ACTA DE INICIO]])</f>
        <v>11</v>
      </c>
      <c r="AO43" s="26">
        <f t="shared" si="7"/>
        <v>1</v>
      </c>
      <c r="AP43" s="47">
        <v>45667</v>
      </c>
      <c r="AQ43" s="10">
        <v>45701</v>
      </c>
      <c r="AR43" s="10">
        <v>45715</v>
      </c>
      <c r="AS43" s="10">
        <v>45705</v>
      </c>
      <c r="AT43" s="4" t="s">
        <v>1017</v>
      </c>
      <c r="AU43" s="4" t="s">
        <v>1018</v>
      </c>
      <c r="AV43" s="4" t="s">
        <v>1019</v>
      </c>
      <c r="AW43" s="10">
        <v>45693</v>
      </c>
      <c r="AX43" s="10">
        <v>45695</v>
      </c>
      <c r="AY43" s="4" t="s">
        <v>1020</v>
      </c>
      <c r="AZ43" s="10">
        <v>45719</v>
      </c>
      <c r="BA43" s="10">
        <v>45733</v>
      </c>
      <c r="BB43" s="10">
        <v>45736</v>
      </c>
      <c r="BC43" s="10">
        <v>45736</v>
      </c>
      <c r="BD43" s="10">
        <v>45736</v>
      </c>
      <c r="BE43" s="4" t="s">
        <v>1021</v>
      </c>
      <c r="BF43" s="4">
        <f>COUNTA(Tabla256[[#This Row],[(1)SOLICITUD DE  APERTURA FIRNANCIERA Y PRESUPUESTO 1 (FECHA) ]:[(15) FECHA DE CONTRATACIÓN ADMINISTRATIVO]])</f>
        <v>15</v>
      </c>
      <c r="BG43" s="26">
        <f>Tabla256[[#This Row],[NUMERO OK]]/15</f>
        <v>1</v>
      </c>
      <c r="BH43" s="4" t="str">
        <f t="shared" ca="1" si="8"/>
        <v>Cumplido</v>
      </c>
      <c r="BI43" s="48" t="s">
        <v>25</v>
      </c>
      <c r="BQ43" s="8"/>
    </row>
    <row r="44" spans="1:69" ht="57">
      <c r="A44" s="9">
        <v>2024</v>
      </c>
      <c r="B44" s="35"/>
      <c r="C44" s="4" t="s">
        <v>167</v>
      </c>
      <c r="D44" s="4" t="s">
        <v>135</v>
      </c>
      <c r="E44" s="35" t="s">
        <v>958</v>
      </c>
      <c r="G44" s="10"/>
      <c r="H44" s="36">
        <v>45652</v>
      </c>
      <c r="I44" s="10">
        <v>45693</v>
      </c>
      <c r="J44" s="10">
        <v>45995</v>
      </c>
      <c r="K44" s="6" t="s">
        <v>1030</v>
      </c>
      <c r="L44" s="4" t="s">
        <v>97</v>
      </c>
      <c r="M44" s="4" t="str">
        <f t="shared" ca="1" si="9"/>
        <v>EN EJECUCIÓN</v>
      </c>
      <c r="N44" s="4" t="s">
        <v>54</v>
      </c>
      <c r="O44" s="79" t="s">
        <v>1023</v>
      </c>
      <c r="P44" s="37">
        <v>2400000000</v>
      </c>
      <c r="Q44" s="37"/>
      <c r="R44" s="37">
        <v>0</v>
      </c>
      <c r="S44" s="37"/>
      <c r="T44" s="75">
        <f t="shared" si="6"/>
        <v>2400000000</v>
      </c>
      <c r="U44" s="39">
        <f t="shared" si="5"/>
        <v>257142857.1428571</v>
      </c>
      <c r="V44" s="4" t="s">
        <v>1031</v>
      </c>
      <c r="W44" s="11" t="s">
        <v>1032</v>
      </c>
      <c r="X44" s="4" t="s">
        <v>89</v>
      </c>
      <c r="Y44" s="4" t="s">
        <v>22</v>
      </c>
      <c r="Z44" s="11" t="s">
        <v>23</v>
      </c>
      <c r="AA44" s="65" t="s">
        <v>24</v>
      </c>
      <c r="AB44" s="4" t="s">
        <v>24</v>
      </c>
      <c r="AC44" s="4" t="s">
        <v>24</v>
      </c>
      <c r="AD44" s="4" t="s">
        <v>24</v>
      </c>
      <c r="AE44" s="4" t="s">
        <v>17</v>
      </c>
      <c r="AF44" s="4" t="s">
        <v>24</v>
      </c>
      <c r="AG44" s="4" t="s">
        <v>24</v>
      </c>
      <c r="AH44" s="4" t="s">
        <v>24</v>
      </c>
      <c r="AI44" s="4" t="s">
        <v>24</v>
      </c>
      <c r="AJ44" s="4" t="s">
        <v>24</v>
      </c>
      <c r="AK44" s="4" t="s">
        <v>24</v>
      </c>
      <c r="AL44" s="68" t="s">
        <v>981</v>
      </c>
      <c r="AM44" s="4" cm="1">
        <f t="array" ref="AM44">SUMPRODUCT((AA44:AK44&lt;&gt;"Pendiente")*(AA44:AK44&lt;&gt;""))</f>
        <v>11</v>
      </c>
      <c r="AN44" s="4">
        <f>COUNTA(Tabla256[[#This Row],[INVITACIÓN]:[ACTA DE INICIO]])</f>
        <v>11</v>
      </c>
      <c r="AO44" s="26">
        <f t="shared" si="7"/>
        <v>1</v>
      </c>
      <c r="AP44" s="47">
        <v>45667</v>
      </c>
      <c r="AQ44" s="10">
        <v>45693</v>
      </c>
      <c r="AR44" s="10">
        <v>45715</v>
      </c>
      <c r="AS44" s="10">
        <v>45705</v>
      </c>
      <c r="AT44" s="4" t="s">
        <v>1033</v>
      </c>
      <c r="AU44" s="4" t="s">
        <v>1034</v>
      </c>
      <c r="AV44" s="4" t="s">
        <v>1035</v>
      </c>
      <c r="AW44" s="10">
        <v>45681</v>
      </c>
      <c r="AX44" s="10">
        <v>45692</v>
      </c>
      <c r="AY44" s="4" t="s">
        <v>1036</v>
      </c>
      <c r="AZ44" s="10">
        <v>45721</v>
      </c>
      <c r="BA44" s="10">
        <v>45356</v>
      </c>
      <c r="BB44" s="10">
        <v>45356</v>
      </c>
      <c r="BC44" s="59">
        <v>45362</v>
      </c>
      <c r="BD44" s="59">
        <v>45362</v>
      </c>
      <c r="BE44" s="4" t="s">
        <v>976</v>
      </c>
      <c r="BF44" s="4">
        <f>COUNTA(Tabla256[[#This Row],[(1)SOLICITUD DE  APERTURA FIRNANCIERA Y PRESUPUESTO 1 (FECHA) ]:[(15) FECHA DE CONTRATACIÓN ADMINISTRATIVO]])</f>
        <v>15</v>
      </c>
      <c r="BG44" s="26">
        <f>Tabla256[[#This Row],[NUMERO OK]]/15</f>
        <v>1</v>
      </c>
      <c r="BH44" s="4" t="str">
        <f t="shared" ca="1" si="8"/>
        <v>Cumplido</v>
      </c>
      <c r="BI44" s="48"/>
      <c r="BQ44" s="8"/>
    </row>
    <row r="45" spans="1:69" ht="71.25">
      <c r="A45" s="9">
        <v>2024</v>
      </c>
      <c r="B45" s="35"/>
      <c r="C45" s="4" t="s">
        <v>166</v>
      </c>
      <c r="D45" s="4" t="s">
        <v>135</v>
      </c>
      <c r="E45" s="35" t="s">
        <v>958</v>
      </c>
      <c r="G45" s="10"/>
      <c r="H45" s="36">
        <v>45652</v>
      </c>
      <c r="I45" s="10">
        <v>45698</v>
      </c>
      <c r="J45" s="10">
        <v>45970</v>
      </c>
      <c r="K45" s="6" t="s">
        <v>1022</v>
      </c>
      <c r="L45" s="4" t="s">
        <v>97</v>
      </c>
      <c r="M45" s="4" t="str">
        <f t="shared" ca="1" si="9"/>
        <v>EN EJECUCIÓN</v>
      </c>
      <c r="N45" s="4" t="s">
        <v>54</v>
      </c>
      <c r="O45" s="79" t="s">
        <v>1023</v>
      </c>
      <c r="P45" s="37">
        <v>1150000000</v>
      </c>
      <c r="Q45" s="37"/>
      <c r="R45" s="37">
        <v>0</v>
      </c>
      <c r="S45" s="37"/>
      <c r="T45" s="75">
        <f t="shared" si="6"/>
        <v>1150000000</v>
      </c>
      <c r="U45" s="39">
        <f t="shared" si="5"/>
        <v>123214285.7142857</v>
      </c>
      <c r="V45" s="4" t="s">
        <v>1024</v>
      </c>
      <c r="W45" s="11" t="s">
        <v>1025</v>
      </c>
      <c r="X45" s="4" t="s">
        <v>84</v>
      </c>
      <c r="Y45" s="4" t="s">
        <v>22</v>
      </c>
      <c r="Z45" s="11" t="s">
        <v>23</v>
      </c>
      <c r="AA45" s="65" t="s">
        <v>24</v>
      </c>
      <c r="AB45" s="4" t="s">
        <v>24</v>
      </c>
      <c r="AC45" s="4" t="s">
        <v>24</v>
      </c>
      <c r="AD45" s="4" t="s">
        <v>24</v>
      </c>
      <c r="AE45" s="4" t="s">
        <v>17</v>
      </c>
      <c r="AF45" s="4" t="s">
        <v>24</v>
      </c>
      <c r="AG45" s="4" t="s">
        <v>24</v>
      </c>
      <c r="AH45" s="4" t="s">
        <v>24</v>
      </c>
      <c r="AI45" s="4" t="s">
        <v>24</v>
      </c>
      <c r="AJ45" s="4" t="s">
        <v>24</v>
      </c>
      <c r="AK45" s="4" t="s">
        <v>24</v>
      </c>
      <c r="AL45" s="68" t="s">
        <v>981</v>
      </c>
      <c r="AM45" s="4" cm="1">
        <f t="array" ref="AM45">SUMPRODUCT((AA45:AK45&lt;&gt;"Pendiente")*(AA45:AK45&lt;&gt;""))</f>
        <v>11</v>
      </c>
      <c r="AN45" s="4">
        <f>COUNTA(Tabla256[[#This Row],[INVITACIÓN]:[ACTA DE INICIO]])</f>
        <v>11</v>
      </c>
      <c r="AO45" s="26">
        <f t="shared" si="7"/>
        <v>1</v>
      </c>
      <c r="AP45" s="47">
        <v>45666</v>
      </c>
      <c r="AQ45" s="10">
        <v>45693</v>
      </c>
      <c r="AR45" s="10">
        <v>45722</v>
      </c>
      <c r="AS45" s="10">
        <v>45705</v>
      </c>
      <c r="AT45" s="4" t="s">
        <v>1026</v>
      </c>
      <c r="AU45" s="4" t="s">
        <v>1027</v>
      </c>
      <c r="AV45" s="4" t="s">
        <v>1028</v>
      </c>
      <c r="AW45" s="10">
        <v>45687</v>
      </c>
      <c r="AX45" s="10">
        <v>45692</v>
      </c>
      <c r="AY45" s="4" t="s">
        <v>1029</v>
      </c>
      <c r="AZ45" s="10">
        <v>45721</v>
      </c>
      <c r="BA45" s="10">
        <v>45356</v>
      </c>
      <c r="BB45" s="10">
        <v>45356</v>
      </c>
      <c r="BC45" s="60">
        <v>45741</v>
      </c>
      <c r="BD45" s="60">
        <v>45741</v>
      </c>
      <c r="BE45" s="4" t="s">
        <v>976</v>
      </c>
      <c r="BF45" s="4">
        <f>COUNTA(Tabla256[[#This Row],[(1)SOLICITUD DE  APERTURA FIRNANCIERA Y PRESUPUESTO 1 (FECHA) ]:[(15) FECHA DE CONTRATACIÓN ADMINISTRATIVO]])</f>
        <v>15</v>
      </c>
      <c r="BG45" s="26">
        <f>Tabla256[[#This Row],[NUMERO OK]]/15</f>
        <v>1</v>
      </c>
      <c r="BH45" s="4" t="str">
        <f t="shared" ca="1" si="8"/>
        <v>Cumplido</v>
      </c>
      <c r="BJ45" s="9"/>
      <c r="BQ45" s="8"/>
    </row>
    <row r="46" spans="1:69" ht="99.75">
      <c r="A46" s="9">
        <v>2024</v>
      </c>
      <c r="B46" s="35"/>
      <c r="C46" s="4" t="s">
        <v>166</v>
      </c>
      <c r="D46" s="4" t="s">
        <v>135</v>
      </c>
      <c r="E46" s="35" t="s">
        <v>104</v>
      </c>
      <c r="G46" s="10"/>
      <c r="H46" s="36">
        <v>45653</v>
      </c>
      <c r="I46" s="10">
        <v>45701</v>
      </c>
      <c r="J46" s="10">
        <v>45912</v>
      </c>
      <c r="K46" s="6" t="s">
        <v>1037</v>
      </c>
      <c r="L46" s="4" t="s">
        <v>97</v>
      </c>
      <c r="M46" s="4" t="str">
        <f t="shared" ca="1" si="9"/>
        <v>EN EJECUCIÓN</v>
      </c>
      <c r="N46" s="4" t="s">
        <v>99</v>
      </c>
      <c r="O46" s="79" t="s">
        <v>1038</v>
      </c>
      <c r="P46" s="37">
        <v>1257683000</v>
      </c>
      <c r="Q46" s="37"/>
      <c r="R46" s="37">
        <v>0</v>
      </c>
      <c r="S46" s="37"/>
      <c r="T46" s="75">
        <f t="shared" si="6"/>
        <v>1257683000</v>
      </c>
      <c r="U46" s="39">
        <f t="shared" si="5"/>
        <v>134751750</v>
      </c>
      <c r="V46" s="4" t="s">
        <v>1039</v>
      </c>
      <c r="W46" s="11" t="s">
        <v>1040</v>
      </c>
      <c r="X46" s="4" t="s">
        <v>72</v>
      </c>
      <c r="Y46" s="4" t="s">
        <v>22</v>
      </c>
      <c r="Z46" s="11" t="s">
        <v>23</v>
      </c>
      <c r="AA46" s="65" t="s">
        <v>17</v>
      </c>
      <c r="AB46" s="4" t="s">
        <v>24</v>
      </c>
      <c r="AC46" s="4" t="s">
        <v>24</v>
      </c>
      <c r="AD46" s="4" t="s">
        <v>934</v>
      </c>
      <c r="AE46" s="4" t="s">
        <v>17</v>
      </c>
      <c r="AF46" s="4" t="s">
        <v>24</v>
      </c>
      <c r="AG46" s="4" t="s">
        <v>24</v>
      </c>
      <c r="AH46" s="4" t="s">
        <v>24</v>
      </c>
      <c r="AI46" s="4" t="s">
        <v>24</v>
      </c>
      <c r="AJ46" s="4" t="s">
        <v>24</v>
      </c>
      <c r="AK46" s="4" t="s">
        <v>24</v>
      </c>
      <c r="AL46" s="68" t="s">
        <v>981</v>
      </c>
      <c r="AM46" s="4" cm="1">
        <f t="array" ref="AM46">SUMPRODUCT((AA46:AK46&lt;&gt;"Pendiente")*(AA46:AK46&lt;&gt;""))</f>
        <v>11</v>
      </c>
      <c r="AN46" s="4">
        <f>COUNTA(Tabla256[[#This Row],[INVITACIÓN]:[ACTA DE INICIO]])</f>
        <v>11</v>
      </c>
      <c r="AO46" s="26">
        <f t="shared" si="7"/>
        <v>1</v>
      </c>
      <c r="AP46" s="47">
        <v>45666</v>
      </c>
      <c r="AQ46" s="10">
        <v>45701</v>
      </c>
      <c r="AR46" s="10">
        <v>45715</v>
      </c>
      <c r="AS46" s="10">
        <v>45705</v>
      </c>
      <c r="AT46" s="4" t="s">
        <v>1041</v>
      </c>
      <c r="AU46" s="4" t="s">
        <v>1042</v>
      </c>
      <c r="AV46" s="4" t="s">
        <v>1043</v>
      </c>
      <c r="AW46" s="10">
        <v>45741</v>
      </c>
      <c r="AX46" s="10">
        <v>45741</v>
      </c>
      <c r="AY46" s="4" t="s">
        <v>1044</v>
      </c>
      <c r="AZ46" s="10">
        <v>45722</v>
      </c>
      <c r="BA46" s="10">
        <v>45747</v>
      </c>
      <c r="BB46" s="10"/>
      <c r="BC46" s="10"/>
      <c r="BE46" s="4" t="s">
        <v>976</v>
      </c>
      <c r="BF46" s="4">
        <f>COUNTA(Tabla256[[#This Row],[(1)SOLICITUD DE  APERTURA FIRNANCIERA Y PRESUPUESTO 1 (FECHA) ]:[(15) FECHA DE CONTRATACIÓN ADMINISTRATIVO]])</f>
        <v>12</v>
      </c>
      <c r="BG46" s="26">
        <f>Tabla256[[#This Row],[NUMERO OK]]/15</f>
        <v>0.8</v>
      </c>
      <c r="BH46" s="4" t="str">
        <f t="shared" ca="1" si="8"/>
        <v>RiesgoMedio</v>
      </c>
      <c r="BJ46" s="9"/>
      <c r="BQ46" s="8"/>
    </row>
    <row r="47" spans="1:69" ht="71.25">
      <c r="A47" s="9">
        <v>2024</v>
      </c>
      <c r="B47" s="35"/>
      <c r="C47" s="4" t="s">
        <v>168</v>
      </c>
      <c r="D47" s="4" t="s">
        <v>123</v>
      </c>
      <c r="E47" s="35" t="s">
        <v>992</v>
      </c>
      <c r="G47" s="10"/>
      <c r="H47" s="36">
        <v>45656</v>
      </c>
      <c r="I47" s="10">
        <v>45692</v>
      </c>
      <c r="J47" s="10">
        <v>46025</v>
      </c>
      <c r="K47" s="6" t="s">
        <v>1094</v>
      </c>
      <c r="L47" s="4" t="s">
        <v>97</v>
      </c>
      <c r="M47" s="4" t="str">
        <f t="shared" ca="1" si="9"/>
        <v>EN EJECUCIÓN</v>
      </c>
      <c r="N47" s="4" t="s">
        <v>54</v>
      </c>
      <c r="O47" s="79" t="s">
        <v>913</v>
      </c>
      <c r="P47" s="37">
        <v>7314957291</v>
      </c>
      <c r="Q47" s="37"/>
      <c r="R47" s="37">
        <v>365747850</v>
      </c>
      <c r="S47" s="37"/>
      <c r="T47" s="75">
        <f t="shared" si="6"/>
        <v>7680705141</v>
      </c>
      <c r="U47" s="39">
        <f t="shared" si="5"/>
        <v>783745424.03571415</v>
      </c>
      <c r="V47" s="4" t="s">
        <v>1095</v>
      </c>
      <c r="W47" s="11" t="s">
        <v>1096</v>
      </c>
      <c r="X47" s="4" t="s">
        <v>95</v>
      </c>
      <c r="Y47" s="4" t="s">
        <v>34</v>
      </c>
      <c r="Z47" s="11" t="s">
        <v>23</v>
      </c>
      <c r="AA47" s="65" t="s">
        <v>17</v>
      </c>
      <c r="AB47" s="4" t="s">
        <v>24</v>
      </c>
      <c r="AC47" s="4" t="s">
        <v>24</v>
      </c>
      <c r="AD47" s="4" t="s">
        <v>192</v>
      </c>
      <c r="AE47" s="4" t="s">
        <v>17</v>
      </c>
      <c r="AF47" s="4" t="s">
        <v>24</v>
      </c>
      <c r="AG47" s="4" t="s">
        <v>24</v>
      </c>
      <c r="AH47" s="4" t="s">
        <v>24</v>
      </c>
      <c r="AI47" s="4" t="s">
        <v>24</v>
      </c>
      <c r="AJ47" s="4" t="s">
        <v>24</v>
      </c>
      <c r="AK47" s="4" t="s">
        <v>24</v>
      </c>
      <c r="AL47" s="68" t="s">
        <v>192</v>
      </c>
      <c r="AM47" s="4" cm="1">
        <f t="array" ref="AM47">SUMPRODUCT((AA47:AK47&lt;&gt;"Pendiente")*(AA47:AK47&lt;&gt;""))</f>
        <v>11</v>
      </c>
      <c r="AN47" s="4">
        <f>COUNTA(Tabla256[[#This Row],[INVITACIÓN]:[ACTA DE INICIO]])</f>
        <v>11</v>
      </c>
      <c r="AO47" s="26">
        <f t="shared" si="7"/>
        <v>1</v>
      </c>
      <c r="AP47" s="47">
        <v>45705</v>
      </c>
      <c r="AQ47" s="10">
        <v>45712</v>
      </c>
      <c r="AR47" s="10">
        <v>45715</v>
      </c>
      <c r="AS47" s="10">
        <v>45719</v>
      </c>
      <c r="AT47" s="4" t="s">
        <v>1097</v>
      </c>
      <c r="AU47" s="4" t="s">
        <v>1098</v>
      </c>
      <c r="AV47" s="4" t="s">
        <v>1099</v>
      </c>
      <c r="AW47" s="10">
        <v>45674</v>
      </c>
      <c r="AX47" s="10">
        <v>45688</v>
      </c>
      <c r="AY47" s="4" t="s">
        <v>1100</v>
      </c>
      <c r="AZ47" s="10">
        <v>45727</v>
      </c>
      <c r="BA47" s="10">
        <v>45719</v>
      </c>
      <c r="BB47" s="10">
        <v>45719</v>
      </c>
      <c r="BC47" s="10">
        <v>45733</v>
      </c>
      <c r="BD47" s="10">
        <v>45734</v>
      </c>
      <c r="BE47" s="4" t="s">
        <v>976</v>
      </c>
      <c r="BF47" s="4">
        <f>COUNTA(Tabla256[[#This Row],[(1)SOLICITUD DE  APERTURA FIRNANCIERA Y PRESUPUESTO 1 (FECHA) ]:[(15) FECHA DE CONTRATACIÓN ADMINISTRATIVO]])</f>
        <v>15</v>
      </c>
      <c r="BG47" s="26">
        <f>Tabla256[[#This Row],[NUMERO OK]]/15</f>
        <v>1</v>
      </c>
      <c r="BH47" s="4" t="str">
        <f t="shared" ca="1" si="8"/>
        <v>Cumplido</v>
      </c>
      <c r="BJ47" s="9"/>
      <c r="BQ47" s="8"/>
    </row>
    <row r="48" spans="1:69" ht="85.5">
      <c r="A48" s="9">
        <v>2024</v>
      </c>
      <c r="B48" s="35"/>
      <c r="C48" s="4" t="s">
        <v>166</v>
      </c>
      <c r="D48" s="4" t="s">
        <v>131</v>
      </c>
      <c r="E48" s="35" t="s">
        <v>958</v>
      </c>
      <c r="G48" s="10"/>
      <c r="H48" s="36">
        <v>45656</v>
      </c>
      <c r="I48" s="10">
        <v>45712</v>
      </c>
      <c r="J48" s="10">
        <v>46014</v>
      </c>
      <c r="K48" s="6" t="s">
        <v>1086</v>
      </c>
      <c r="L48" s="4" t="s">
        <v>97</v>
      </c>
      <c r="M48" s="4" t="str">
        <f t="shared" ca="1" si="9"/>
        <v>EN EJECUCIÓN</v>
      </c>
      <c r="N48" s="4" t="s">
        <v>99</v>
      </c>
      <c r="O48" s="79" t="s">
        <v>1023</v>
      </c>
      <c r="P48" s="37">
        <v>3710855946</v>
      </c>
      <c r="Q48" s="37"/>
      <c r="R48" s="37">
        <v>0</v>
      </c>
      <c r="S48" s="37"/>
      <c r="T48" s="75">
        <f t="shared" si="6"/>
        <v>3710855946</v>
      </c>
      <c r="U48" s="39">
        <f t="shared" si="5"/>
        <v>397591708.49999994</v>
      </c>
      <c r="V48" s="4" t="s">
        <v>1087</v>
      </c>
      <c r="W48" s="11" t="s">
        <v>1088</v>
      </c>
      <c r="X48" s="4" t="s">
        <v>89</v>
      </c>
      <c r="Y48" s="4" t="s">
        <v>22</v>
      </c>
      <c r="Z48" s="11" t="s">
        <v>23</v>
      </c>
      <c r="AA48" s="65" t="s">
        <v>24</v>
      </c>
      <c r="AB48" s="4" t="s">
        <v>24</v>
      </c>
      <c r="AC48" s="4" t="s">
        <v>24</v>
      </c>
      <c r="AD48" s="4" t="s">
        <v>24</v>
      </c>
      <c r="AE48" s="4" t="s">
        <v>17</v>
      </c>
      <c r="AF48" s="4" t="s">
        <v>24</v>
      </c>
      <c r="AG48" s="4" t="s">
        <v>24</v>
      </c>
      <c r="AH48" s="4" t="s">
        <v>24</v>
      </c>
      <c r="AI48" s="4" t="s">
        <v>24</v>
      </c>
      <c r="AJ48" s="4" t="s">
        <v>24</v>
      </c>
      <c r="AK48" s="4" t="s">
        <v>24</v>
      </c>
      <c r="AL48" s="68" t="s">
        <v>1089</v>
      </c>
      <c r="AM48" s="4" cm="1">
        <f t="array" ref="AM48">SUMPRODUCT((AA48:AK48&lt;&gt;"Pendiente")*(AA48:AK48&lt;&gt;""))</f>
        <v>11</v>
      </c>
      <c r="AN48" s="4">
        <f>COUNTA(Tabla256[[#This Row],[INVITACIÓN]:[ACTA DE INICIO]])</f>
        <v>11</v>
      </c>
      <c r="AO48" s="26">
        <f t="shared" si="7"/>
        <v>1</v>
      </c>
      <c r="AP48" s="47">
        <v>45709</v>
      </c>
      <c r="AQ48" s="10">
        <v>45693</v>
      </c>
      <c r="AR48" s="47">
        <v>45722</v>
      </c>
      <c r="AS48" s="10">
        <v>45713</v>
      </c>
      <c r="AT48" s="4" t="s">
        <v>1090</v>
      </c>
      <c r="AU48" s="4" t="s">
        <v>1091</v>
      </c>
      <c r="AV48" s="4" t="s">
        <v>1092</v>
      </c>
      <c r="AW48" s="10">
        <v>45705</v>
      </c>
      <c r="AX48" s="10">
        <v>45339</v>
      </c>
      <c r="AY48" s="4" t="s">
        <v>1093</v>
      </c>
      <c r="AZ48" s="10">
        <v>45728</v>
      </c>
      <c r="BA48" s="10">
        <v>45731</v>
      </c>
      <c r="BB48" s="10">
        <v>45731</v>
      </c>
      <c r="BC48" s="60">
        <v>45741</v>
      </c>
      <c r="BD48" s="60">
        <v>45741</v>
      </c>
      <c r="BE48" s="4" t="s">
        <v>976</v>
      </c>
      <c r="BF48" s="4">
        <f>COUNTA(Tabla256[[#This Row],[(1)SOLICITUD DE  APERTURA FIRNANCIERA Y PRESUPUESTO 1 (FECHA) ]:[(15) FECHA DE CONTRATACIÓN ADMINISTRATIVO]])</f>
        <v>15</v>
      </c>
      <c r="BG48" s="26">
        <f>Tabla256[[#This Row],[NUMERO OK]]/15</f>
        <v>1</v>
      </c>
      <c r="BH48" s="4" t="str">
        <f t="shared" ca="1" si="8"/>
        <v>Cumplido</v>
      </c>
      <c r="BJ48" s="9"/>
      <c r="BQ48" s="8"/>
    </row>
    <row r="49" spans="1:69" ht="71.25">
      <c r="A49" s="9">
        <v>2024</v>
      </c>
      <c r="B49" s="35"/>
      <c r="C49" s="4" t="s">
        <v>168</v>
      </c>
      <c r="D49" s="4" t="s">
        <v>127</v>
      </c>
      <c r="E49" s="35" t="s">
        <v>104</v>
      </c>
      <c r="G49" s="10"/>
      <c r="H49" s="36">
        <v>45656</v>
      </c>
      <c r="I49" s="10">
        <v>45679</v>
      </c>
      <c r="J49" s="10">
        <v>45859</v>
      </c>
      <c r="K49" s="6" t="s">
        <v>1045</v>
      </c>
      <c r="L49" s="4" t="s">
        <v>97</v>
      </c>
      <c r="M49" s="4" t="str">
        <f t="shared" ca="1" si="9"/>
        <v>FINALIZADO</v>
      </c>
      <c r="N49" s="4" t="s">
        <v>93</v>
      </c>
      <c r="O49" s="79" t="s">
        <v>1046</v>
      </c>
      <c r="P49" s="37">
        <v>2326000000</v>
      </c>
      <c r="Q49" s="37"/>
      <c r="R49" s="37">
        <v>0</v>
      </c>
      <c r="S49" s="37"/>
      <c r="T49" s="75">
        <f t="shared" si="6"/>
        <v>2326000000</v>
      </c>
      <c r="U49" s="39">
        <f t="shared" si="5"/>
        <v>249214285.7142857</v>
      </c>
      <c r="V49" s="4" t="s">
        <v>1047</v>
      </c>
      <c r="W49" s="11" t="s">
        <v>1048</v>
      </c>
      <c r="X49" s="4" t="s">
        <v>65</v>
      </c>
      <c r="Y49" s="4" t="s">
        <v>22</v>
      </c>
      <c r="Z49" s="11" t="s">
        <v>23</v>
      </c>
      <c r="AA49" s="65" t="s">
        <v>17</v>
      </c>
      <c r="AB49" s="4" t="s">
        <v>24</v>
      </c>
      <c r="AC49" s="4" t="s">
        <v>17</v>
      </c>
      <c r="AD49" s="4" t="s">
        <v>192</v>
      </c>
      <c r="AE49" s="4" t="s">
        <v>17</v>
      </c>
      <c r="AF49" s="4" t="s">
        <v>24</v>
      </c>
      <c r="AG49" s="4" t="s">
        <v>24</v>
      </c>
      <c r="AH49" s="4" t="s">
        <v>24</v>
      </c>
      <c r="AI49" s="4" t="s">
        <v>24</v>
      </c>
      <c r="AJ49" s="4" t="s">
        <v>24</v>
      </c>
      <c r="AK49" s="4" t="s">
        <v>24</v>
      </c>
      <c r="AL49" s="68" t="s">
        <v>192</v>
      </c>
      <c r="AM49" s="4" cm="1">
        <f t="array" ref="AM49">SUMPRODUCT((AA49:AK49&lt;&gt;"Pendiente")*(AA49:AK49&lt;&gt;""))</f>
        <v>11</v>
      </c>
      <c r="AN49" s="4">
        <f>COUNTA(Tabla256[[#This Row],[INVITACIÓN]:[ACTA DE INICIO]])</f>
        <v>11</v>
      </c>
      <c r="AO49" s="26">
        <f t="shared" si="7"/>
        <v>1</v>
      </c>
      <c r="AP49" s="47">
        <v>45666</v>
      </c>
      <c r="AQ49" s="10">
        <v>45667</v>
      </c>
      <c r="AR49" s="10">
        <v>45667</v>
      </c>
      <c r="AS49" s="10">
        <v>45695</v>
      </c>
      <c r="AT49" s="4" t="s">
        <v>1049</v>
      </c>
      <c r="AU49" s="4" t="s">
        <v>1050</v>
      </c>
      <c r="AV49" s="4" t="s">
        <v>1051</v>
      </c>
      <c r="AW49" s="10">
        <v>45720</v>
      </c>
      <c r="AX49" s="10">
        <v>45720</v>
      </c>
      <c r="AY49" s="4" t="s">
        <v>1052</v>
      </c>
      <c r="AZ49" s="10">
        <v>45707</v>
      </c>
      <c r="BA49" s="10">
        <v>45707</v>
      </c>
      <c r="BB49" s="10">
        <v>45712</v>
      </c>
      <c r="BC49" s="10">
        <v>45719</v>
      </c>
      <c r="BD49" s="10">
        <v>45721</v>
      </c>
      <c r="BE49" s="4" t="s">
        <v>976</v>
      </c>
      <c r="BF49" s="4">
        <f>COUNTA(Tabla256[[#This Row],[(1)SOLICITUD DE  APERTURA FIRNANCIERA Y PRESUPUESTO 1 (FECHA) ]:[(15) FECHA DE CONTRATACIÓN ADMINISTRATIVO]])</f>
        <v>15</v>
      </c>
      <c r="BG49" s="26">
        <f>Tabla256[[#This Row],[NUMERO OK]]/15</f>
        <v>1</v>
      </c>
      <c r="BH49" s="4" t="str">
        <f t="shared" ca="1" si="8"/>
        <v>Cumplido</v>
      </c>
      <c r="BJ49" s="9"/>
      <c r="BQ49" s="8"/>
    </row>
    <row r="50" spans="1:69" ht="71.25">
      <c r="A50" s="9">
        <v>2024</v>
      </c>
      <c r="B50" s="35"/>
      <c r="C50" s="4" t="s">
        <v>168</v>
      </c>
      <c r="D50" s="4" t="s">
        <v>135</v>
      </c>
      <c r="E50" s="35" t="s">
        <v>1004</v>
      </c>
      <c r="G50" s="10"/>
      <c r="H50" s="36">
        <v>45656</v>
      </c>
      <c r="I50" s="10">
        <v>45685</v>
      </c>
      <c r="J50" s="10">
        <v>45866</v>
      </c>
      <c r="K50" s="6" t="s">
        <v>1062</v>
      </c>
      <c r="L50" s="4" t="s">
        <v>97</v>
      </c>
      <c r="M50" s="4" t="str">
        <f t="shared" ca="1" si="9"/>
        <v>FINALIZADO</v>
      </c>
      <c r="N50" s="4" t="s">
        <v>54</v>
      </c>
      <c r="O50" s="79" t="s">
        <v>1063</v>
      </c>
      <c r="P50" s="37">
        <v>2206796261</v>
      </c>
      <c r="Q50" s="37"/>
      <c r="R50" s="37">
        <v>220000000</v>
      </c>
      <c r="S50" s="37"/>
      <c r="T50" s="75">
        <f t="shared" si="6"/>
        <v>2426796261</v>
      </c>
      <c r="U50" s="39">
        <f t="shared" si="5"/>
        <v>236442456.53571427</v>
      </c>
      <c r="V50" s="4" t="s">
        <v>1064</v>
      </c>
      <c r="W50" s="11" t="s">
        <v>1065</v>
      </c>
      <c r="Y50" s="4" t="s">
        <v>34</v>
      </c>
      <c r="Z50" s="11" t="s">
        <v>23</v>
      </c>
      <c r="AA50" s="65" t="s">
        <v>17</v>
      </c>
      <c r="AB50" s="4" t="s">
        <v>24</v>
      </c>
      <c r="AC50" s="4" t="s">
        <v>24</v>
      </c>
      <c r="AD50" s="4" t="s">
        <v>192</v>
      </c>
      <c r="AE50" s="4" t="s">
        <v>17</v>
      </c>
      <c r="AF50" s="4" t="s">
        <v>24</v>
      </c>
      <c r="AG50" s="4" t="s">
        <v>24</v>
      </c>
      <c r="AH50" s="4" t="s">
        <v>24</v>
      </c>
      <c r="AI50" s="4" t="s">
        <v>24</v>
      </c>
      <c r="AJ50" s="4" t="s">
        <v>24</v>
      </c>
      <c r="AK50" s="4" t="s">
        <v>24</v>
      </c>
      <c r="AL50" s="68" t="s">
        <v>1009</v>
      </c>
      <c r="AM50" s="4" cm="1">
        <f t="array" ref="AM50">SUMPRODUCT((AA50:AK50&lt;&gt;"Pendiente")*(AA50:AK50&lt;&gt;""))</f>
        <v>11</v>
      </c>
      <c r="AN50" s="4">
        <f>COUNTA(Tabla256[[#This Row],[INVITACIÓN]:[ACTA DE INICIO]])</f>
        <v>11</v>
      </c>
      <c r="AO50" s="26">
        <f t="shared" si="7"/>
        <v>1</v>
      </c>
      <c r="AP50" s="47">
        <v>45666</v>
      </c>
      <c r="AQ50" s="10">
        <v>45680</v>
      </c>
      <c r="AR50" s="10">
        <v>45670</v>
      </c>
      <c r="AS50" s="10">
        <v>45709</v>
      </c>
      <c r="AT50" s="10" t="s">
        <v>1066</v>
      </c>
      <c r="AU50" s="10" t="s">
        <v>1067</v>
      </c>
      <c r="AV50" s="10" t="s">
        <v>1068</v>
      </c>
      <c r="AW50" s="10">
        <v>45674</v>
      </c>
      <c r="AX50" s="10">
        <v>45674</v>
      </c>
      <c r="AY50" s="10" t="s">
        <v>1069</v>
      </c>
      <c r="AZ50" s="10">
        <v>45686</v>
      </c>
      <c r="BA50" s="10">
        <v>45710</v>
      </c>
      <c r="BB50" s="10">
        <v>45710</v>
      </c>
      <c r="BC50" s="10">
        <v>45713</v>
      </c>
      <c r="BD50" s="10">
        <v>45713</v>
      </c>
      <c r="BE50" s="4" t="s">
        <v>976</v>
      </c>
      <c r="BF50" s="4">
        <f>COUNTA(Tabla256[[#This Row],[(1)SOLICITUD DE  APERTURA FIRNANCIERA Y PRESUPUESTO 1 (FECHA) ]:[(15) FECHA DE CONTRATACIÓN ADMINISTRATIVO]])</f>
        <v>15</v>
      </c>
      <c r="BG50" s="26">
        <f>Tabla256[[#This Row],[NUMERO OK]]/15</f>
        <v>1</v>
      </c>
      <c r="BH50" s="4" t="str">
        <f t="shared" ca="1" si="8"/>
        <v>Cumplido</v>
      </c>
      <c r="BJ50" s="9"/>
      <c r="BQ50" s="8"/>
    </row>
    <row r="51" spans="1:69" ht="114">
      <c r="A51" s="9">
        <v>2024</v>
      </c>
      <c r="B51" s="35"/>
      <c r="C51" s="4" t="s">
        <v>168</v>
      </c>
      <c r="D51" s="4" t="s">
        <v>139</v>
      </c>
      <c r="E51" s="35" t="s">
        <v>958</v>
      </c>
      <c r="F51" s="4" t="s">
        <v>14</v>
      </c>
      <c r="G51" s="10"/>
      <c r="H51" s="36">
        <v>45656</v>
      </c>
      <c r="I51" s="10">
        <v>45714</v>
      </c>
      <c r="J51" s="10">
        <v>45986</v>
      </c>
      <c r="K51" s="6" t="s">
        <v>1079</v>
      </c>
      <c r="L51" s="4" t="s">
        <v>97</v>
      </c>
      <c r="M51" s="4" t="str">
        <f t="shared" ca="1" si="9"/>
        <v>EN EJECUCIÓN</v>
      </c>
      <c r="N51" s="4" t="s">
        <v>93</v>
      </c>
      <c r="O51" s="79" t="s">
        <v>1023</v>
      </c>
      <c r="P51" s="40">
        <v>1711670240</v>
      </c>
      <c r="Q51" s="40"/>
      <c r="R51" s="40">
        <v>0</v>
      </c>
      <c r="S51" s="40"/>
      <c r="T51" s="75">
        <f t="shared" si="6"/>
        <v>1711670240</v>
      </c>
      <c r="U51" s="39">
        <f t="shared" si="5"/>
        <v>183393239.99999997</v>
      </c>
      <c r="V51" s="4" t="s">
        <v>1080</v>
      </c>
      <c r="W51" s="11" t="s">
        <v>1081</v>
      </c>
      <c r="X51" s="4" t="s">
        <v>84</v>
      </c>
      <c r="Y51" s="4" t="s">
        <v>22</v>
      </c>
      <c r="Z51" s="11" t="s">
        <v>23</v>
      </c>
      <c r="AA51" s="65" t="s">
        <v>24</v>
      </c>
      <c r="AB51" s="4" t="s">
        <v>24</v>
      </c>
      <c r="AC51" s="4" t="s">
        <v>24</v>
      </c>
      <c r="AD51" s="4" t="s">
        <v>192</v>
      </c>
      <c r="AE51" s="4" t="s">
        <v>17</v>
      </c>
      <c r="AF51" s="4" t="s">
        <v>24</v>
      </c>
      <c r="AG51" s="4" t="s">
        <v>24</v>
      </c>
      <c r="AH51" s="4" t="s">
        <v>24</v>
      </c>
      <c r="AI51" s="4" t="s">
        <v>24</v>
      </c>
      <c r="AJ51" s="4" t="s">
        <v>24</v>
      </c>
      <c r="AK51" s="4" t="s">
        <v>24</v>
      </c>
      <c r="AL51" s="68" t="s">
        <v>192</v>
      </c>
      <c r="AM51" s="4" cm="1">
        <f t="array" ref="AM51">SUMPRODUCT((AA51:AK51&lt;&gt;"Pendiente")*(AA51:AK51&lt;&gt;""))</f>
        <v>11</v>
      </c>
      <c r="AN51" s="4">
        <f>COUNTA(Tabla256[[#This Row],[INVITACIÓN]:[ACTA DE INICIO]])</f>
        <v>11</v>
      </c>
      <c r="AO51" s="26">
        <f t="shared" si="7"/>
        <v>1</v>
      </c>
      <c r="AP51" s="47">
        <v>45666</v>
      </c>
      <c r="AQ51" s="10">
        <v>45693</v>
      </c>
      <c r="AR51" s="10">
        <v>45723</v>
      </c>
      <c r="AS51" s="10">
        <v>45705</v>
      </c>
      <c r="AT51" s="4" t="s">
        <v>1082</v>
      </c>
      <c r="AU51" s="4" t="s">
        <v>1083</v>
      </c>
      <c r="AV51" s="4" t="s">
        <v>1084</v>
      </c>
      <c r="AW51" s="10">
        <v>45713</v>
      </c>
      <c r="AX51" s="50">
        <v>45713</v>
      </c>
      <c r="AY51" s="51" t="s">
        <v>1085</v>
      </c>
      <c r="AZ51" s="50">
        <v>45726</v>
      </c>
      <c r="BA51" s="50">
        <v>45726</v>
      </c>
      <c r="BB51" s="10">
        <v>45726</v>
      </c>
      <c r="BC51" s="60">
        <v>45735</v>
      </c>
      <c r="BD51" s="60">
        <v>45735</v>
      </c>
      <c r="BE51" s="59">
        <v>45742</v>
      </c>
      <c r="BF51" s="4">
        <f>COUNTA(Tabla256[[#This Row],[(1)SOLICITUD DE  APERTURA FIRNANCIERA Y PRESUPUESTO 1 (FECHA) ]:[(15) FECHA DE CONTRATACIÓN ADMINISTRATIVO]])</f>
        <v>15</v>
      </c>
      <c r="BG51" s="26">
        <f>Tabla256[[#This Row],[NUMERO OK]]/15</f>
        <v>1</v>
      </c>
      <c r="BH51" s="4" t="str">
        <f t="shared" ca="1" si="8"/>
        <v>Cumplido</v>
      </c>
      <c r="BJ51" s="9"/>
      <c r="BQ51" s="8"/>
    </row>
    <row r="52" spans="1:69" ht="128.25">
      <c r="A52" s="9">
        <v>2024</v>
      </c>
      <c r="B52" s="35"/>
      <c r="C52" s="4" t="s">
        <v>166</v>
      </c>
      <c r="D52" s="4" t="s">
        <v>123</v>
      </c>
      <c r="E52" s="35" t="s">
        <v>958</v>
      </c>
      <c r="F52" s="4" t="s">
        <v>38</v>
      </c>
      <c r="G52" s="10"/>
      <c r="H52" s="36">
        <v>45656</v>
      </c>
      <c r="I52" s="10">
        <v>45672</v>
      </c>
      <c r="J52" s="10">
        <v>45914</v>
      </c>
      <c r="K52" s="6" t="s">
        <v>1070</v>
      </c>
      <c r="L52" s="4" t="s">
        <v>97</v>
      </c>
      <c r="M52" s="4" t="str">
        <f t="shared" ca="1" si="9"/>
        <v>EN EJECUCIÓN</v>
      </c>
      <c r="N52" s="4" t="s">
        <v>93</v>
      </c>
      <c r="O52" s="79" t="s">
        <v>1071</v>
      </c>
      <c r="P52" s="37">
        <v>1417150530</v>
      </c>
      <c r="Q52" s="37"/>
      <c r="R52" s="37">
        <v>160780281</v>
      </c>
      <c r="S52" s="37"/>
      <c r="T52" s="75">
        <f t="shared" si="6"/>
        <v>1577930811</v>
      </c>
      <c r="U52" s="39">
        <f t="shared" si="5"/>
        <v>151837556.78571427</v>
      </c>
      <c r="V52" s="4" t="s">
        <v>1072</v>
      </c>
      <c r="W52" s="11" t="s">
        <v>1073</v>
      </c>
      <c r="X52" s="4" t="s">
        <v>78</v>
      </c>
      <c r="Y52" s="4" t="s">
        <v>34</v>
      </c>
      <c r="Z52" s="11" t="s">
        <v>23</v>
      </c>
      <c r="AA52" s="65" t="s">
        <v>24</v>
      </c>
      <c r="AB52" s="4" t="s">
        <v>24</v>
      </c>
      <c r="AC52" s="4" t="s">
        <v>24</v>
      </c>
      <c r="AD52" s="4" t="s">
        <v>192</v>
      </c>
      <c r="AE52" s="4" t="s">
        <v>17</v>
      </c>
      <c r="AF52" s="4" t="s">
        <v>24</v>
      </c>
      <c r="AG52" s="4" t="s">
        <v>24</v>
      </c>
      <c r="AH52" s="4" t="s">
        <v>24</v>
      </c>
      <c r="AI52" s="4" t="s">
        <v>24</v>
      </c>
      <c r="AJ52" s="4" t="s">
        <v>24</v>
      </c>
      <c r="AK52" s="4" t="s">
        <v>24</v>
      </c>
      <c r="AL52" s="68" t="s">
        <v>192</v>
      </c>
      <c r="AM52" s="4" cm="1">
        <f t="array" ref="AM52">SUMPRODUCT((AA52:AK52&lt;&gt;"Pendiente")*(AA52:AK52&lt;&gt;""))</f>
        <v>11</v>
      </c>
      <c r="AN52" s="4">
        <f>COUNTA(Tabla256[[#This Row],[INVITACIÓN]:[ACTA DE INICIO]])</f>
        <v>11</v>
      </c>
      <c r="AO52" s="26">
        <f t="shared" si="7"/>
        <v>1</v>
      </c>
      <c r="AP52" s="47">
        <v>45666</v>
      </c>
      <c r="AQ52" s="10" t="s">
        <v>1074</v>
      </c>
      <c r="AR52" s="10">
        <v>45678</v>
      </c>
      <c r="AS52" s="10">
        <v>45653</v>
      </c>
      <c r="AT52" s="4" t="s">
        <v>1075</v>
      </c>
      <c r="AU52" s="4" t="s">
        <v>1076</v>
      </c>
      <c r="AV52" s="4" t="s">
        <v>1077</v>
      </c>
      <c r="AW52" s="10">
        <v>45676</v>
      </c>
      <c r="AX52" s="10">
        <v>45677</v>
      </c>
      <c r="AY52" s="4" t="s">
        <v>1078</v>
      </c>
      <c r="AZ52" s="4" t="s">
        <v>1074</v>
      </c>
      <c r="BA52" s="4" t="s">
        <v>1074</v>
      </c>
      <c r="BB52" s="4" t="s">
        <v>1074</v>
      </c>
      <c r="BC52" s="10">
        <v>45685</v>
      </c>
      <c r="BD52" s="10">
        <v>45686</v>
      </c>
      <c r="BE52" s="10">
        <v>45698</v>
      </c>
      <c r="BF52" s="4">
        <f>COUNTA(Tabla256[[#This Row],[(1)SOLICITUD DE  APERTURA FIRNANCIERA Y PRESUPUESTO 1 (FECHA) ]:[(15) FECHA DE CONTRATACIÓN ADMINISTRATIVO]])</f>
        <v>15</v>
      </c>
      <c r="BG52" s="26">
        <f>Tabla256[[#This Row],[NUMERO OK]]/15</f>
        <v>1</v>
      </c>
      <c r="BH52" s="4" t="str">
        <f t="shared" ca="1" si="8"/>
        <v>Cumplido</v>
      </c>
      <c r="BJ52" s="9"/>
      <c r="BK52" s="10">
        <v>45708</v>
      </c>
      <c r="BL52" s="10">
        <v>45736</v>
      </c>
      <c r="BQ52" s="8"/>
    </row>
    <row r="53" spans="1:69" ht="71.25">
      <c r="A53" s="9">
        <v>2024</v>
      </c>
      <c r="B53" s="35"/>
      <c r="C53" s="4" t="s">
        <v>168</v>
      </c>
      <c r="D53" s="4" t="s">
        <v>135</v>
      </c>
      <c r="E53" s="4" t="s">
        <v>100</v>
      </c>
      <c r="G53" s="10"/>
      <c r="H53" s="36">
        <v>45656</v>
      </c>
      <c r="I53" s="10">
        <v>45678</v>
      </c>
      <c r="J53" s="10">
        <v>45860</v>
      </c>
      <c r="K53" s="6" t="s">
        <v>1053</v>
      </c>
      <c r="L53" s="4" t="s">
        <v>97</v>
      </c>
      <c r="M53" s="4" t="str">
        <f t="shared" ca="1" si="9"/>
        <v>FINALIZADO</v>
      </c>
      <c r="N53" s="4" t="s">
        <v>93</v>
      </c>
      <c r="O53" s="79" t="s">
        <v>1054</v>
      </c>
      <c r="P53" s="37">
        <v>455000000</v>
      </c>
      <c r="Q53" s="37"/>
      <c r="R53" s="37">
        <v>45000000</v>
      </c>
      <c r="S53" s="37"/>
      <c r="T53" s="75">
        <f t="shared" si="6"/>
        <v>500000000</v>
      </c>
      <c r="U53" s="39">
        <f t="shared" si="5"/>
        <v>48749999.999999993</v>
      </c>
      <c r="V53" s="4" t="s">
        <v>1055</v>
      </c>
      <c r="W53" s="11" t="s">
        <v>1056</v>
      </c>
      <c r="X53" s="4" t="s">
        <v>65</v>
      </c>
      <c r="Y53" s="4" t="s">
        <v>34</v>
      </c>
      <c r="Z53" s="11" t="s">
        <v>23</v>
      </c>
      <c r="AA53" s="65" t="s">
        <v>17</v>
      </c>
      <c r="AB53" s="4" t="s">
        <v>24</v>
      </c>
      <c r="AC53" s="4" t="s">
        <v>24</v>
      </c>
      <c r="AD53" s="4" t="s">
        <v>192</v>
      </c>
      <c r="AE53" s="4" t="s">
        <v>17</v>
      </c>
      <c r="AF53" s="4" t="s">
        <v>24</v>
      </c>
      <c r="AG53" s="4" t="s">
        <v>24</v>
      </c>
      <c r="AH53" s="4" t="s">
        <v>24</v>
      </c>
      <c r="AI53" s="4" t="s">
        <v>24</v>
      </c>
      <c r="AJ53" s="4" t="s">
        <v>24</v>
      </c>
      <c r="AK53" s="4" t="s">
        <v>24</v>
      </c>
      <c r="AL53" s="68" t="s">
        <v>1057</v>
      </c>
      <c r="AM53" s="4" cm="1">
        <f t="array" ref="AM53">SUMPRODUCT((AA53:AK53&lt;&gt;"Pendiente")*(AA53:AK53&lt;&gt;""))</f>
        <v>11</v>
      </c>
      <c r="AN53" s="4">
        <f>COUNTA(Tabla256[[#This Row],[INVITACIÓN]:[ACTA DE INICIO]])</f>
        <v>11</v>
      </c>
      <c r="AO53" s="26">
        <f t="shared" si="7"/>
        <v>1</v>
      </c>
      <c r="AP53" s="47">
        <v>45666</v>
      </c>
      <c r="AQ53" s="10">
        <v>45680</v>
      </c>
      <c r="AR53" s="10">
        <v>45670</v>
      </c>
      <c r="AS53" s="10">
        <v>45687</v>
      </c>
      <c r="AT53" s="4" t="s">
        <v>1058</v>
      </c>
      <c r="AU53" s="4" t="s">
        <v>1059</v>
      </c>
      <c r="AV53" s="4" t="s">
        <v>1060</v>
      </c>
      <c r="AW53" s="10">
        <v>45674</v>
      </c>
      <c r="AX53" s="10">
        <v>45674</v>
      </c>
      <c r="AY53" s="4" t="s">
        <v>1061</v>
      </c>
      <c r="AZ53" s="10">
        <v>45685</v>
      </c>
      <c r="BA53" s="10">
        <v>45688</v>
      </c>
      <c r="BB53" s="10">
        <v>45688</v>
      </c>
      <c r="BC53" s="10">
        <v>45695</v>
      </c>
      <c r="BD53" s="10">
        <v>45695</v>
      </c>
      <c r="BE53" s="4" t="s">
        <v>976</v>
      </c>
      <c r="BF53" s="4">
        <f>COUNTA(Tabla256[[#This Row],[(1)SOLICITUD DE  APERTURA FIRNANCIERA Y PRESUPUESTO 1 (FECHA) ]:[(15) FECHA DE CONTRATACIÓN ADMINISTRATIVO]])</f>
        <v>15</v>
      </c>
      <c r="BG53" s="26">
        <f>Tabla256[[#This Row],[NUMERO OK]]/15</f>
        <v>1</v>
      </c>
      <c r="BH53" s="4" t="str">
        <f t="shared" ca="1" si="8"/>
        <v>Cumplido</v>
      </c>
      <c r="BJ53" s="9"/>
      <c r="BQ53" s="8"/>
    </row>
    <row r="54" spans="1:69" ht="71.25">
      <c r="A54" s="9">
        <v>2025</v>
      </c>
      <c r="B54" s="35">
        <v>1</v>
      </c>
      <c r="C54" s="4" t="s">
        <v>17</v>
      </c>
      <c r="D54" s="4" t="s">
        <v>123</v>
      </c>
      <c r="E54" s="35" t="s">
        <v>17</v>
      </c>
      <c r="F54" s="4" t="s">
        <v>20</v>
      </c>
      <c r="G54" s="10"/>
      <c r="H54" s="36">
        <v>45658</v>
      </c>
      <c r="I54" s="10">
        <v>45658</v>
      </c>
      <c r="J54" s="10">
        <v>46022</v>
      </c>
      <c r="K54" s="6" t="s">
        <v>1101</v>
      </c>
      <c r="L54" s="4" t="s">
        <v>111</v>
      </c>
      <c r="M54" s="4" t="str">
        <f t="shared" ca="1" si="9"/>
        <v>EN EJECUCIÓN</v>
      </c>
      <c r="N54" s="4" t="s">
        <v>93</v>
      </c>
      <c r="O54" s="79" t="s">
        <v>574</v>
      </c>
      <c r="P54" s="37">
        <v>6323000000</v>
      </c>
      <c r="Q54" s="37"/>
      <c r="R54" s="37">
        <v>0</v>
      </c>
      <c r="S54" s="37"/>
      <c r="T54" s="75">
        <f t="shared" si="6"/>
        <v>6323000000</v>
      </c>
      <c r="U54" s="39">
        <v>727440000</v>
      </c>
      <c r="V54" s="4" t="s">
        <v>1102</v>
      </c>
      <c r="W54" s="11" t="s">
        <v>923</v>
      </c>
      <c r="X54" s="4" t="s">
        <v>101</v>
      </c>
      <c r="Y54" s="4" t="s">
        <v>55</v>
      </c>
      <c r="Z54" s="11" t="s">
        <v>63</v>
      </c>
      <c r="AA54" s="65" t="s">
        <v>17</v>
      </c>
      <c r="AB54" s="4" t="s">
        <v>17</v>
      </c>
      <c r="AC54" s="4" t="s">
        <v>17</v>
      </c>
      <c r="AD54" s="4" t="s">
        <v>17</v>
      </c>
      <c r="AE54" s="4" t="s">
        <v>17</v>
      </c>
      <c r="AF54" s="4" t="s">
        <v>17</v>
      </c>
      <c r="AG54" s="4" t="s">
        <v>17</v>
      </c>
      <c r="AH54" s="4" t="s">
        <v>17</v>
      </c>
      <c r="AI54" s="4" t="s">
        <v>24</v>
      </c>
      <c r="AJ54" s="4" t="s">
        <v>24</v>
      </c>
      <c r="AK54" s="4" t="s">
        <v>17</v>
      </c>
      <c r="AL54" s="68" t="s">
        <v>192</v>
      </c>
      <c r="AM54" s="4" cm="1">
        <f t="array" ref="AM54">SUMPRODUCT((AA54:AK54&lt;&gt;"Pendiente")*(AA54:AK54&lt;&gt;""))</f>
        <v>11</v>
      </c>
      <c r="AN54" s="4">
        <f>COUNTA(Tabla256[[#This Row],[INVITACIÓN]:[ACTA DE INICIO]])</f>
        <v>11</v>
      </c>
      <c r="AO54" s="26">
        <f t="shared" si="7"/>
        <v>1</v>
      </c>
      <c r="AP54" s="47"/>
      <c r="AR54" s="10"/>
      <c r="AS54" s="10"/>
      <c r="AX54" s="10"/>
      <c r="BF54" s="4">
        <f>COUNTA(Tabla256[[#This Row],[(1)SOLICITUD DE  APERTURA FIRNANCIERA Y PRESUPUESTO 1 (FECHA) ]:[(15) FECHA DE CONTRATACIÓN ADMINISTRATIVO]])</f>
        <v>0</v>
      </c>
      <c r="BG54" s="26">
        <f>Tabla256[[#This Row],[NUMERO OK]]/15</f>
        <v>0</v>
      </c>
      <c r="BH54" s="4" t="str">
        <f t="shared" ca="1" si="8"/>
        <v>RiesgoAlto</v>
      </c>
      <c r="BJ54" s="9"/>
      <c r="BQ54" s="8"/>
    </row>
    <row r="55" spans="1:69" ht="60">
      <c r="A55" s="9">
        <v>2025</v>
      </c>
      <c r="B55" s="35">
        <v>2</v>
      </c>
      <c r="C55" s="4" t="s">
        <v>580</v>
      </c>
      <c r="D55" s="4" t="s">
        <v>139</v>
      </c>
      <c r="E55" s="35" t="s">
        <v>992</v>
      </c>
      <c r="F55" s="4" t="s">
        <v>38</v>
      </c>
      <c r="G55" s="10"/>
      <c r="H55" s="36">
        <v>45686</v>
      </c>
      <c r="I55" s="10">
        <v>45687</v>
      </c>
      <c r="J55" s="10">
        <v>45996</v>
      </c>
      <c r="K55" s="6" t="s">
        <v>1103</v>
      </c>
      <c r="L55" s="4" t="s">
        <v>97</v>
      </c>
      <c r="M55" s="4" t="str">
        <f t="shared" ca="1" si="9"/>
        <v>EN EJECUCIÓN</v>
      </c>
      <c r="N55" s="4" t="s">
        <v>93</v>
      </c>
      <c r="O55" s="79" t="s">
        <v>1104</v>
      </c>
      <c r="P55" s="37">
        <v>19056054896.799999</v>
      </c>
      <c r="Q55" s="37"/>
      <c r="R55" s="37">
        <v>0</v>
      </c>
      <c r="S55" s="37"/>
      <c r="T55" s="75">
        <f t="shared" si="6"/>
        <v>19056054896.799999</v>
      </c>
      <c r="U55" s="39">
        <f t="shared" ref="U55:U86" si="10">((P55+Q55)*12%)/112%</f>
        <v>2041720167.5142853</v>
      </c>
      <c r="V55" s="4" t="s">
        <v>1105</v>
      </c>
      <c r="W55" s="11" t="s">
        <v>1106</v>
      </c>
      <c r="X55" s="4" t="s">
        <v>583</v>
      </c>
      <c r="Y55" s="4" t="s">
        <v>22</v>
      </c>
      <c r="Z55" s="11" t="s">
        <v>23</v>
      </c>
      <c r="AA55" s="65" t="s">
        <v>17</v>
      </c>
      <c r="AB55" s="4" t="s">
        <v>17</v>
      </c>
      <c r="AC55" s="4" t="s">
        <v>24</v>
      </c>
      <c r="AD55" s="4" t="s">
        <v>24</v>
      </c>
      <c r="AE55" s="4" t="s">
        <v>17</v>
      </c>
      <c r="AF55" s="4" t="s">
        <v>24</v>
      </c>
      <c r="AG55" s="4" t="s">
        <v>24</v>
      </c>
      <c r="AH55" s="4" t="s">
        <v>24</v>
      </c>
      <c r="AI55" s="4" t="s">
        <v>24</v>
      </c>
      <c r="AJ55" s="4" t="s">
        <v>24</v>
      </c>
      <c r="AK55" s="4" t="s">
        <v>24</v>
      </c>
      <c r="AL55" s="70" t="s">
        <v>192</v>
      </c>
      <c r="AM55" s="4" cm="1">
        <f t="array" ref="AM55">SUMPRODUCT((AA55:AK55&lt;&gt;"Pendiente")*(AA55:AK55&lt;&gt;""))</f>
        <v>11</v>
      </c>
      <c r="AN55" s="4">
        <f>COUNTA(Tabla256[[#This Row],[INVITACIÓN]:[ACTA DE INICIO]])</f>
        <v>11</v>
      </c>
      <c r="AO55" s="26">
        <f t="shared" si="7"/>
        <v>1</v>
      </c>
      <c r="AP55" s="47">
        <v>45687</v>
      </c>
      <c r="AQ55" s="10">
        <v>45664</v>
      </c>
      <c r="AR55" s="10">
        <v>45687</v>
      </c>
      <c r="AS55" s="10">
        <v>45695</v>
      </c>
      <c r="AT55" s="4" t="s">
        <v>1049</v>
      </c>
      <c r="AU55" s="4" t="s">
        <v>1107</v>
      </c>
      <c r="AV55" s="4" t="s">
        <v>1051</v>
      </c>
      <c r="AW55" s="10">
        <v>45681</v>
      </c>
      <c r="AX55" s="10">
        <v>45681</v>
      </c>
      <c r="AY55" s="44" t="s">
        <v>1108</v>
      </c>
      <c r="AZ55" s="10">
        <v>45672</v>
      </c>
      <c r="BA55" s="4" t="s">
        <v>1074</v>
      </c>
      <c r="BB55" s="4" t="s">
        <v>1074</v>
      </c>
      <c r="BC55" s="10">
        <v>45692</v>
      </c>
      <c r="BD55" s="10">
        <v>45692</v>
      </c>
      <c r="BE55" s="4" t="s">
        <v>976</v>
      </c>
      <c r="BF55" s="4">
        <f>COUNTA(Tabla256[[#This Row],[(1)SOLICITUD DE  APERTURA FIRNANCIERA Y PRESUPUESTO 1 (FECHA) ]:[(15) FECHA DE CONTRATACIÓN ADMINISTRATIVO]])</f>
        <v>15</v>
      </c>
      <c r="BG55" s="26">
        <f>Tabla256[[#This Row],[NUMERO OK]]/15</f>
        <v>1</v>
      </c>
      <c r="BH55" s="4" t="str">
        <f t="shared" ca="1" si="8"/>
        <v>Cumplido</v>
      </c>
      <c r="BJ55" s="9"/>
      <c r="BQ55" s="8"/>
    </row>
    <row r="56" spans="1:69" ht="57">
      <c r="A56" s="9">
        <v>2025</v>
      </c>
      <c r="B56" s="4">
        <v>4</v>
      </c>
      <c r="C56" s="4" t="s">
        <v>1115</v>
      </c>
      <c r="D56" s="4" t="s">
        <v>135</v>
      </c>
      <c r="E56" s="35" t="s">
        <v>992</v>
      </c>
      <c r="F56" s="4" t="s">
        <v>26</v>
      </c>
      <c r="G56" s="10"/>
      <c r="H56" s="62">
        <v>45719</v>
      </c>
      <c r="I56" s="10">
        <v>45722</v>
      </c>
      <c r="J56" s="10">
        <v>45905</v>
      </c>
      <c r="K56" s="6" t="s">
        <v>1116</v>
      </c>
      <c r="L56" s="4" t="s">
        <v>52</v>
      </c>
      <c r="M56" s="4" t="str">
        <f t="shared" ca="1" si="9"/>
        <v>EN EJECUCIÓN</v>
      </c>
      <c r="N56" s="4" t="s">
        <v>93</v>
      </c>
      <c r="O56" s="79" t="s">
        <v>870</v>
      </c>
      <c r="P56" s="37">
        <v>48569820</v>
      </c>
      <c r="Q56" s="37"/>
      <c r="R56" s="37">
        <v>0</v>
      </c>
      <c r="S56" s="37"/>
      <c r="T56" s="75">
        <f t="shared" si="6"/>
        <v>48569820</v>
      </c>
      <c r="U56" s="39">
        <f t="shared" si="10"/>
        <v>5203909.2857142845</v>
      </c>
      <c r="V56" s="4" t="s">
        <v>1117</v>
      </c>
      <c r="W56" s="11" t="s">
        <v>923</v>
      </c>
      <c r="X56" s="4" t="s">
        <v>65</v>
      </c>
      <c r="Y56" s="4" t="s">
        <v>55</v>
      </c>
      <c r="Z56" s="11" t="s">
        <v>63</v>
      </c>
      <c r="AA56" s="65" t="s">
        <v>17</v>
      </c>
      <c r="AB56" s="4" t="s">
        <v>17</v>
      </c>
      <c r="AC56" s="4" t="s">
        <v>17</v>
      </c>
      <c r="AD56" s="4" t="s">
        <v>24</v>
      </c>
      <c r="AE56" s="4" t="s">
        <v>24</v>
      </c>
      <c r="AF56" s="4" t="s">
        <v>24</v>
      </c>
      <c r="AG56" s="4" t="s">
        <v>17</v>
      </c>
      <c r="AH56" s="4" t="s">
        <v>17</v>
      </c>
      <c r="AI56" s="4" t="s">
        <v>24</v>
      </c>
      <c r="AJ56" s="4" t="s">
        <v>24</v>
      </c>
      <c r="AK56" s="4" t="s">
        <v>24</v>
      </c>
      <c r="AL56" s="8" t="s">
        <v>192</v>
      </c>
      <c r="AM56" s="4" cm="1">
        <f t="array" ref="AM56">SUMPRODUCT((AA56:AK56&lt;&gt;"Pendiente")*(AA56:AK56&lt;&gt;""))</f>
        <v>11</v>
      </c>
      <c r="AN56" s="4">
        <f>COUNTA(Tabla256[[#This Row],[INVITACIÓN]:[ACTA DE INICIO]])</f>
        <v>11</v>
      </c>
      <c r="AO56" s="26">
        <f t="shared" si="7"/>
        <v>1</v>
      </c>
      <c r="AP56" s="47">
        <v>45594</v>
      </c>
      <c r="AQ56" s="10">
        <v>45748</v>
      </c>
      <c r="AR56" s="10">
        <v>45724</v>
      </c>
      <c r="AS56" s="10">
        <v>45722</v>
      </c>
      <c r="AT56" s="4" t="s">
        <v>832</v>
      </c>
      <c r="AU56" s="66" t="s">
        <v>1118</v>
      </c>
      <c r="AV56" s="4" t="s">
        <v>832</v>
      </c>
      <c r="AW56" s="10">
        <v>45713</v>
      </c>
      <c r="AX56" s="10">
        <v>45719</v>
      </c>
      <c r="AY56" s="4" t="s">
        <v>1119</v>
      </c>
      <c r="AZ56" s="4" t="s">
        <v>832</v>
      </c>
      <c r="BA56" s="4" t="s">
        <v>832</v>
      </c>
      <c r="BB56" s="4" t="s">
        <v>832</v>
      </c>
      <c r="BC56" s="4" t="s">
        <v>832</v>
      </c>
      <c r="BD56" s="4" t="s">
        <v>832</v>
      </c>
      <c r="BE56" s="4" t="s">
        <v>976</v>
      </c>
      <c r="BF56" s="4">
        <f>COUNTA(Tabla256[[#This Row],[(1)SOLICITUD DE  APERTURA FIRNANCIERA Y PRESUPUESTO 1 (FECHA) ]:[(15) FECHA DE CONTRATACIÓN ADMINISTRATIVO]])</f>
        <v>15</v>
      </c>
      <c r="BG56" s="26">
        <f>Tabla256[[#This Row],[NUMERO OK]]/15</f>
        <v>1</v>
      </c>
      <c r="BH56" s="4" t="str">
        <f t="shared" ca="1" si="8"/>
        <v>Cumplido</v>
      </c>
      <c r="BJ56" s="9"/>
      <c r="BQ56" s="8"/>
    </row>
    <row r="57" spans="1:69" ht="45">
      <c r="A57" s="9">
        <v>2025</v>
      </c>
      <c r="B57" s="35">
        <v>3</v>
      </c>
      <c r="C57" s="4" t="s">
        <v>41</v>
      </c>
      <c r="D57" s="4" t="s">
        <v>135</v>
      </c>
      <c r="E57" s="35" t="s">
        <v>958</v>
      </c>
      <c r="F57" s="4" t="s">
        <v>26</v>
      </c>
      <c r="G57" s="10"/>
      <c r="H57" s="36">
        <v>45719</v>
      </c>
      <c r="I57" s="10">
        <v>45721</v>
      </c>
      <c r="J57" s="10">
        <v>45781</v>
      </c>
      <c r="K57" s="6" t="s">
        <v>1109</v>
      </c>
      <c r="L57" s="4" t="s">
        <v>74</v>
      </c>
      <c r="M57" s="4" t="str">
        <f t="shared" ca="1" si="9"/>
        <v>FINALIZADO</v>
      </c>
      <c r="N57" s="4" t="s">
        <v>93</v>
      </c>
      <c r="O57" s="79" t="s">
        <v>574</v>
      </c>
      <c r="P57" s="37">
        <v>10800000</v>
      </c>
      <c r="Q57" s="37"/>
      <c r="R57" s="37">
        <v>0</v>
      </c>
      <c r="S57" s="37"/>
      <c r="T57" s="75">
        <f t="shared" si="6"/>
        <v>10800000</v>
      </c>
      <c r="U57" s="39">
        <f t="shared" si="10"/>
        <v>1157142.857142857</v>
      </c>
      <c r="V57" s="4" t="s">
        <v>1110</v>
      </c>
      <c r="W57" s="11" t="s">
        <v>1111</v>
      </c>
      <c r="X57" s="4" t="s">
        <v>27</v>
      </c>
      <c r="Y57" s="4" t="s">
        <v>55</v>
      </c>
      <c r="Z57" s="11" t="s">
        <v>63</v>
      </c>
      <c r="AA57" s="65" t="s">
        <v>17</v>
      </c>
      <c r="AB57" s="4" t="s">
        <v>17</v>
      </c>
      <c r="AC57" s="4" t="s">
        <v>17</v>
      </c>
      <c r="AD57" s="4" t="s">
        <v>17</v>
      </c>
      <c r="AE57" s="4" t="s">
        <v>24</v>
      </c>
      <c r="AF57" s="4" t="s">
        <v>24</v>
      </c>
      <c r="AG57" s="4" t="s">
        <v>17</v>
      </c>
      <c r="AH57" s="4" t="s">
        <v>17</v>
      </c>
      <c r="AI57" s="4" t="s">
        <v>24</v>
      </c>
      <c r="AJ57" s="4" t="s">
        <v>24</v>
      </c>
      <c r="AK57" s="4" t="s">
        <v>24</v>
      </c>
      <c r="AL57" s="70" t="s">
        <v>192</v>
      </c>
      <c r="AM57" s="4" cm="1">
        <f t="array" ref="AM57">SUMPRODUCT((AA57:AK57&lt;&gt;"Pendiente")*(AA57:AK57&lt;&gt;""))</f>
        <v>11</v>
      </c>
      <c r="AN57" s="4">
        <f>COUNTA(Tabla256[[#This Row],[INVITACIÓN]:[ACTA DE INICIO]])</f>
        <v>11</v>
      </c>
      <c r="AO57" s="26">
        <f t="shared" si="7"/>
        <v>1</v>
      </c>
      <c r="AP57" s="61">
        <v>45721</v>
      </c>
      <c r="AQ57" s="10">
        <v>45727</v>
      </c>
      <c r="AR57" s="10">
        <v>45722</v>
      </c>
      <c r="AS57" s="10">
        <v>45365</v>
      </c>
      <c r="AT57" s="4" t="s">
        <v>1112</v>
      </c>
      <c r="AU57" s="4" t="s">
        <v>1113</v>
      </c>
      <c r="AV57" s="4" t="s">
        <v>1074</v>
      </c>
      <c r="AW57" s="10">
        <v>45699</v>
      </c>
      <c r="AX57" s="10">
        <v>45699</v>
      </c>
      <c r="AY57" s="4" t="s">
        <v>1114</v>
      </c>
      <c r="AZ57" s="10">
        <v>45730</v>
      </c>
      <c r="BA57" s="4" t="s">
        <v>1074</v>
      </c>
      <c r="BB57" s="4" t="s">
        <v>1074</v>
      </c>
      <c r="BC57" s="4" t="s">
        <v>1074</v>
      </c>
      <c r="BD57" s="4" t="s">
        <v>1074</v>
      </c>
      <c r="BE57" s="4" t="s">
        <v>976</v>
      </c>
      <c r="BF57" s="4">
        <f>COUNTA(Tabla256[[#This Row],[(1)SOLICITUD DE  APERTURA FIRNANCIERA Y PRESUPUESTO 1 (FECHA) ]:[(15) FECHA DE CONTRATACIÓN ADMINISTRATIVO]])</f>
        <v>15</v>
      </c>
      <c r="BG57" s="26">
        <f>Tabla256[[#This Row],[NUMERO OK]]/15</f>
        <v>1</v>
      </c>
      <c r="BH57" s="4" t="str">
        <f t="shared" ca="1" si="8"/>
        <v>Cumplido</v>
      </c>
      <c r="BJ57" s="9"/>
      <c r="BQ57" s="8"/>
    </row>
    <row r="58" spans="1:69" ht="57">
      <c r="A58" s="9">
        <v>2025</v>
      </c>
      <c r="B58" s="4">
        <v>5</v>
      </c>
      <c r="C58" s="4" t="s">
        <v>67</v>
      </c>
      <c r="D58" s="4" t="s">
        <v>139</v>
      </c>
      <c r="E58" s="35" t="s">
        <v>958</v>
      </c>
      <c r="F58" s="4" t="s">
        <v>14</v>
      </c>
      <c r="G58" s="10"/>
      <c r="H58" s="62">
        <v>45733</v>
      </c>
      <c r="I58" s="10"/>
      <c r="J58" s="10"/>
      <c r="K58" s="6" t="s">
        <v>1120</v>
      </c>
      <c r="L58" s="4" t="s">
        <v>97</v>
      </c>
      <c r="M58" s="4" t="str">
        <f t="shared" ca="1" si="9"/>
        <v>SUSCRITO</v>
      </c>
      <c r="N58" s="4" t="s">
        <v>21</v>
      </c>
      <c r="O58" s="79" t="s">
        <v>584</v>
      </c>
      <c r="P58" s="37">
        <v>18000000</v>
      </c>
      <c r="Q58" s="37"/>
      <c r="R58" s="37">
        <v>0</v>
      </c>
      <c r="S58" s="37"/>
      <c r="T58" s="75">
        <f t="shared" si="6"/>
        <v>18000000</v>
      </c>
      <c r="U58" s="39">
        <f t="shared" si="10"/>
        <v>1928571.4285714284</v>
      </c>
      <c r="V58" s="4" t="s">
        <v>1121</v>
      </c>
      <c r="W58" s="11" t="s">
        <v>1122</v>
      </c>
      <c r="X58" s="4" t="s">
        <v>27</v>
      </c>
      <c r="Y58" s="4" t="s">
        <v>22</v>
      </c>
      <c r="Z58" s="11" t="s">
        <v>23</v>
      </c>
      <c r="AA58" s="65" t="s">
        <v>24</v>
      </c>
      <c r="AB58" s="4" t="s">
        <v>24</v>
      </c>
      <c r="AC58" s="4" t="s">
        <v>17</v>
      </c>
      <c r="AD58" s="4" t="s">
        <v>24</v>
      </c>
      <c r="AE58" s="4" t="s">
        <v>17</v>
      </c>
      <c r="AF58" s="4" t="s">
        <v>24</v>
      </c>
      <c r="AG58" s="4" t="s">
        <v>24</v>
      </c>
      <c r="AH58" s="4" t="s">
        <v>24</v>
      </c>
      <c r="AI58" s="4" t="s">
        <v>24</v>
      </c>
      <c r="AJ58" s="4" t="s">
        <v>24</v>
      </c>
      <c r="AK58" s="4" t="s">
        <v>36</v>
      </c>
      <c r="AL58" s="68" t="s">
        <v>192</v>
      </c>
      <c r="AM58" s="4" cm="1">
        <f t="array" ref="AM58">SUMPRODUCT((AA58:AK58&lt;&gt;"Pendiente")*(AA58:AK58&lt;&gt;""))</f>
        <v>10</v>
      </c>
      <c r="AN58" s="4">
        <f>COUNTA(Tabla256[[#This Row],[INVITACIÓN]:[ACTA DE INICIO]])</f>
        <v>11</v>
      </c>
      <c r="AO58" s="26">
        <f t="shared" si="7"/>
        <v>0.90909090909090906</v>
      </c>
      <c r="AP58" s="47">
        <v>45736</v>
      </c>
      <c r="AQ58" s="10">
        <v>45741</v>
      </c>
      <c r="AR58" s="10">
        <v>45737</v>
      </c>
      <c r="AS58" s="59">
        <v>45747</v>
      </c>
      <c r="AT58" s="4" t="s">
        <v>1124</v>
      </c>
      <c r="AU58" s="72" t="s">
        <v>1125</v>
      </c>
      <c r="AV58" s="4" t="s">
        <v>1074</v>
      </c>
      <c r="AW58" s="10">
        <v>45754</v>
      </c>
      <c r="AZ58" s="59">
        <v>45750</v>
      </c>
      <c r="BA58" s="10">
        <v>45747</v>
      </c>
      <c r="BB58" s="4" t="s">
        <v>1074</v>
      </c>
      <c r="BC58" s="10">
        <v>45755</v>
      </c>
      <c r="BD58" s="4" t="s">
        <v>1074</v>
      </c>
      <c r="BE58" s="4" t="s">
        <v>976</v>
      </c>
      <c r="BF58" s="4">
        <f>COUNTA(Tabla256[[#This Row],[(1)SOLICITUD DE  APERTURA FIRNANCIERA Y PRESUPUESTO 1 (FECHA) ]:[(15) FECHA DE CONTRATACIÓN ADMINISTRATIVO]])</f>
        <v>13</v>
      </c>
      <c r="BG58" s="26">
        <f>Tabla256[[#This Row],[NUMERO OK]]/15</f>
        <v>0.8666666666666667</v>
      </c>
      <c r="BH58" s="4" t="str">
        <f t="shared" ca="1" si="8"/>
        <v>N/A</v>
      </c>
      <c r="BJ58" s="9"/>
      <c r="BQ58" s="8"/>
    </row>
    <row r="59" spans="1:69" ht="114">
      <c r="A59" s="9">
        <v>2025</v>
      </c>
      <c r="B59" s="4">
        <v>6</v>
      </c>
      <c r="C59" s="4" t="s">
        <v>67</v>
      </c>
      <c r="D59" s="4" t="s">
        <v>139</v>
      </c>
      <c r="E59" s="4" t="s">
        <v>100</v>
      </c>
      <c r="F59" s="4" t="s">
        <v>64</v>
      </c>
      <c r="G59" s="10"/>
      <c r="H59" s="62">
        <v>45737</v>
      </c>
      <c r="I59" s="10">
        <v>45747</v>
      </c>
      <c r="J59" s="10">
        <v>46022</v>
      </c>
      <c r="K59" s="6" t="s">
        <v>1133</v>
      </c>
      <c r="L59" s="4" t="s">
        <v>74</v>
      </c>
      <c r="M59" s="4" t="str">
        <f t="shared" ca="1" si="9"/>
        <v>EN EJECUCIÓN</v>
      </c>
      <c r="N59" s="4" t="s">
        <v>21</v>
      </c>
      <c r="O59" s="79" t="s">
        <v>1134</v>
      </c>
      <c r="P59" s="37">
        <v>1991969000</v>
      </c>
      <c r="Q59" s="37"/>
      <c r="R59" s="37">
        <v>0</v>
      </c>
      <c r="S59" s="37"/>
      <c r="T59" s="75">
        <f t="shared" si="6"/>
        <v>1991969000</v>
      </c>
      <c r="U59" s="39">
        <f t="shared" si="10"/>
        <v>213425249.99999997</v>
      </c>
      <c r="V59" s="4" t="s">
        <v>1135</v>
      </c>
      <c r="W59" s="4" t="s">
        <v>1136</v>
      </c>
      <c r="X59" s="4" t="s">
        <v>1137</v>
      </c>
      <c r="Y59" s="4" t="s">
        <v>22</v>
      </c>
      <c r="Z59" s="11" t="s">
        <v>23</v>
      </c>
      <c r="AA59" s="65" t="s">
        <v>17</v>
      </c>
      <c r="AB59" s="4" t="s">
        <v>24</v>
      </c>
      <c r="AC59" s="4" t="s">
        <v>24</v>
      </c>
      <c r="AD59" s="4" t="s">
        <v>24</v>
      </c>
      <c r="AE59" s="4" t="s">
        <v>24</v>
      </c>
      <c r="AF59" s="4" t="s">
        <v>24</v>
      </c>
      <c r="AG59" s="4" t="s">
        <v>24</v>
      </c>
      <c r="AH59" s="4" t="s">
        <v>24</v>
      </c>
      <c r="AI59" s="4" t="s">
        <v>24</v>
      </c>
      <c r="AJ59" s="4" t="s">
        <v>24</v>
      </c>
      <c r="AK59" s="4" t="s">
        <v>24</v>
      </c>
      <c r="AL59" s="71" t="s">
        <v>1138</v>
      </c>
      <c r="AM59" s="4" cm="1">
        <f t="array" ref="AM59">SUMPRODUCT((AA59:AK59&lt;&gt;"Pendiente")*(AA59:AK59&lt;&gt;""))</f>
        <v>11</v>
      </c>
      <c r="AN59" s="4">
        <f>COUNTA(Tabla256[[#This Row],[INVITACIÓN]:[ACTA DE INICIO]])</f>
        <v>11</v>
      </c>
      <c r="AO59" s="26">
        <f t="shared" si="7"/>
        <v>1</v>
      </c>
      <c r="AP59" s="47">
        <v>45744</v>
      </c>
      <c r="AQ59" s="10">
        <v>45741</v>
      </c>
      <c r="AR59" s="10">
        <v>45745</v>
      </c>
      <c r="AS59" s="4" t="s">
        <v>1139</v>
      </c>
      <c r="AU59" s="4" t="s">
        <v>1140</v>
      </c>
      <c r="BF59" s="4">
        <f>COUNTA(Tabla256[[#This Row],[(1)SOLICITUD DE  APERTURA FIRNANCIERA Y PRESUPUESTO 1 (FECHA) ]:[(15) FECHA DE CONTRATACIÓN ADMINISTRATIVO]])</f>
        <v>5</v>
      </c>
      <c r="BG59" s="26">
        <f>Tabla256[[#This Row],[NUMERO OK]]/15</f>
        <v>0.33333333333333331</v>
      </c>
      <c r="BH59" s="4" t="str">
        <f t="shared" ca="1" si="8"/>
        <v>RiesgoAlto</v>
      </c>
      <c r="BJ59" s="9"/>
      <c r="BQ59" s="8"/>
    </row>
    <row r="60" spans="1:69" ht="71.25">
      <c r="A60" s="9">
        <v>2025</v>
      </c>
      <c r="B60" s="4">
        <v>7</v>
      </c>
      <c r="C60" s="4" t="s">
        <v>67</v>
      </c>
      <c r="D60" s="4" t="s">
        <v>139</v>
      </c>
      <c r="E60" s="35" t="s">
        <v>104</v>
      </c>
      <c r="F60" s="4" t="s">
        <v>38</v>
      </c>
      <c r="G60" s="10"/>
      <c r="H60" s="62">
        <v>45737</v>
      </c>
      <c r="I60" s="10">
        <v>45744</v>
      </c>
      <c r="J60" s="10">
        <v>45991</v>
      </c>
      <c r="K60" s="6" t="s">
        <v>1126</v>
      </c>
      <c r="L60" s="4" t="s">
        <v>97</v>
      </c>
      <c r="M60" s="4" t="str">
        <f t="shared" ca="1" si="9"/>
        <v>EN EJECUCIÓN</v>
      </c>
      <c r="N60" s="4" t="s">
        <v>93</v>
      </c>
      <c r="O60" s="79" t="s">
        <v>1127</v>
      </c>
      <c r="P60" s="37">
        <v>696050000</v>
      </c>
      <c r="Q60" s="37"/>
      <c r="R60" s="37">
        <v>0</v>
      </c>
      <c r="S60" s="37"/>
      <c r="T60" s="75">
        <f t="shared" si="6"/>
        <v>696050000</v>
      </c>
      <c r="U60" s="39">
        <f t="shared" si="10"/>
        <v>74576785.714285702</v>
      </c>
      <c r="V60" s="4" t="s">
        <v>1128</v>
      </c>
      <c r="W60" s="4" t="s">
        <v>1129</v>
      </c>
      <c r="X60" s="4" t="s">
        <v>290</v>
      </c>
      <c r="Y60" s="4" t="s">
        <v>22</v>
      </c>
      <c r="Z60" s="11" t="s">
        <v>23</v>
      </c>
      <c r="AA60" s="65" t="s">
        <v>17</v>
      </c>
      <c r="AB60" s="4" t="s">
        <v>24</v>
      </c>
      <c r="AC60" s="4" t="s">
        <v>17</v>
      </c>
      <c r="AD60" s="4" t="s">
        <v>17</v>
      </c>
      <c r="AE60" s="4" t="s">
        <v>17</v>
      </c>
      <c r="AF60" s="4" t="s">
        <v>24</v>
      </c>
      <c r="AG60" s="4" t="s">
        <v>24</v>
      </c>
      <c r="AH60" s="4" t="s">
        <v>24</v>
      </c>
      <c r="AI60" s="4" t="s">
        <v>24</v>
      </c>
      <c r="AJ60" s="4" t="s">
        <v>24</v>
      </c>
      <c r="AK60" s="4" t="s">
        <v>24</v>
      </c>
      <c r="AL60" s="68" t="s">
        <v>192</v>
      </c>
      <c r="AM60" s="4" cm="1">
        <f t="array" ref="AM60">SUMPRODUCT((AA60:AK60&lt;&gt;"Pendiente")*(AA60:AK60&lt;&gt;""))</f>
        <v>11</v>
      </c>
      <c r="AN60" s="4">
        <f>COUNTA(Tabla256[[#This Row],[INVITACIÓN]:[ACTA DE INICIO]])</f>
        <v>11</v>
      </c>
      <c r="AO60" s="26">
        <f t="shared" si="7"/>
        <v>1</v>
      </c>
      <c r="AP60" s="47"/>
      <c r="AQ60" s="10">
        <v>45741</v>
      </c>
      <c r="AR60" s="10">
        <v>45743</v>
      </c>
      <c r="AS60" s="10">
        <v>45742</v>
      </c>
      <c r="AT60" s="4" t="s">
        <v>1130</v>
      </c>
      <c r="AU60" s="4" t="s">
        <v>1131</v>
      </c>
      <c r="AV60" s="4" t="s">
        <v>832</v>
      </c>
      <c r="AW60" s="10">
        <v>45720</v>
      </c>
      <c r="AX60" s="10">
        <v>45736</v>
      </c>
      <c r="AY60" s="4" t="s">
        <v>1132</v>
      </c>
      <c r="AZ60" s="10">
        <v>45749</v>
      </c>
      <c r="BA60" s="10">
        <v>45751</v>
      </c>
      <c r="BB60" s="4" t="s">
        <v>832</v>
      </c>
      <c r="BD60" s="4" t="s">
        <v>832</v>
      </c>
      <c r="BE60" s="4" t="s">
        <v>976</v>
      </c>
      <c r="BF60" s="4">
        <f>COUNTA(Tabla256[[#This Row],[(1)SOLICITUD DE  APERTURA FIRNANCIERA Y PRESUPUESTO 1 (FECHA) ]:[(15) FECHA DE CONTRATACIÓN ADMINISTRATIVO]])</f>
        <v>13</v>
      </c>
      <c r="BG60" s="26">
        <f>Tabla256[[#This Row],[NUMERO OK]]/15</f>
        <v>0.8666666666666667</v>
      </c>
      <c r="BH60" s="4" t="str">
        <f t="shared" ca="1" si="8"/>
        <v>RiesgoMedio</v>
      </c>
      <c r="BJ60" s="9"/>
      <c r="BQ60" s="8"/>
    </row>
    <row r="61" spans="1:69" ht="85.5">
      <c r="A61" s="9">
        <v>2025</v>
      </c>
      <c r="B61" s="4">
        <v>8</v>
      </c>
      <c r="C61" s="4" t="s">
        <v>90</v>
      </c>
      <c r="E61" s="4" t="s">
        <v>958</v>
      </c>
      <c r="F61" s="4" t="s">
        <v>77</v>
      </c>
      <c r="G61" s="10"/>
      <c r="H61" s="62">
        <v>45739</v>
      </c>
      <c r="I61" s="10">
        <v>45755</v>
      </c>
      <c r="J61" s="10">
        <v>45968</v>
      </c>
      <c r="K61" s="6" t="s">
        <v>1141</v>
      </c>
      <c r="L61" s="4" t="s">
        <v>97</v>
      </c>
      <c r="M61" s="4" t="str">
        <f t="shared" ca="1" si="9"/>
        <v>EN EJECUCIÓN</v>
      </c>
      <c r="N61" s="4" t="s">
        <v>44</v>
      </c>
      <c r="O61" s="79" t="s">
        <v>302</v>
      </c>
      <c r="P61" s="37">
        <v>1332000000</v>
      </c>
      <c r="Q61" s="37"/>
      <c r="R61" s="37">
        <v>0</v>
      </c>
      <c r="S61" s="37"/>
      <c r="T61" s="75">
        <f t="shared" si="6"/>
        <v>1332000000</v>
      </c>
      <c r="U61" s="39">
        <f t="shared" si="10"/>
        <v>142714285.7142857</v>
      </c>
      <c r="V61" s="4" t="s">
        <v>1142</v>
      </c>
      <c r="W61" s="4" t="s">
        <v>1143</v>
      </c>
      <c r="X61" s="4" t="s">
        <v>72</v>
      </c>
      <c r="Y61" s="4" t="s">
        <v>22</v>
      </c>
      <c r="Z61" s="11" t="s">
        <v>23</v>
      </c>
      <c r="AA61" s="65" t="s">
        <v>17</v>
      </c>
      <c r="AB61" s="4" t="s">
        <v>17</v>
      </c>
      <c r="AC61" s="4" t="s">
        <v>24</v>
      </c>
      <c r="AD61" s="4" t="s">
        <v>24</v>
      </c>
      <c r="AE61" s="4" t="s">
        <v>17</v>
      </c>
      <c r="AF61" s="4" t="s">
        <v>24</v>
      </c>
      <c r="AG61" s="4" t="s">
        <v>24</v>
      </c>
      <c r="AH61" s="4" t="s">
        <v>24</v>
      </c>
      <c r="AI61" s="4" t="s">
        <v>24</v>
      </c>
      <c r="AJ61" s="4" t="s">
        <v>24</v>
      </c>
      <c r="AK61" s="4" t="s">
        <v>24</v>
      </c>
      <c r="AL61" s="68" t="s">
        <v>192</v>
      </c>
      <c r="AM61" s="4" cm="1">
        <f t="array" ref="AM61">SUMPRODUCT((AA61:AK61&lt;&gt;"Pendiente")*(AA61:AK61&lt;&gt;""))</f>
        <v>11</v>
      </c>
      <c r="AN61" s="4">
        <f>COUNTA(Tabla256[[#This Row],[INVITACIÓN]:[ACTA DE INICIO]])</f>
        <v>11</v>
      </c>
      <c r="AO61" s="26">
        <f t="shared" si="7"/>
        <v>1</v>
      </c>
      <c r="AP61" s="47">
        <v>45754</v>
      </c>
      <c r="AQ61" s="10">
        <v>45390</v>
      </c>
      <c r="AR61" s="10">
        <v>45758</v>
      </c>
      <c r="BF61" s="4">
        <f>COUNTA(Tabla256[[#This Row],[(1)SOLICITUD DE  APERTURA FIRNANCIERA Y PRESUPUESTO 1 (FECHA) ]:[(15) FECHA DE CONTRATACIÓN ADMINISTRATIVO]])</f>
        <v>3</v>
      </c>
      <c r="BG61" s="26">
        <f>Tabla256[[#This Row],[NUMERO OK]]/15</f>
        <v>0.2</v>
      </c>
      <c r="BH61" s="4" t="str">
        <f t="shared" ca="1" si="8"/>
        <v>RiesgoAlto</v>
      </c>
      <c r="BJ61" s="9"/>
      <c r="BQ61" s="8"/>
    </row>
    <row r="62" spans="1:69" ht="57">
      <c r="A62" s="9">
        <v>2025</v>
      </c>
      <c r="B62" s="4">
        <v>9</v>
      </c>
      <c r="C62" s="4" t="s">
        <v>79</v>
      </c>
      <c r="E62" s="4" t="s">
        <v>104</v>
      </c>
      <c r="F62" s="4" t="s">
        <v>83</v>
      </c>
      <c r="G62" s="10"/>
      <c r="H62" s="62">
        <v>45755</v>
      </c>
      <c r="I62" s="10"/>
      <c r="J62" s="10"/>
      <c r="K62" s="6" t="s">
        <v>1144</v>
      </c>
      <c r="L62" s="4" t="s">
        <v>97</v>
      </c>
      <c r="M62" s="4" t="str">
        <f t="shared" ca="1" si="9"/>
        <v>SUSCRITO</v>
      </c>
      <c r="N62" s="4" t="s">
        <v>44</v>
      </c>
      <c r="O62" s="79" t="s">
        <v>333</v>
      </c>
      <c r="P62" s="37">
        <v>6216503808.54</v>
      </c>
      <c r="Q62" s="37"/>
      <c r="R62" s="37">
        <v>0</v>
      </c>
      <c r="S62" s="37"/>
      <c r="T62" s="75">
        <f t="shared" si="6"/>
        <v>6216503808.54</v>
      </c>
      <c r="U62" s="39">
        <f t="shared" si="10"/>
        <v>666053979.4864285</v>
      </c>
      <c r="V62" s="4" t="s">
        <v>1145</v>
      </c>
      <c r="W62" s="4" t="s">
        <v>1146</v>
      </c>
      <c r="X62" s="4" t="s">
        <v>1147</v>
      </c>
      <c r="Y62" s="4" t="s">
        <v>22</v>
      </c>
      <c r="Z62" s="11" t="s">
        <v>23</v>
      </c>
      <c r="AA62" s="65" t="s">
        <v>17</v>
      </c>
      <c r="AB62" s="4" t="s">
        <v>24</v>
      </c>
      <c r="AC62" s="4" t="s">
        <v>17</v>
      </c>
      <c r="AD62" s="4" t="s">
        <v>24</v>
      </c>
      <c r="AE62" s="4" t="s">
        <v>17</v>
      </c>
      <c r="AF62" s="4" t="s">
        <v>24</v>
      </c>
      <c r="AG62" s="4" t="s">
        <v>24</v>
      </c>
      <c r="AH62" s="4" t="s">
        <v>24</v>
      </c>
      <c r="AI62" s="4" t="s">
        <v>24</v>
      </c>
      <c r="AJ62" s="4" t="s">
        <v>24</v>
      </c>
      <c r="AK62" s="4" t="s">
        <v>36</v>
      </c>
      <c r="AL62" s="8" t="s">
        <v>192</v>
      </c>
      <c r="AM62" s="4" cm="1">
        <f t="array" ref="AM62">SUMPRODUCT((AA62:AK62&lt;&gt;"Pendiente")*(AA62:AK62&lt;&gt;""))</f>
        <v>10</v>
      </c>
      <c r="AN62" s="4">
        <f>COUNTA(Tabla256[[#This Row],[INVITACIÓN]:[ACTA DE INICIO]])</f>
        <v>11</v>
      </c>
      <c r="AO62" s="26">
        <f t="shared" si="7"/>
        <v>0.90909090909090906</v>
      </c>
      <c r="AP62" s="47"/>
      <c r="BF62" s="4">
        <f>COUNTA(Tabla256[[#This Row],[(1)SOLICITUD DE  APERTURA FIRNANCIERA Y PRESUPUESTO 1 (FECHA) ]:[(15) FECHA DE CONTRATACIÓN ADMINISTRATIVO]])</f>
        <v>0</v>
      </c>
      <c r="BG62" s="26">
        <f>Tabla256[[#This Row],[NUMERO OK]]/15</f>
        <v>0</v>
      </c>
      <c r="BH62" s="4" t="str">
        <f t="shared" ca="1" si="8"/>
        <v>N/A</v>
      </c>
      <c r="BJ62" s="9"/>
      <c r="BQ62" s="8"/>
    </row>
    <row r="63" spans="1:69" ht="85.5">
      <c r="A63" s="9">
        <v>2025</v>
      </c>
      <c r="B63" s="4">
        <v>10</v>
      </c>
      <c r="C63" s="4" t="s">
        <v>79</v>
      </c>
      <c r="E63" s="4" t="s">
        <v>100</v>
      </c>
      <c r="F63" s="4" t="s">
        <v>71</v>
      </c>
      <c r="G63" s="10"/>
      <c r="H63" s="62">
        <v>45749</v>
      </c>
      <c r="I63" s="10">
        <v>45756</v>
      </c>
      <c r="J63" s="10">
        <v>45909</v>
      </c>
      <c r="K63" s="6">
        <v>250366</v>
      </c>
      <c r="L63" s="4" t="s">
        <v>74</v>
      </c>
      <c r="M63" s="4" t="str">
        <f t="shared" ca="1" si="9"/>
        <v>EN EJECUCIÓN</v>
      </c>
      <c r="N63" s="4" t="s">
        <v>54</v>
      </c>
      <c r="O63" s="79" t="s">
        <v>360</v>
      </c>
      <c r="P63" s="37">
        <v>618838000</v>
      </c>
      <c r="Q63" s="37"/>
      <c r="R63" s="37">
        <v>61000000</v>
      </c>
      <c r="S63" s="37"/>
      <c r="T63" s="75">
        <f t="shared" si="6"/>
        <v>679838000</v>
      </c>
      <c r="U63" s="39">
        <f t="shared" si="10"/>
        <v>66304071.428571425</v>
      </c>
      <c r="V63" s="4" t="s">
        <v>616</v>
      </c>
      <c r="W63" s="4" t="s">
        <v>1149</v>
      </c>
      <c r="X63" s="4" t="s">
        <v>57</v>
      </c>
      <c r="Y63" s="4" t="s">
        <v>34</v>
      </c>
      <c r="Z63" s="11" t="s">
        <v>23</v>
      </c>
      <c r="AA63" s="65" t="s">
        <v>17</v>
      </c>
      <c r="AB63" s="4" t="s">
        <v>24</v>
      </c>
      <c r="AC63" s="4" t="s">
        <v>24</v>
      </c>
      <c r="AD63" s="4" t="s">
        <v>24</v>
      </c>
      <c r="AE63" s="4" t="s">
        <v>24</v>
      </c>
      <c r="AF63" s="4" t="s">
        <v>24</v>
      </c>
      <c r="AG63" s="4" t="s">
        <v>24</v>
      </c>
      <c r="AH63" s="4" t="s">
        <v>24</v>
      </c>
      <c r="AI63" s="4" t="s">
        <v>24</v>
      </c>
      <c r="AJ63" s="4" t="s">
        <v>24</v>
      </c>
      <c r="AK63" s="4" t="s">
        <v>24</v>
      </c>
      <c r="AL63" s="68" t="s">
        <v>192</v>
      </c>
      <c r="AM63" s="4" cm="1">
        <f t="array" ref="AM63">SUMPRODUCT((AA63:AK63&lt;&gt;"Pendiente")*(AA63:AK63&lt;&gt;""))</f>
        <v>11</v>
      </c>
      <c r="AN63" s="4">
        <f>COUNTA(Tabla256[[#This Row],[INVITACIÓN]:[ACTA DE INICIO]])</f>
        <v>11</v>
      </c>
      <c r="AO63" s="26">
        <f t="shared" si="7"/>
        <v>1</v>
      </c>
      <c r="AP63" s="47"/>
      <c r="BF63" s="4">
        <f>COUNTA(Tabla256[[#This Row],[(1)SOLICITUD DE  APERTURA FIRNANCIERA Y PRESUPUESTO 1 (FECHA) ]:[(15) FECHA DE CONTRATACIÓN ADMINISTRATIVO]])</f>
        <v>0</v>
      </c>
      <c r="BG63" s="26">
        <f>Tabla256[[#This Row],[NUMERO OK]]/15</f>
        <v>0</v>
      </c>
      <c r="BH63" s="4" t="str">
        <f t="shared" ca="1" si="8"/>
        <v>RiesgoAlto</v>
      </c>
      <c r="BJ63" s="9"/>
      <c r="BQ63" s="8"/>
    </row>
    <row r="64" spans="1:69" ht="85.5">
      <c r="A64" s="9">
        <v>2025</v>
      </c>
      <c r="B64" s="4">
        <v>11</v>
      </c>
      <c r="C64" s="4" t="s">
        <v>79</v>
      </c>
      <c r="E64" s="4" t="s">
        <v>100</v>
      </c>
      <c r="F64" s="4" t="s">
        <v>14</v>
      </c>
      <c r="G64" s="10"/>
      <c r="H64" s="62">
        <v>45757</v>
      </c>
      <c r="I64" s="10"/>
      <c r="J64" s="10"/>
      <c r="K64" s="6" t="s">
        <v>1164</v>
      </c>
      <c r="L64" s="4" t="s">
        <v>97</v>
      </c>
      <c r="M64" s="4" t="str">
        <f t="shared" ca="1" si="9"/>
        <v>SUSCRITO</v>
      </c>
      <c r="N64" s="4" t="s">
        <v>99</v>
      </c>
      <c r="O64" s="79" t="s">
        <v>227</v>
      </c>
      <c r="P64" s="37">
        <v>6850084165</v>
      </c>
      <c r="Q64" s="37">
        <v>0</v>
      </c>
      <c r="R64" s="37">
        <v>0</v>
      </c>
      <c r="S64" s="37">
        <v>0</v>
      </c>
      <c r="T64" s="75">
        <f t="shared" si="6"/>
        <v>6850084165</v>
      </c>
      <c r="U64" s="39">
        <f t="shared" si="10"/>
        <v>733937589.10714269</v>
      </c>
      <c r="V64" s="4" t="s">
        <v>1165</v>
      </c>
      <c r="W64" s="4" t="s">
        <v>1166</v>
      </c>
      <c r="X64" s="4" t="s">
        <v>101</v>
      </c>
      <c r="Y64" s="4" t="s">
        <v>22</v>
      </c>
      <c r="Z64" s="4" t="s">
        <v>23</v>
      </c>
      <c r="AA64" s="65" t="s">
        <v>17</v>
      </c>
      <c r="AB64" s="4" t="s">
        <v>24</v>
      </c>
      <c r="AC64" s="4" t="s">
        <v>17</v>
      </c>
      <c r="AD64" s="4" t="s">
        <v>24</v>
      </c>
      <c r="AE64" s="4" t="s">
        <v>17</v>
      </c>
      <c r="AF64" s="4" t="s">
        <v>24</v>
      </c>
      <c r="AG64" s="4" t="s">
        <v>24</v>
      </c>
      <c r="AH64" s="4" t="s">
        <v>24</v>
      </c>
      <c r="AI64" s="4" t="s">
        <v>36</v>
      </c>
      <c r="AJ64" s="4" t="s">
        <v>36</v>
      </c>
      <c r="AK64" s="4" t="s">
        <v>36</v>
      </c>
      <c r="AL64" s="68" t="s">
        <v>192</v>
      </c>
      <c r="AM64" s="4" cm="1">
        <f t="array" ref="AM64">SUMPRODUCT((AA64:AK64&lt;&gt;"Pendiente")*(AA64:AK64&lt;&gt;""))</f>
        <v>8</v>
      </c>
      <c r="AN64" s="4">
        <f>COUNTA(Tabla256[[#This Row],[INVITACIÓN]:[ACTA DE INICIO]])</f>
        <v>11</v>
      </c>
      <c r="AO64" s="26">
        <f t="shared" si="7"/>
        <v>0.72727272727272729</v>
      </c>
      <c r="AP64" s="47"/>
      <c r="BF64" s="4">
        <f>COUNTA(Tabla256[[#This Row],[(1)SOLICITUD DE  APERTURA FIRNANCIERA Y PRESUPUESTO 1 (FECHA) ]:[(15) FECHA DE CONTRATACIÓN ADMINISTRATIVO]])</f>
        <v>0</v>
      </c>
      <c r="BG64" s="26">
        <f>Tabla256[[#This Row],[NUMERO OK]]/15</f>
        <v>0</v>
      </c>
      <c r="BH64" s="4" t="str">
        <f t="shared" ca="1" si="8"/>
        <v>N/A</v>
      </c>
      <c r="BJ64" s="9"/>
      <c r="BQ64" s="8"/>
    </row>
    <row r="65" spans="1:69" ht="99.75">
      <c r="A65" s="9">
        <v>2025</v>
      </c>
      <c r="B65" s="4">
        <v>12</v>
      </c>
      <c r="E65" s="4" t="s">
        <v>112</v>
      </c>
      <c r="F65" s="4" t="s">
        <v>77</v>
      </c>
      <c r="G65" s="10"/>
      <c r="H65" s="62">
        <v>45758</v>
      </c>
      <c r="I65" s="10"/>
      <c r="J65" s="10"/>
      <c r="K65" s="6" t="s">
        <v>1167</v>
      </c>
      <c r="L65" s="4" t="s">
        <v>97</v>
      </c>
      <c r="M65" s="4" t="str">
        <f t="shared" ca="1" si="9"/>
        <v>SUSCRITO</v>
      </c>
      <c r="N65" s="4" t="s">
        <v>99</v>
      </c>
      <c r="O65" s="79" t="s">
        <v>1168</v>
      </c>
      <c r="P65" s="37">
        <v>1443523270</v>
      </c>
      <c r="Q65" s="37">
        <v>0</v>
      </c>
      <c r="R65" s="37">
        <v>144352327</v>
      </c>
      <c r="S65" s="37">
        <v>0</v>
      </c>
      <c r="T65" s="75">
        <f t="shared" si="6"/>
        <v>1587875597</v>
      </c>
      <c r="U65" s="39">
        <f t="shared" si="10"/>
        <v>154663207.5</v>
      </c>
      <c r="V65" s="4" t="s">
        <v>1169</v>
      </c>
      <c r="W65" s="4" t="s">
        <v>1170</v>
      </c>
      <c r="X65" s="4" t="s">
        <v>72</v>
      </c>
      <c r="Y65" s="4" t="s">
        <v>34</v>
      </c>
      <c r="Z65" s="4" t="s">
        <v>23</v>
      </c>
      <c r="AA65" s="65" t="s">
        <v>24</v>
      </c>
      <c r="AB65" s="4" t="s">
        <v>24</v>
      </c>
      <c r="AC65" s="4" t="s">
        <v>17</v>
      </c>
      <c r="AD65" s="4" t="s">
        <v>24</v>
      </c>
      <c r="AE65" s="4" t="s">
        <v>17</v>
      </c>
      <c r="AF65" s="4" t="s">
        <v>24</v>
      </c>
      <c r="AG65" s="4" t="s">
        <v>24</v>
      </c>
      <c r="AH65" s="4" t="s">
        <v>24</v>
      </c>
      <c r="AI65" s="4" t="s">
        <v>36</v>
      </c>
      <c r="AJ65" s="4" t="s">
        <v>36</v>
      </c>
      <c r="AK65" s="4" t="s">
        <v>36</v>
      </c>
      <c r="AL65" s="68" t="s">
        <v>192</v>
      </c>
      <c r="AM65" s="4" cm="1">
        <f t="array" ref="AM65">SUMPRODUCT((AA65:AK65&lt;&gt;"Pendiente")*(AA65:AK65&lt;&gt;""))</f>
        <v>8</v>
      </c>
      <c r="AN65" s="4">
        <f>COUNTA(Tabla256[[#This Row],[INVITACIÓN]:[ACTA DE INICIO]])</f>
        <v>11</v>
      </c>
      <c r="AO65" s="26">
        <f t="shared" si="7"/>
        <v>0.72727272727272729</v>
      </c>
      <c r="AP65" s="47"/>
      <c r="BF65" s="4">
        <f>COUNTA(Tabla256[[#This Row],[(1)SOLICITUD DE  APERTURA FIRNANCIERA Y PRESUPUESTO 1 (FECHA) ]:[(15) FECHA DE CONTRATACIÓN ADMINISTRATIVO]])</f>
        <v>0</v>
      </c>
      <c r="BG65" s="26">
        <f>Tabla256[[#This Row],[NUMERO OK]]/15</f>
        <v>0</v>
      </c>
      <c r="BH65" s="4" t="str">
        <f t="shared" ca="1" si="8"/>
        <v>N/A</v>
      </c>
      <c r="BJ65" s="9"/>
      <c r="BQ65" s="8"/>
    </row>
    <row r="66" spans="1:69" ht="114">
      <c r="A66" s="9">
        <v>2025</v>
      </c>
      <c r="B66" s="4">
        <v>13</v>
      </c>
      <c r="E66" s="4" t="s">
        <v>104</v>
      </c>
      <c r="F66" s="4" t="s">
        <v>64</v>
      </c>
      <c r="G66" s="10"/>
      <c r="H66" s="62">
        <v>45757</v>
      </c>
      <c r="I66" s="10"/>
      <c r="J66" s="10"/>
      <c r="K66" s="6" t="s">
        <v>1171</v>
      </c>
      <c r="L66" s="4" t="s">
        <v>97</v>
      </c>
      <c r="M66" s="4" t="str">
        <f t="shared" ca="1" si="9"/>
        <v>SUSCRITO</v>
      </c>
      <c r="N66" s="4" t="s">
        <v>99</v>
      </c>
      <c r="O66" s="79" t="s">
        <v>227</v>
      </c>
      <c r="P66" s="37">
        <v>1562512000</v>
      </c>
      <c r="Q66" s="37">
        <v>0</v>
      </c>
      <c r="R66" s="37">
        <v>0</v>
      </c>
      <c r="S66" s="37">
        <v>0</v>
      </c>
      <c r="T66" s="75">
        <f t="shared" si="6"/>
        <v>1562512000</v>
      </c>
      <c r="U66" s="39">
        <f t="shared" si="10"/>
        <v>167411999.99999997</v>
      </c>
      <c r="V66" s="4" t="s">
        <v>1172</v>
      </c>
      <c r="W66" s="4" t="s">
        <v>1173</v>
      </c>
      <c r="X66" s="4" t="s">
        <v>72</v>
      </c>
      <c r="Y66" s="4" t="s">
        <v>22</v>
      </c>
      <c r="Z66" s="4" t="s">
        <v>23</v>
      </c>
      <c r="AA66" s="65" t="s">
        <v>17</v>
      </c>
      <c r="AB66" s="4" t="s">
        <v>24</v>
      </c>
      <c r="AC66" s="4" t="s">
        <v>17</v>
      </c>
      <c r="AD66" s="4" t="s">
        <v>24</v>
      </c>
      <c r="AE66" s="4" t="s">
        <v>17</v>
      </c>
      <c r="AF66" s="4" t="s">
        <v>24</v>
      </c>
      <c r="AG66" s="4" t="s">
        <v>24</v>
      </c>
      <c r="AH66" s="4" t="s">
        <v>24</v>
      </c>
      <c r="AI66" s="4" t="s">
        <v>36</v>
      </c>
      <c r="AJ66" s="4" t="s">
        <v>36</v>
      </c>
      <c r="AK66" s="4" t="s">
        <v>36</v>
      </c>
      <c r="AL66" s="68" t="s">
        <v>192</v>
      </c>
      <c r="AM66" s="4" cm="1">
        <f t="array" ref="AM66">SUMPRODUCT((AA66:AK66&lt;&gt;"Pendiente")*(AA66:AK66&lt;&gt;""))</f>
        <v>8</v>
      </c>
      <c r="AN66" s="4">
        <f>COUNTA(Tabla256[[#This Row],[INVITACIÓN]:[ACTA DE INICIO]])</f>
        <v>11</v>
      </c>
      <c r="AO66" s="26">
        <f t="shared" si="7"/>
        <v>0.72727272727272729</v>
      </c>
      <c r="AP66" s="47"/>
      <c r="BF66" s="4">
        <f>COUNTA(Tabla256[[#This Row],[(1)SOLICITUD DE  APERTURA FIRNANCIERA Y PRESUPUESTO 1 (FECHA) ]:[(15) FECHA DE CONTRATACIÓN ADMINISTRATIVO]])</f>
        <v>0</v>
      </c>
      <c r="BG66" s="26">
        <f>Tabla256[[#This Row],[NUMERO OK]]/15</f>
        <v>0</v>
      </c>
      <c r="BH66" s="4" t="str">
        <f t="shared" ca="1" si="8"/>
        <v>N/A</v>
      </c>
      <c r="BJ66" s="9"/>
      <c r="BQ66" s="8"/>
    </row>
    <row r="67" spans="1:69">
      <c r="A67" s="9"/>
      <c r="G67" s="10"/>
      <c r="H67" s="62"/>
      <c r="I67" s="10"/>
      <c r="J67" s="10"/>
      <c r="K67" s="6"/>
      <c r="M67" s="4" t="str">
        <f t="shared" ca="1" si="9"/>
        <v>SUSCRITO</v>
      </c>
      <c r="O67" s="79"/>
      <c r="P67" s="37"/>
      <c r="Q67" s="37"/>
      <c r="R67" s="37"/>
      <c r="S67" s="37"/>
      <c r="T67" s="75">
        <f t="shared" ref="T67:T98" si="11">P67+R67</f>
        <v>0</v>
      </c>
      <c r="U67" s="39">
        <f t="shared" si="10"/>
        <v>0</v>
      </c>
      <c r="V67" s="39"/>
      <c r="Z67" s="11"/>
      <c r="AA67" s="65"/>
      <c r="AL67" s="68"/>
      <c r="AM67" s="4" cm="1">
        <f t="array" ref="AM67">SUMPRODUCT((AA67:AK67&lt;&gt;"Pendiente")*(AA67:AK67&lt;&gt;""))</f>
        <v>0</v>
      </c>
      <c r="AN67" s="4">
        <f>COUNTA(Tabla256[[#This Row],[INVITACIÓN]:[ACTA DE INICIO]])</f>
        <v>0</v>
      </c>
      <c r="AO67" s="26" t="e">
        <f t="shared" ref="AO67:AO98" si="12">AM67/AN67</f>
        <v>#DIV/0!</v>
      </c>
      <c r="AP67" s="47"/>
      <c r="BF67" s="4">
        <f>COUNTA(Tabla256[[#This Row],[(1)SOLICITUD DE  APERTURA FIRNANCIERA Y PRESUPUESTO 1 (FECHA) ]:[(15) FECHA DE CONTRATACIÓN ADMINISTRATIVO]])</f>
        <v>0</v>
      </c>
      <c r="BG67" s="26">
        <f>Tabla256[[#This Row],[NUMERO OK]]/15</f>
        <v>0</v>
      </c>
      <c r="BH67" s="4" t="str">
        <f t="shared" ref="BH67:BH98" ca="1" si="13">IF(ISBLANK(I67),"N/A",
   IF(TODAY()-I67&lt;=15,
      IF(BG67=100%,"EnTiempos","EnProceso"),
      IF(BG67&lt;80%,"RiesgoAlto",
         IF(BG67&lt;100%,"RiesgoMedio","Cumplido")
      )
   )
)</f>
        <v>N/A</v>
      </c>
      <c r="BJ67" s="9"/>
      <c r="BQ67" s="8"/>
    </row>
    <row r="68" spans="1:69">
      <c r="A68" s="9"/>
      <c r="G68" s="10"/>
      <c r="H68" s="62"/>
      <c r="I68" s="10"/>
      <c r="J68" s="10"/>
      <c r="K68" s="6"/>
      <c r="M68" s="4" t="str">
        <f t="shared" ca="1" si="9"/>
        <v>SUSCRITO</v>
      </c>
      <c r="O68" s="79"/>
      <c r="P68" s="37"/>
      <c r="Q68" s="37"/>
      <c r="R68" s="37"/>
      <c r="S68" s="37"/>
      <c r="T68" s="75">
        <f t="shared" si="11"/>
        <v>0</v>
      </c>
      <c r="U68" s="39">
        <f t="shared" si="10"/>
        <v>0</v>
      </c>
      <c r="V68" s="39"/>
      <c r="Z68" s="11"/>
      <c r="AA68" s="65"/>
      <c r="AL68" s="68"/>
      <c r="AM68" s="4" cm="1">
        <f t="array" ref="AM68">SUMPRODUCT((AA68:AK68&lt;&gt;"Pendiente")*(AA68:AK68&lt;&gt;""))</f>
        <v>0</v>
      </c>
      <c r="AN68" s="4">
        <f>COUNTA(Tabla256[[#This Row],[INVITACIÓN]:[ACTA DE INICIO]])</f>
        <v>0</v>
      </c>
      <c r="AO68" s="26" t="e">
        <f t="shared" si="12"/>
        <v>#DIV/0!</v>
      </c>
      <c r="AP68" s="47"/>
      <c r="BF68" s="4">
        <f>COUNTA(Tabla256[[#This Row],[(1)SOLICITUD DE  APERTURA FIRNANCIERA Y PRESUPUESTO 1 (FECHA) ]:[(15) FECHA DE CONTRATACIÓN ADMINISTRATIVO]])</f>
        <v>0</v>
      </c>
      <c r="BG68" s="26">
        <f>Tabla256[[#This Row],[NUMERO OK]]/15</f>
        <v>0</v>
      </c>
      <c r="BH68" s="4" t="str">
        <f t="shared" ca="1" si="13"/>
        <v>N/A</v>
      </c>
      <c r="BJ68" s="9"/>
      <c r="BQ68" s="8"/>
    </row>
    <row r="69" spans="1:69">
      <c r="A69" s="9"/>
      <c r="G69" s="10"/>
      <c r="H69" s="62"/>
      <c r="I69" s="10"/>
      <c r="J69" s="10"/>
      <c r="K69" s="6"/>
      <c r="M69" s="4" t="str">
        <f t="shared" ca="1" si="9"/>
        <v>SUSCRITO</v>
      </c>
      <c r="O69" s="79"/>
      <c r="P69" s="37"/>
      <c r="Q69" s="37"/>
      <c r="R69" s="37"/>
      <c r="S69" s="37"/>
      <c r="T69" s="75">
        <f t="shared" si="11"/>
        <v>0</v>
      </c>
      <c r="U69" s="39">
        <f t="shared" si="10"/>
        <v>0</v>
      </c>
      <c r="V69" s="39"/>
      <c r="Z69" s="11"/>
      <c r="AA69" s="65"/>
      <c r="AL69" s="68"/>
      <c r="AM69" s="4" cm="1">
        <f t="array" ref="AM69">SUMPRODUCT((AA69:AK69&lt;&gt;"Pendiente")*(AA69:AK69&lt;&gt;""))</f>
        <v>0</v>
      </c>
      <c r="AN69" s="4">
        <f>COUNTA(Tabla256[[#This Row],[INVITACIÓN]:[ACTA DE INICIO]])</f>
        <v>0</v>
      </c>
      <c r="AO69" s="26" t="e">
        <f t="shared" si="12"/>
        <v>#DIV/0!</v>
      </c>
      <c r="AP69" s="47"/>
      <c r="BF69" s="4">
        <f>COUNTA(Tabla256[[#This Row],[(1)SOLICITUD DE  APERTURA FIRNANCIERA Y PRESUPUESTO 1 (FECHA) ]:[(15) FECHA DE CONTRATACIÓN ADMINISTRATIVO]])</f>
        <v>0</v>
      </c>
      <c r="BG69" s="26">
        <f>Tabla256[[#This Row],[NUMERO OK]]/15</f>
        <v>0</v>
      </c>
      <c r="BH69" s="4" t="str">
        <f t="shared" ca="1" si="13"/>
        <v>N/A</v>
      </c>
      <c r="BJ69" s="9"/>
      <c r="BQ69" s="8"/>
    </row>
    <row r="70" spans="1:69">
      <c r="A70" s="9"/>
      <c r="G70" s="10"/>
      <c r="H70" s="62"/>
      <c r="I70" s="10"/>
      <c r="J70" s="10"/>
      <c r="K70" s="6"/>
      <c r="M70" s="4" t="str">
        <f t="shared" ca="1" si="9"/>
        <v>SUSCRITO</v>
      </c>
      <c r="O70" s="79"/>
      <c r="P70" s="37"/>
      <c r="Q70" s="37"/>
      <c r="R70" s="37"/>
      <c r="S70" s="37"/>
      <c r="T70" s="75">
        <f t="shared" si="11"/>
        <v>0</v>
      </c>
      <c r="U70" s="39">
        <f t="shared" si="10"/>
        <v>0</v>
      </c>
      <c r="V70" s="39"/>
      <c r="Z70" s="11"/>
      <c r="AA70" s="65"/>
      <c r="AL70" s="68"/>
      <c r="AM70" s="4" cm="1">
        <f t="array" ref="AM70">SUMPRODUCT((AA70:AK70&lt;&gt;"Pendiente")*(AA70:AK70&lt;&gt;""))</f>
        <v>0</v>
      </c>
      <c r="AN70" s="4">
        <f>COUNTA(Tabla256[[#This Row],[INVITACIÓN]:[ACTA DE INICIO]])</f>
        <v>0</v>
      </c>
      <c r="AO70" s="26" t="e">
        <f t="shared" si="12"/>
        <v>#DIV/0!</v>
      </c>
      <c r="AP70" s="47"/>
      <c r="BF70" s="4">
        <f>COUNTA(Tabla256[[#This Row],[(1)SOLICITUD DE  APERTURA FIRNANCIERA Y PRESUPUESTO 1 (FECHA) ]:[(15) FECHA DE CONTRATACIÓN ADMINISTRATIVO]])</f>
        <v>0</v>
      </c>
      <c r="BG70" s="26">
        <f>Tabla256[[#This Row],[NUMERO OK]]/15</f>
        <v>0</v>
      </c>
      <c r="BH70" s="4" t="str">
        <f t="shared" ca="1" si="13"/>
        <v>N/A</v>
      </c>
      <c r="BJ70" s="9"/>
      <c r="BQ70" s="8"/>
    </row>
    <row r="71" spans="1:69">
      <c r="A71" s="9"/>
      <c r="G71" s="10"/>
      <c r="H71" s="62"/>
      <c r="I71" s="10"/>
      <c r="J71" s="10"/>
      <c r="K71" s="6"/>
      <c r="M71" s="4" t="str">
        <f t="shared" ca="1" si="9"/>
        <v>SUSCRITO</v>
      </c>
      <c r="O71" s="79"/>
      <c r="P71" s="37"/>
      <c r="Q71" s="37"/>
      <c r="R71" s="37"/>
      <c r="S71" s="37"/>
      <c r="T71" s="75">
        <f t="shared" si="11"/>
        <v>0</v>
      </c>
      <c r="U71" s="39">
        <f t="shared" si="10"/>
        <v>0</v>
      </c>
      <c r="V71" s="39"/>
      <c r="Z71" s="11"/>
      <c r="AA71" s="65"/>
      <c r="AL71" s="68"/>
      <c r="AM71" s="4" cm="1">
        <f t="array" ref="AM71">SUMPRODUCT((AA71:AK71&lt;&gt;"Pendiente")*(AA71:AK71&lt;&gt;""))</f>
        <v>0</v>
      </c>
      <c r="AN71" s="4">
        <f>COUNTA(Tabla256[[#This Row],[INVITACIÓN]:[ACTA DE INICIO]])</f>
        <v>0</v>
      </c>
      <c r="AO71" s="26" t="e">
        <f t="shared" si="12"/>
        <v>#DIV/0!</v>
      </c>
      <c r="AP71" s="47"/>
      <c r="BF71" s="4">
        <f>COUNTA(Tabla256[[#This Row],[(1)SOLICITUD DE  APERTURA FIRNANCIERA Y PRESUPUESTO 1 (FECHA) ]:[(15) FECHA DE CONTRATACIÓN ADMINISTRATIVO]])</f>
        <v>0</v>
      </c>
      <c r="BG71" s="26">
        <f>Tabla256[[#This Row],[NUMERO OK]]/15</f>
        <v>0</v>
      </c>
      <c r="BH71" s="4" t="str">
        <f t="shared" ca="1" si="13"/>
        <v>N/A</v>
      </c>
      <c r="BJ71" s="9"/>
      <c r="BQ71" s="8"/>
    </row>
    <row r="72" spans="1:69">
      <c r="A72" s="9"/>
      <c r="G72" s="10"/>
      <c r="H72" s="62"/>
      <c r="I72" s="10"/>
      <c r="J72" s="10"/>
      <c r="K72" s="6"/>
      <c r="M72" s="4" t="str">
        <f t="shared" ca="1" si="9"/>
        <v>SUSCRITO</v>
      </c>
      <c r="O72" s="79"/>
      <c r="P72" s="37"/>
      <c r="Q72" s="37"/>
      <c r="R72" s="37"/>
      <c r="S72" s="37"/>
      <c r="T72" s="75">
        <f t="shared" si="11"/>
        <v>0</v>
      </c>
      <c r="U72" s="39">
        <f t="shared" si="10"/>
        <v>0</v>
      </c>
      <c r="V72" s="39"/>
      <c r="Z72" s="11"/>
      <c r="AA72" s="65"/>
      <c r="AL72" s="68"/>
      <c r="AM72" s="4" cm="1">
        <f t="array" ref="AM72">SUMPRODUCT((AA72:AK72&lt;&gt;"Pendiente")*(AA72:AK72&lt;&gt;""))</f>
        <v>0</v>
      </c>
      <c r="AN72" s="4">
        <f>COUNTA(Tabla256[[#This Row],[INVITACIÓN]:[ACTA DE INICIO]])</f>
        <v>0</v>
      </c>
      <c r="AO72" s="26" t="e">
        <f t="shared" si="12"/>
        <v>#DIV/0!</v>
      </c>
      <c r="AP72" s="47"/>
      <c r="BF72" s="4">
        <f>COUNTA(Tabla256[[#This Row],[(1)SOLICITUD DE  APERTURA FIRNANCIERA Y PRESUPUESTO 1 (FECHA) ]:[(15) FECHA DE CONTRATACIÓN ADMINISTRATIVO]])</f>
        <v>0</v>
      </c>
      <c r="BG72" s="26">
        <f>Tabla256[[#This Row],[NUMERO OK]]/15</f>
        <v>0</v>
      </c>
      <c r="BH72" s="4" t="str">
        <f t="shared" ca="1" si="13"/>
        <v>N/A</v>
      </c>
      <c r="BJ72" s="9"/>
      <c r="BQ72" s="8"/>
    </row>
    <row r="73" spans="1:69">
      <c r="A73" s="9"/>
      <c r="G73" s="10"/>
      <c r="H73" s="62"/>
      <c r="I73" s="10"/>
      <c r="J73" s="10"/>
      <c r="K73" s="6"/>
      <c r="M73" s="4" t="str">
        <f t="shared" ca="1" si="9"/>
        <v>SUSCRITO</v>
      </c>
      <c r="O73" s="79"/>
      <c r="P73" s="37"/>
      <c r="Q73" s="37"/>
      <c r="R73" s="37"/>
      <c r="S73" s="37"/>
      <c r="T73" s="75">
        <f t="shared" si="11"/>
        <v>0</v>
      </c>
      <c r="U73" s="39">
        <f t="shared" si="10"/>
        <v>0</v>
      </c>
      <c r="V73" s="39"/>
      <c r="Z73" s="11"/>
      <c r="AA73" s="65"/>
      <c r="AL73" s="68"/>
      <c r="AM73" s="4" cm="1">
        <f t="array" ref="AM73">SUMPRODUCT((AA73:AK73&lt;&gt;"Pendiente")*(AA73:AK73&lt;&gt;""))</f>
        <v>0</v>
      </c>
      <c r="AN73" s="4">
        <f>COUNTA(Tabla256[[#This Row],[INVITACIÓN]:[ACTA DE INICIO]])</f>
        <v>0</v>
      </c>
      <c r="AO73" s="26" t="e">
        <f t="shared" si="12"/>
        <v>#DIV/0!</v>
      </c>
      <c r="AP73" s="47"/>
      <c r="BF73" s="4">
        <f>COUNTA(Tabla256[[#This Row],[(1)SOLICITUD DE  APERTURA FIRNANCIERA Y PRESUPUESTO 1 (FECHA) ]:[(15) FECHA DE CONTRATACIÓN ADMINISTRATIVO]])</f>
        <v>0</v>
      </c>
      <c r="BG73" s="26">
        <f>Tabla256[[#This Row],[NUMERO OK]]/15</f>
        <v>0</v>
      </c>
      <c r="BH73" s="4" t="str">
        <f t="shared" ca="1" si="13"/>
        <v>N/A</v>
      </c>
      <c r="BJ73" s="9"/>
      <c r="BQ73" s="8"/>
    </row>
    <row r="74" spans="1:69">
      <c r="A74" s="9"/>
      <c r="G74" s="10"/>
      <c r="H74" s="62"/>
      <c r="I74" s="10"/>
      <c r="J74" s="10"/>
      <c r="K74" s="6"/>
      <c r="M74" s="4" t="str">
        <f t="shared" ca="1" si="9"/>
        <v>SUSCRITO</v>
      </c>
      <c r="O74" s="79"/>
      <c r="P74" s="37"/>
      <c r="Q74" s="37"/>
      <c r="R74" s="37"/>
      <c r="S74" s="37"/>
      <c r="T74" s="75">
        <f t="shared" si="11"/>
        <v>0</v>
      </c>
      <c r="U74" s="39">
        <f t="shared" si="10"/>
        <v>0</v>
      </c>
      <c r="V74" s="39"/>
      <c r="Z74" s="11"/>
      <c r="AA74" s="65"/>
      <c r="AL74" s="68"/>
      <c r="AM74" s="4" cm="1">
        <f t="array" ref="AM74">SUMPRODUCT((AA74:AK74&lt;&gt;"Pendiente")*(AA74:AK74&lt;&gt;""))</f>
        <v>0</v>
      </c>
      <c r="AN74" s="4">
        <f>COUNTA(Tabla256[[#This Row],[INVITACIÓN]:[ACTA DE INICIO]])</f>
        <v>0</v>
      </c>
      <c r="AO74" s="26" t="e">
        <f t="shared" si="12"/>
        <v>#DIV/0!</v>
      </c>
      <c r="AP74" s="47"/>
      <c r="BF74" s="4">
        <f>COUNTA(Tabla256[[#This Row],[(1)SOLICITUD DE  APERTURA FIRNANCIERA Y PRESUPUESTO 1 (FECHA) ]:[(15) FECHA DE CONTRATACIÓN ADMINISTRATIVO]])</f>
        <v>0</v>
      </c>
      <c r="BG74" s="26">
        <f>Tabla256[[#This Row],[NUMERO OK]]/15</f>
        <v>0</v>
      </c>
      <c r="BH74" s="4" t="str">
        <f t="shared" ca="1" si="13"/>
        <v>N/A</v>
      </c>
      <c r="BJ74" s="9"/>
      <c r="BQ74" s="8"/>
    </row>
    <row r="75" spans="1:69">
      <c r="A75" s="9"/>
      <c r="G75" s="10"/>
      <c r="H75" s="62"/>
      <c r="I75" s="10"/>
      <c r="J75" s="10"/>
      <c r="K75" s="6"/>
      <c r="M75" s="4" t="str">
        <f t="shared" ref="M75:M106" ca="1" si="14">IF(J75="", "SUSCRITO", IF(J75&lt;=TODAY(), "FINALIZADO", "EN EJECUCIÓN"))</f>
        <v>SUSCRITO</v>
      </c>
      <c r="O75" s="79"/>
      <c r="P75" s="37"/>
      <c r="Q75" s="37"/>
      <c r="R75" s="37"/>
      <c r="S75" s="37"/>
      <c r="T75" s="75">
        <f t="shared" si="11"/>
        <v>0</v>
      </c>
      <c r="U75" s="39">
        <f t="shared" si="10"/>
        <v>0</v>
      </c>
      <c r="V75" s="39"/>
      <c r="Z75" s="11"/>
      <c r="AA75" s="65"/>
      <c r="AL75" s="68"/>
      <c r="AM75" s="4" cm="1">
        <f t="array" ref="AM75">SUMPRODUCT((AA75:AK75&lt;&gt;"Pendiente")*(AA75:AK75&lt;&gt;""))</f>
        <v>0</v>
      </c>
      <c r="AN75" s="4">
        <f>COUNTA(Tabla256[[#This Row],[INVITACIÓN]:[ACTA DE INICIO]])</f>
        <v>0</v>
      </c>
      <c r="AO75" s="26" t="e">
        <f t="shared" si="12"/>
        <v>#DIV/0!</v>
      </c>
      <c r="AP75" s="47"/>
      <c r="BF75" s="4">
        <f>COUNTA(Tabla256[[#This Row],[(1)SOLICITUD DE  APERTURA FIRNANCIERA Y PRESUPUESTO 1 (FECHA) ]:[(15) FECHA DE CONTRATACIÓN ADMINISTRATIVO]])</f>
        <v>0</v>
      </c>
      <c r="BG75" s="26">
        <f>Tabla256[[#This Row],[NUMERO OK]]/15</f>
        <v>0</v>
      </c>
      <c r="BH75" s="4" t="str">
        <f t="shared" ca="1" si="13"/>
        <v>N/A</v>
      </c>
      <c r="BJ75" s="9"/>
      <c r="BQ75" s="8"/>
    </row>
    <row r="76" spans="1:69">
      <c r="A76" s="9"/>
      <c r="G76" s="10"/>
      <c r="H76" s="62"/>
      <c r="I76" s="10"/>
      <c r="J76" s="10"/>
      <c r="K76" s="6"/>
      <c r="M76" s="4" t="str">
        <f t="shared" ca="1" si="14"/>
        <v>SUSCRITO</v>
      </c>
      <c r="O76" s="79"/>
      <c r="P76" s="37"/>
      <c r="Q76" s="37"/>
      <c r="R76" s="37"/>
      <c r="S76" s="37"/>
      <c r="T76" s="75">
        <f t="shared" si="11"/>
        <v>0</v>
      </c>
      <c r="U76" s="39">
        <f t="shared" si="10"/>
        <v>0</v>
      </c>
      <c r="V76" s="39"/>
      <c r="Z76" s="11"/>
      <c r="AA76" s="65"/>
      <c r="AL76" s="68"/>
      <c r="AM76" s="4" cm="1">
        <f t="array" ref="AM76">SUMPRODUCT((AA76:AK76&lt;&gt;"Pendiente")*(AA76:AK76&lt;&gt;""))</f>
        <v>0</v>
      </c>
      <c r="AN76" s="4">
        <f>COUNTA(Tabla256[[#This Row],[INVITACIÓN]:[ACTA DE INICIO]])</f>
        <v>0</v>
      </c>
      <c r="AO76" s="26" t="e">
        <f t="shared" si="12"/>
        <v>#DIV/0!</v>
      </c>
      <c r="AP76" s="47"/>
      <c r="BF76" s="4">
        <f>COUNTA(Tabla256[[#This Row],[(1)SOLICITUD DE  APERTURA FIRNANCIERA Y PRESUPUESTO 1 (FECHA) ]:[(15) FECHA DE CONTRATACIÓN ADMINISTRATIVO]])</f>
        <v>0</v>
      </c>
      <c r="BG76" s="26">
        <f>Tabla256[[#This Row],[NUMERO OK]]/15</f>
        <v>0</v>
      </c>
      <c r="BH76" s="4" t="str">
        <f t="shared" ca="1" si="13"/>
        <v>N/A</v>
      </c>
      <c r="BJ76" s="9"/>
      <c r="BQ76" s="8"/>
    </row>
    <row r="77" spans="1:69">
      <c r="A77" s="9"/>
      <c r="G77" s="10"/>
      <c r="H77" s="62"/>
      <c r="I77" s="10"/>
      <c r="J77" s="10"/>
      <c r="K77" s="6"/>
      <c r="M77" s="4" t="str">
        <f t="shared" ca="1" si="14"/>
        <v>SUSCRITO</v>
      </c>
      <c r="O77" s="79"/>
      <c r="P77" s="37"/>
      <c r="Q77" s="37"/>
      <c r="R77" s="37"/>
      <c r="S77" s="37"/>
      <c r="T77" s="75">
        <f t="shared" si="11"/>
        <v>0</v>
      </c>
      <c r="U77" s="39">
        <f t="shared" si="10"/>
        <v>0</v>
      </c>
      <c r="V77" s="39"/>
      <c r="Z77" s="11"/>
      <c r="AA77" s="65"/>
      <c r="AL77" s="68"/>
      <c r="AM77" s="4" cm="1">
        <f t="array" ref="AM77">SUMPRODUCT((AA77:AK77&lt;&gt;"Pendiente")*(AA77:AK77&lt;&gt;""))</f>
        <v>0</v>
      </c>
      <c r="AN77" s="4">
        <f>COUNTA(Tabla256[[#This Row],[INVITACIÓN]:[ACTA DE INICIO]])</f>
        <v>0</v>
      </c>
      <c r="AO77" s="26" t="e">
        <f t="shared" si="12"/>
        <v>#DIV/0!</v>
      </c>
      <c r="AP77" s="47"/>
      <c r="BF77" s="4">
        <f>COUNTA(Tabla256[[#This Row],[(1)SOLICITUD DE  APERTURA FIRNANCIERA Y PRESUPUESTO 1 (FECHA) ]:[(15) FECHA DE CONTRATACIÓN ADMINISTRATIVO]])</f>
        <v>0</v>
      </c>
      <c r="BG77" s="26">
        <f>Tabla256[[#This Row],[NUMERO OK]]/15</f>
        <v>0</v>
      </c>
      <c r="BH77" s="4" t="str">
        <f t="shared" ca="1" si="13"/>
        <v>N/A</v>
      </c>
      <c r="BJ77" s="9"/>
      <c r="BQ77" s="8"/>
    </row>
    <row r="78" spans="1:69">
      <c r="A78" s="9"/>
      <c r="G78" s="10"/>
      <c r="H78" s="62"/>
      <c r="I78" s="10"/>
      <c r="J78" s="10"/>
      <c r="K78" s="6"/>
      <c r="M78" s="4" t="str">
        <f t="shared" ca="1" si="14"/>
        <v>SUSCRITO</v>
      </c>
      <c r="O78" s="79"/>
      <c r="P78" s="37"/>
      <c r="Q78" s="37"/>
      <c r="R78" s="37"/>
      <c r="S78" s="37"/>
      <c r="T78" s="75">
        <f t="shared" si="11"/>
        <v>0</v>
      </c>
      <c r="U78" s="39">
        <f t="shared" si="10"/>
        <v>0</v>
      </c>
      <c r="V78" s="39"/>
      <c r="Z78" s="11"/>
      <c r="AA78" s="65"/>
      <c r="AL78" s="68"/>
      <c r="AM78" s="4" cm="1">
        <f t="array" ref="AM78">SUMPRODUCT((AA78:AK78&lt;&gt;"Pendiente")*(AA78:AK78&lt;&gt;""))</f>
        <v>0</v>
      </c>
      <c r="AN78" s="4">
        <f>COUNTA(Tabla256[[#This Row],[INVITACIÓN]:[ACTA DE INICIO]])</f>
        <v>0</v>
      </c>
      <c r="AO78" s="26" t="e">
        <f t="shared" si="12"/>
        <v>#DIV/0!</v>
      </c>
      <c r="AP78" s="47"/>
      <c r="BF78" s="4">
        <f>COUNTA(Tabla256[[#This Row],[(1)SOLICITUD DE  APERTURA FIRNANCIERA Y PRESUPUESTO 1 (FECHA) ]:[(15) FECHA DE CONTRATACIÓN ADMINISTRATIVO]])</f>
        <v>0</v>
      </c>
      <c r="BG78" s="26">
        <f>Tabla256[[#This Row],[NUMERO OK]]/15</f>
        <v>0</v>
      </c>
      <c r="BH78" s="4" t="str">
        <f t="shared" ca="1" si="13"/>
        <v>N/A</v>
      </c>
      <c r="BJ78" s="9"/>
      <c r="BQ78" s="8"/>
    </row>
    <row r="79" spans="1:69">
      <c r="A79" s="9"/>
      <c r="G79" s="10"/>
      <c r="H79" s="62"/>
      <c r="I79" s="10"/>
      <c r="J79" s="10"/>
      <c r="K79" s="6"/>
      <c r="M79" s="4" t="str">
        <f t="shared" ca="1" si="14"/>
        <v>SUSCRITO</v>
      </c>
      <c r="O79" s="79"/>
      <c r="P79" s="37"/>
      <c r="Q79" s="37"/>
      <c r="R79" s="37"/>
      <c r="S79" s="37"/>
      <c r="T79" s="75">
        <f t="shared" si="11"/>
        <v>0</v>
      </c>
      <c r="U79" s="39">
        <f t="shared" si="10"/>
        <v>0</v>
      </c>
      <c r="V79" s="39"/>
      <c r="Z79" s="11"/>
      <c r="AA79" s="65"/>
      <c r="AL79" s="68"/>
      <c r="AM79" s="4" cm="1">
        <f t="array" ref="AM79">SUMPRODUCT((AA79:AK79&lt;&gt;"Pendiente")*(AA79:AK79&lt;&gt;""))</f>
        <v>0</v>
      </c>
      <c r="AN79" s="4">
        <f>COUNTA(Tabla256[[#This Row],[INVITACIÓN]:[ACTA DE INICIO]])</f>
        <v>0</v>
      </c>
      <c r="AO79" s="26" t="e">
        <f t="shared" si="12"/>
        <v>#DIV/0!</v>
      </c>
      <c r="AP79" s="47"/>
      <c r="BF79" s="4">
        <f>COUNTA(Tabla256[[#This Row],[(1)SOLICITUD DE  APERTURA FIRNANCIERA Y PRESUPUESTO 1 (FECHA) ]:[(15) FECHA DE CONTRATACIÓN ADMINISTRATIVO]])</f>
        <v>0</v>
      </c>
      <c r="BG79" s="26">
        <f>Tabla256[[#This Row],[NUMERO OK]]/15</f>
        <v>0</v>
      </c>
      <c r="BH79" s="4" t="str">
        <f t="shared" ca="1" si="13"/>
        <v>N/A</v>
      </c>
      <c r="BJ79" s="9"/>
      <c r="BQ79" s="8"/>
    </row>
    <row r="80" spans="1:69">
      <c r="A80" s="9"/>
      <c r="G80" s="10"/>
      <c r="H80" s="62"/>
      <c r="I80" s="10"/>
      <c r="J80" s="10"/>
      <c r="K80" s="6"/>
      <c r="M80" s="4" t="str">
        <f t="shared" ca="1" si="14"/>
        <v>SUSCRITO</v>
      </c>
      <c r="O80" s="79"/>
      <c r="P80" s="37"/>
      <c r="Q80" s="37"/>
      <c r="R80" s="37"/>
      <c r="S80" s="37"/>
      <c r="T80" s="75">
        <f t="shared" si="11"/>
        <v>0</v>
      </c>
      <c r="U80" s="39">
        <f t="shared" si="10"/>
        <v>0</v>
      </c>
      <c r="V80" s="39"/>
      <c r="Z80" s="11"/>
      <c r="AA80" s="65"/>
      <c r="AL80" s="68"/>
      <c r="AM80" s="4" cm="1">
        <f t="array" ref="AM80">SUMPRODUCT((AA80:AK80&lt;&gt;"Pendiente")*(AA80:AK80&lt;&gt;""))</f>
        <v>0</v>
      </c>
      <c r="AN80" s="4">
        <f>COUNTA(Tabla256[[#This Row],[INVITACIÓN]:[ACTA DE INICIO]])</f>
        <v>0</v>
      </c>
      <c r="AO80" s="26" t="e">
        <f t="shared" si="12"/>
        <v>#DIV/0!</v>
      </c>
      <c r="AP80" s="47"/>
      <c r="BF80" s="4">
        <f>COUNTA(Tabla256[[#This Row],[(1)SOLICITUD DE  APERTURA FIRNANCIERA Y PRESUPUESTO 1 (FECHA) ]:[(15) FECHA DE CONTRATACIÓN ADMINISTRATIVO]])</f>
        <v>0</v>
      </c>
      <c r="BG80" s="26">
        <f>Tabla256[[#This Row],[NUMERO OK]]/15</f>
        <v>0</v>
      </c>
      <c r="BH80" s="4" t="str">
        <f t="shared" ca="1" si="13"/>
        <v>N/A</v>
      </c>
      <c r="BJ80" s="9"/>
      <c r="BQ80" s="8"/>
    </row>
    <row r="81" spans="1:69">
      <c r="A81" s="9"/>
      <c r="G81" s="10"/>
      <c r="H81" s="62"/>
      <c r="I81" s="10"/>
      <c r="J81" s="10"/>
      <c r="K81" s="6"/>
      <c r="M81" s="4" t="str">
        <f t="shared" ca="1" si="14"/>
        <v>SUSCRITO</v>
      </c>
      <c r="O81" s="79"/>
      <c r="P81" s="37"/>
      <c r="Q81" s="37"/>
      <c r="R81" s="37"/>
      <c r="S81" s="37"/>
      <c r="T81" s="75">
        <f t="shared" si="11"/>
        <v>0</v>
      </c>
      <c r="U81" s="39">
        <f t="shared" si="10"/>
        <v>0</v>
      </c>
      <c r="V81" s="39"/>
      <c r="Z81" s="11"/>
      <c r="AA81" s="65"/>
      <c r="AL81" s="68"/>
      <c r="AM81" s="4" cm="1">
        <f t="array" ref="AM81">SUMPRODUCT((AA81:AK81&lt;&gt;"Pendiente")*(AA81:AK81&lt;&gt;""))</f>
        <v>0</v>
      </c>
      <c r="AN81" s="4">
        <f>COUNTA(Tabla256[[#This Row],[INVITACIÓN]:[ACTA DE INICIO]])</f>
        <v>0</v>
      </c>
      <c r="AO81" s="26" t="e">
        <f t="shared" si="12"/>
        <v>#DIV/0!</v>
      </c>
      <c r="AP81" s="47"/>
      <c r="BF81" s="4">
        <f>COUNTA(Tabla256[[#This Row],[(1)SOLICITUD DE  APERTURA FIRNANCIERA Y PRESUPUESTO 1 (FECHA) ]:[(15) FECHA DE CONTRATACIÓN ADMINISTRATIVO]])</f>
        <v>0</v>
      </c>
      <c r="BG81" s="26">
        <f>Tabla256[[#This Row],[NUMERO OK]]/15</f>
        <v>0</v>
      </c>
      <c r="BH81" s="4" t="str">
        <f t="shared" ca="1" si="13"/>
        <v>N/A</v>
      </c>
      <c r="BJ81" s="9"/>
      <c r="BQ81" s="8"/>
    </row>
    <row r="82" spans="1:69">
      <c r="A82" s="9"/>
      <c r="G82" s="10"/>
      <c r="H82" s="62"/>
      <c r="I82" s="10"/>
      <c r="J82" s="10"/>
      <c r="K82" s="6"/>
      <c r="M82" s="4" t="str">
        <f t="shared" ca="1" si="14"/>
        <v>SUSCRITO</v>
      </c>
      <c r="O82" s="79"/>
      <c r="P82" s="37"/>
      <c r="Q82" s="37"/>
      <c r="R82" s="37"/>
      <c r="S82" s="37"/>
      <c r="T82" s="75">
        <f t="shared" si="11"/>
        <v>0</v>
      </c>
      <c r="U82" s="39">
        <f t="shared" si="10"/>
        <v>0</v>
      </c>
      <c r="V82" s="39"/>
      <c r="Z82" s="11"/>
      <c r="AA82" s="65"/>
      <c r="AL82" s="68"/>
      <c r="AM82" s="4" cm="1">
        <f t="array" ref="AM82">SUMPRODUCT((AA82:AK82&lt;&gt;"Pendiente")*(AA82:AK82&lt;&gt;""))</f>
        <v>0</v>
      </c>
      <c r="AN82" s="4">
        <f>COUNTA(Tabla256[[#This Row],[INVITACIÓN]:[ACTA DE INICIO]])</f>
        <v>0</v>
      </c>
      <c r="AO82" s="26" t="e">
        <f t="shared" si="12"/>
        <v>#DIV/0!</v>
      </c>
      <c r="AP82" s="47"/>
      <c r="BF82" s="4">
        <f>COUNTA(Tabla256[[#This Row],[(1)SOLICITUD DE  APERTURA FIRNANCIERA Y PRESUPUESTO 1 (FECHA) ]:[(15) FECHA DE CONTRATACIÓN ADMINISTRATIVO]])</f>
        <v>0</v>
      </c>
      <c r="BG82" s="26">
        <f>Tabla256[[#This Row],[NUMERO OK]]/15</f>
        <v>0</v>
      </c>
      <c r="BH82" s="4" t="str">
        <f t="shared" ca="1" si="13"/>
        <v>N/A</v>
      </c>
      <c r="BJ82" s="9"/>
      <c r="BQ82" s="8"/>
    </row>
    <row r="83" spans="1:69">
      <c r="A83" s="9"/>
      <c r="G83" s="10"/>
      <c r="H83" s="62"/>
      <c r="I83" s="10"/>
      <c r="J83" s="10"/>
      <c r="K83" s="6"/>
      <c r="M83" s="4" t="str">
        <f t="shared" ca="1" si="14"/>
        <v>SUSCRITO</v>
      </c>
      <c r="O83" s="79"/>
      <c r="P83" s="37"/>
      <c r="Q83" s="37"/>
      <c r="R83" s="37"/>
      <c r="S83" s="37"/>
      <c r="T83" s="75">
        <f t="shared" si="11"/>
        <v>0</v>
      </c>
      <c r="U83" s="39">
        <f t="shared" si="10"/>
        <v>0</v>
      </c>
      <c r="V83" s="39"/>
      <c r="Z83" s="11"/>
      <c r="AA83" s="65"/>
      <c r="AL83" s="68"/>
      <c r="AM83" s="4" cm="1">
        <f t="array" ref="AM83">SUMPRODUCT((AA83:AK83&lt;&gt;"Pendiente")*(AA83:AK83&lt;&gt;""))</f>
        <v>0</v>
      </c>
      <c r="AN83" s="4">
        <f>COUNTA(Tabla256[[#This Row],[INVITACIÓN]:[ACTA DE INICIO]])</f>
        <v>0</v>
      </c>
      <c r="AO83" s="26" t="e">
        <f t="shared" si="12"/>
        <v>#DIV/0!</v>
      </c>
      <c r="AP83" s="47"/>
      <c r="BF83" s="4">
        <f>COUNTA(Tabla256[[#This Row],[(1)SOLICITUD DE  APERTURA FIRNANCIERA Y PRESUPUESTO 1 (FECHA) ]:[(15) FECHA DE CONTRATACIÓN ADMINISTRATIVO]])</f>
        <v>0</v>
      </c>
      <c r="BG83" s="26">
        <f>Tabla256[[#This Row],[NUMERO OK]]/15</f>
        <v>0</v>
      </c>
      <c r="BH83" s="4" t="str">
        <f t="shared" ca="1" si="13"/>
        <v>N/A</v>
      </c>
      <c r="BJ83" s="9"/>
      <c r="BQ83" s="8"/>
    </row>
    <row r="84" spans="1:69">
      <c r="A84" s="9"/>
      <c r="G84" s="10"/>
      <c r="H84" s="62"/>
      <c r="I84" s="10"/>
      <c r="J84" s="10"/>
      <c r="K84" s="6"/>
      <c r="M84" s="4" t="str">
        <f t="shared" ca="1" si="14"/>
        <v>SUSCRITO</v>
      </c>
      <c r="O84" s="79"/>
      <c r="P84" s="37"/>
      <c r="Q84" s="37"/>
      <c r="R84" s="37"/>
      <c r="S84" s="37"/>
      <c r="T84" s="75">
        <f t="shared" si="11"/>
        <v>0</v>
      </c>
      <c r="U84" s="39">
        <f t="shared" si="10"/>
        <v>0</v>
      </c>
      <c r="V84" s="39"/>
      <c r="Z84" s="11"/>
      <c r="AA84" s="65"/>
      <c r="AL84" s="68"/>
      <c r="AM84" s="4" cm="1">
        <f t="array" ref="AM84">SUMPRODUCT((AA84:AK84&lt;&gt;"Pendiente")*(AA84:AK84&lt;&gt;""))</f>
        <v>0</v>
      </c>
      <c r="AN84" s="4">
        <f>COUNTA(Tabla256[[#This Row],[INVITACIÓN]:[ACTA DE INICIO]])</f>
        <v>0</v>
      </c>
      <c r="AO84" s="26" t="e">
        <f t="shared" si="12"/>
        <v>#DIV/0!</v>
      </c>
      <c r="AP84" s="47"/>
      <c r="BF84" s="4">
        <f>COUNTA(Tabla256[[#This Row],[(1)SOLICITUD DE  APERTURA FIRNANCIERA Y PRESUPUESTO 1 (FECHA) ]:[(15) FECHA DE CONTRATACIÓN ADMINISTRATIVO]])</f>
        <v>0</v>
      </c>
      <c r="BG84" s="26">
        <f>Tabla256[[#This Row],[NUMERO OK]]/15</f>
        <v>0</v>
      </c>
      <c r="BH84" s="4" t="str">
        <f t="shared" ca="1" si="13"/>
        <v>N/A</v>
      </c>
      <c r="BJ84" s="9"/>
      <c r="BQ84" s="8"/>
    </row>
    <row r="85" spans="1:69">
      <c r="A85" s="9"/>
      <c r="G85" s="10"/>
      <c r="H85" s="62"/>
      <c r="I85" s="10"/>
      <c r="J85" s="10"/>
      <c r="K85" s="6"/>
      <c r="M85" s="4" t="str">
        <f t="shared" ca="1" si="14"/>
        <v>SUSCRITO</v>
      </c>
      <c r="O85" s="79"/>
      <c r="P85" s="37"/>
      <c r="Q85" s="37"/>
      <c r="R85" s="37"/>
      <c r="S85" s="37"/>
      <c r="T85" s="75">
        <f t="shared" si="11"/>
        <v>0</v>
      </c>
      <c r="U85" s="39">
        <f t="shared" si="10"/>
        <v>0</v>
      </c>
      <c r="V85" s="39"/>
      <c r="Z85" s="11"/>
      <c r="AA85" s="65"/>
      <c r="AL85" s="68"/>
      <c r="AM85" s="4" cm="1">
        <f t="array" ref="AM85">SUMPRODUCT((AA85:AK85&lt;&gt;"Pendiente")*(AA85:AK85&lt;&gt;""))</f>
        <v>0</v>
      </c>
      <c r="AN85" s="4">
        <f>COUNTA(Tabla256[[#This Row],[INVITACIÓN]:[ACTA DE INICIO]])</f>
        <v>0</v>
      </c>
      <c r="AO85" s="26" t="e">
        <f t="shared" si="12"/>
        <v>#DIV/0!</v>
      </c>
      <c r="AP85" s="47"/>
      <c r="BF85" s="4">
        <f>COUNTA(Tabla256[[#This Row],[(1)SOLICITUD DE  APERTURA FIRNANCIERA Y PRESUPUESTO 1 (FECHA) ]:[(15) FECHA DE CONTRATACIÓN ADMINISTRATIVO]])</f>
        <v>0</v>
      </c>
      <c r="BG85" s="26">
        <f>Tabla256[[#This Row],[NUMERO OK]]/15</f>
        <v>0</v>
      </c>
      <c r="BH85" s="4" t="str">
        <f t="shared" ca="1" si="13"/>
        <v>N/A</v>
      </c>
      <c r="BJ85" s="9"/>
      <c r="BQ85" s="8"/>
    </row>
    <row r="86" spans="1:69">
      <c r="A86" s="9"/>
      <c r="G86" s="10"/>
      <c r="H86" s="62"/>
      <c r="I86" s="10"/>
      <c r="J86" s="10"/>
      <c r="K86" s="6"/>
      <c r="M86" s="4" t="str">
        <f t="shared" ca="1" si="14"/>
        <v>SUSCRITO</v>
      </c>
      <c r="O86" s="79"/>
      <c r="P86" s="37"/>
      <c r="Q86" s="37"/>
      <c r="R86" s="37"/>
      <c r="S86" s="37"/>
      <c r="T86" s="75">
        <f t="shared" si="11"/>
        <v>0</v>
      </c>
      <c r="U86" s="39">
        <f t="shared" si="10"/>
        <v>0</v>
      </c>
      <c r="V86" s="39"/>
      <c r="Z86" s="11"/>
      <c r="AA86" s="65"/>
      <c r="AL86" s="68"/>
      <c r="AM86" s="4" cm="1">
        <f t="array" ref="AM86">SUMPRODUCT((AA86:AK86&lt;&gt;"Pendiente")*(AA86:AK86&lt;&gt;""))</f>
        <v>0</v>
      </c>
      <c r="AN86" s="4">
        <f>COUNTA(Tabla256[[#This Row],[INVITACIÓN]:[ACTA DE INICIO]])</f>
        <v>0</v>
      </c>
      <c r="AO86" s="26" t="e">
        <f t="shared" si="12"/>
        <v>#DIV/0!</v>
      </c>
      <c r="AP86" s="47"/>
      <c r="BF86" s="4">
        <f>COUNTA(Tabla256[[#This Row],[(1)SOLICITUD DE  APERTURA FIRNANCIERA Y PRESUPUESTO 1 (FECHA) ]:[(15) FECHA DE CONTRATACIÓN ADMINISTRATIVO]])</f>
        <v>0</v>
      </c>
      <c r="BG86" s="26">
        <f>Tabla256[[#This Row],[NUMERO OK]]/15</f>
        <v>0</v>
      </c>
      <c r="BH86" s="4" t="str">
        <f t="shared" ca="1" si="13"/>
        <v>N/A</v>
      </c>
      <c r="BJ86" s="9"/>
      <c r="BQ86" s="8"/>
    </row>
    <row r="87" spans="1:69">
      <c r="A87" s="9"/>
      <c r="G87" s="10"/>
      <c r="H87" s="62"/>
      <c r="I87" s="10"/>
      <c r="J87" s="10"/>
      <c r="K87" s="6"/>
      <c r="M87" s="4" t="str">
        <f t="shared" ca="1" si="14"/>
        <v>SUSCRITO</v>
      </c>
      <c r="O87" s="79"/>
      <c r="P87" s="37"/>
      <c r="Q87" s="37"/>
      <c r="R87" s="37"/>
      <c r="S87" s="37"/>
      <c r="T87" s="75">
        <f t="shared" si="11"/>
        <v>0</v>
      </c>
      <c r="U87" s="39">
        <f t="shared" ref="U87:U122" si="15">((P87+Q87)*12%)/112%</f>
        <v>0</v>
      </c>
      <c r="V87" s="39"/>
      <c r="Z87" s="11"/>
      <c r="AA87" s="65"/>
      <c r="AL87" s="68"/>
      <c r="AM87" s="4" cm="1">
        <f t="array" ref="AM87">SUMPRODUCT((AA87:AK87&lt;&gt;"Pendiente")*(AA87:AK87&lt;&gt;""))</f>
        <v>0</v>
      </c>
      <c r="AN87" s="4">
        <f>COUNTA(Tabla256[[#This Row],[INVITACIÓN]:[ACTA DE INICIO]])</f>
        <v>0</v>
      </c>
      <c r="AO87" s="26" t="e">
        <f t="shared" si="12"/>
        <v>#DIV/0!</v>
      </c>
      <c r="AP87" s="47"/>
      <c r="BF87" s="4">
        <f>COUNTA(Tabla256[[#This Row],[(1)SOLICITUD DE  APERTURA FIRNANCIERA Y PRESUPUESTO 1 (FECHA) ]:[(15) FECHA DE CONTRATACIÓN ADMINISTRATIVO]])</f>
        <v>0</v>
      </c>
      <c r="BG87" s="26">
        <f>Tabla256[[#This Row],[NUMERO OK]]/15</f>
        <v>0</v>
      </c>
      <c r="BH87" s="4" t="str">
        <f t="shared" ca="1" si="13"/>
        <v>N/A</v>
      </c>
      <c r="BJ87" s="9"/>
      <c r="BQ87" s="8"/>
    </row>
    <row r="88" spans="1:69">
      <c r="A88" s="9"/>
      <c r="G88" s="10"/>
      <c r="H88" s="62"/>
      <c r="I88" s="10"/>
      <c r="J88" s="10"/>
      <c r="K88" s="6"/>
      <c r="M88" s="4" t="str">
        <f t="shared" ca="1" si="14"/>
        <v>SUSCRITO</v>
      </c>
      <c r="O88" s="79"/>
      <c r="P88" s="37"/>
      <c r="Q88" s="37"/>
      <c r="R88" s="37"/>
      <c r="S88" s="37"/>
      <c r="T88" s="75">
        <f t="shared" si="11"/>
        <v>0</v>
      </c>
      <c r="U88" s="39">
        <f t="shared" si="15"/>
        <v>0</v>
      </c>
      <c r="V88" s="39"/>
      <c r="Z88" s="11"/>
      <c r="AA88" s="65"/>
      <c r="AL88" s="68"/>
      <c r="AM88" s="4" cm="1">
        <f t="array" ref="AM88">SUMPRODUCT((AA88:AK88&lt;&gt;"Pendiente")*(AA88:AK88&lt;&gt;""))</f>
        <v>0</v>
      </c>
      <c r="AN88" s="4">
        <f>COUNTA(Tabla256[[#This Row],[INVITACIÓN]:[ACTA DE INICIO]])</f>
        <v>0</v>
      </c>
      <c r="AO88" s="26" t="e">
        <f t="shared" si="12"/>
        <v>#DIV/0!</v>
      </c>
      <c r="AP88" s="47"/>
      <c r="BF88" s="4">
        <f>COUNTA(Tabla256[[#This Row],[(1)SOLICITUD DE  APERTURA FIRNANCIERA Y PRESUPUESTO 1 (FECHA) ]:[(15) FECHA DE CONTRATACIÓN ADMINISTRATIVO]])</f>
        <v>0</v>
      </c>
      <c r="BG88" s="26">
        <f>Tabla256[[#This Row],[NUMERO OK]]/15</f>
        <v>0</v>
      </c>
      <c r="BH88" s="4" t="str">
        <f t="shared" ca="1" si="13"/>
        <v>N/A</v>
      </c>
      <c r="BJ88" s="9"/>
      <c r="BQ88" s="8"/>
    </row>
    <row r="89" spans="1:69">
      <c r="A89" s="9"/>
      <c r="G89" s="10"/>
      <c r="H89" s="62"/>
      <c r="I89" s="10"/>
      <c r="J89" s="10"/>
      <c r="K89" s="6"/>
      <c r="M89" s="4" t="str">
        <f t="shared" ca="1" si="14"/>
        <v>SUSCRITO</v>
      </c>
      <c r="O89" s="79"/>
      <c r="P89" s="37"/>
      <c r="Q89" s="37"/>
      <c r="R89" s="37"/>
      <c r="S89" s="37"/>
      <c r="T89" s="75">
        <f t="shared" si="11"/>
        <v>0</v>
      </c>
      <c r="U89" s="39">
        <f t="shared" si="15"/>
        <v>0</v>
      </c>
      <c r="V89" s="39"/>
      <c r="Z89" s="11"/>
      <c r="AA89" s="65"/>
      <c r="AL89" s="68"/>
      <c r="AM89" s="4" cm="1">
        <f t="array" ref="AM89">SUMPRODUCT((AA89:AK89&lt;&gt;"Pendiente")*(AA89:AK89&lt;&gt;""))</f>
        <v>0</v>
      </c>
      <c r="AN89" s="4">
        <f>COUNTA(Tabla256[[#This Row],[INVITACIÓN]:[ACTA DE INICIO]])</f>
        <v>0</v>
      </c>
      <c r="AO89" s="26" t="e">
        <f t="shared" si="12"/>
        <v>#DIV/0!</v>
      </c>
      <c r="AP89" s="47"/>
      <c r="BF89" s="4">
        <f>COUNTA(Tabla256[[#This Row],[(1)SOLICITUD DE  APERTURA FIRNANCIERA Y PRESUPUESTO 1 (FECHA) ]:[(15) FECHA DE CONTRATACIÓN ADMINISTRATIVO]])</f>
        <v>0</v>
      </c>
      <c r="BG89" s="26">
        <f>Tabla256[[#This Row],[NUMERO OK]]/15</f>
        <v>0</v>
      </c>
      <c r="BH89" s="4" t="str">
        <f t="shared" ca="1" si="13"/>
        <v>N/A</v>
      </c>
      <c r="BJ89" s="9"/>
      <c r="BQ89" s="8"/>
    </row>
    <row r="90" spans="1:69">
      <c r="A90" s="9"/>
      <c r="G90" s="10"/>
      <c r="H90" s="62"/>
      <c r="I90" s="10"/>
      <c r="J90" s="10"/>
      <c r="K90" s="6"/>
      <c r="M90" s="4" t="str">
        <f t="shared" ca="1" si="14"/>
        <v>SUSCRITO</v>
      </c>
      <c r="O90" s="79"/>
      <c r="P90" s="37"/>
      <c r="Q90" s="37"/>
      <c r="R90" s="37"/>
      <c r="S90" s="37"/>
      <c r="T90" s="75">
        <f t="shared" si="11"/>
        <v>0</v>
      </c>
      <c r="U90" s="39">
        <f t="shared" si="15"/>
        <v>0</v>
      </c>
      <c r="V90" s="39"/>
      <c r="Z90" s="11"/>
      <c r="AA90" s="65"/>
      <c r="AL90" s="68"/>
      <c r="AM90" s="4" cm="1">
        <f t="array" ref="AM90">SUMPRODUCT((AA90:AK90&lt;&gt;"Pendiente")*(AA90:AK90&lt;&gt;""))</f>
        <v>0</v>
      </c>
      <c r="AN90" s="4">
        <f>COUNTA(Tabla256[[#This Row],[INVITACIÓN]:[ACTA DE INICIO]])</f>
        <v>0</v>
      </c>
      <c r="AO90" s="26" t="e">
        <f t="shared" si="12"/>
        <v>#DIV/0!</v>
      </c>
      <c r="AP90" s="47"/>
      <c r="BF90" s="4">
        <f>COUNTA(Tabla256[[#This Row],[(1)SOLICITUD DE  APERTURA FIRNANCIERA Y PRESUPUESTO 1 (FECHA) ]:[(15) FECHA DE CONTRATACIÓN ADMINISTRATIVO]])</f>
        <v>0</v>
      </c>
      <c r="BG90" s="26">
        <f>Tabla256[[#This Row],[NUMERO OK]]/15</f>
        <v>0</v>
      </c>
      <c r="BH90" s="4" t="str">
        <f t="shared" ca="1" si="13"/>
        <v>N/A</v>
      </c>
      <c r="BJ90" s="9"/>
      <c r="BQ90" s="8"/>
    </row>
    <row r="91" spans="1:69">
      <c r="A91" s="9"/>
      <c r="G91" s="10"/>
      <c r="H91" s="62"/>
      <c r="I91" s="10"/>
      <c r="J91" s="10"/>
      <c r="K91" s="6"/>
      <c r="M91" s="4" t="str">
        <f t="shared" ca="1" si="14"/>
        <v>SUSCRITO</v>
      </c>
      <c r="O91" s="79"/>
      <c r="P91" s="37"/>
      <c r="Q91" s="37"/>
      <c r="R91" s="37"/>
      <c r="S91" s="37"/>
      <c r="T91" s="75">
        <f t="shared" si="11"/>
        <v>0</v>
      </c>
      <c r="U91" s="39">
        <f t="shared" si="15"/>
        <v>0</v>
      </c>
      <c r="V91" s="39"/>
      <c r="Z91" s="11"/>
      <c r="AA91" s="65"/>
      <c r="AL91" s="68"/>
      <c r="AM91" s="4" cm="1">
        <f t="array" ref="AM91">SUMPRODUCT((AA91:AK91&lt;&gt;"Pendiente")*(AA91:AK91&lt;&gt;""))</f>
        <v>0</v>
      </c>
      <c r="AN91" s="4">
        <f>COUNTA(Tabla256[[#This Row],[INVITACIÓN]:[ACTA DE INICIO]])</f>
        <v>0</v>
      </c>
      <c r="AO91" s="26" t="e">
        <f t="shared" si="12"/>
        <v>#DIV/0!</v>
      </c>
      <c r="AP91" s="47"/>
      <c r="BF91" s="4">
        <f>COUNTA(Tabla256[[#This Row],[(1)SOLICITUD DE  APERTURA FIRNANCIERA Y PRESUPUESTO 1 (FECHA) ]:[(15) FECHA DE CONTRATACIÓN ADMINISTRATIVO]])</f>
        <v>0</v>
      </c>
      <c r="BG91" s="26">
        <f>Tabla256[[#This Row],[NUMERO OK]]/15</f>
        <v>0</v>
      </c>
      <c r="BH91" s="4" t="str">
        <f t="shared" ca="1" si="13"/>
        <v>N/A</v>
      </c>
      <c r="BJ91" s="9"/>
      <c r="BQ91" s="8"/>
    </row>
    <row r="92" spans="1:69">
      <c r="A92" s="9"/>
      <c r="G92" s="10"/>
      <c r="H92" s="62"/>
      <c r="I92" s="10"/>
      <c r="J92" s="10"/>
      <c r="K92" s="6"/>
      <c r="M92" s="4" t="str">
        <f t="shared" ca="1" si="14"/>
        <v>SUSCRITO</v>
      </c>
      <c r="O92" s="79"/>
      <c r="P92" s="37"/>
      <c r="Q92" s="37"/>
      <c r="R92" s="37"/>
      <c r="S92" s="37"/>
      <c r="T92" s="75">
        <f t="shared" si="11"/>
        <v>0</v>
      </c>
      <c r="U92" s="39">
        <f t="shared" si="15"/>
        <v>0</v>
      </c>
      <c r="V92" s="39"/>
      <c r="Z92" s="11"/>
      <c r="AA92" s="65"/>
      <c r="AL92" s="68"/>
      <c r="AM92" s="4" cm="1">
        <f t="array" ref="AM92">SUMPRODUCT((AA92:AK92&lt;&gt;"Pendiente")*(AA92:AK92&lt;&gt;""))</f>
        <v>0</v>
      </c>
      <c r="AN92" s="4">
        <f>COUNTA(Tabla256[[#This Row],[INVITACIÓN]:[ACTA DE INICIO]])</f>
        <v>0</v>
      </c>
      <c r="AO92" s="26" t="e">
        <f t="shared" si="12"/>
        <v>#DIV/0!</v>
      </c>
      <c r="AP92" s="47"/>
      <c r="BF92" s="4">
        <f>COUNTA(Tabla256[[#This Row],[(1)SOLICITUD DE  APERTURA FIRNANCIERA Y PRESUPUESTO 1 (FECHA) ]:[(15) FECHA DE CONTRATACIÓN ADMINISTRATIVO]])</f>
        <v>0</v>
      </c>
      <c r="BG92" s="26">
        <f>Tabla256[[#This Row],[NUMERO OK]]/15</f>
        <v>0</v>
      </c>
      <c r="BH92" s="4" t="str">
        <f t="shared" ca="1" si="13"/>
        <v>N/A</v>
      </c>
      <c r="BJ92" s="9"/>
      <c r="BQ92" s="8"/>
    </row>
    <row r="93" spans="1:69">
      <c r="A93" s="9"/>
      <c r="G93" s="10"/>
      <c r="H93" s="62"/>
      <c r="I93" s="10"/>
      <c r="J93" s="10"/>
      <c r="K93" s="6"/>
      <c r="M93" s="4" t="str">
        <f t="shared" ca="1" si="14"/>
        <v>SUSCRITO</v>
      </c>
      <c r="O93" s="79"/>
      <c r="P93" s="37"/>
      <c r="Q93" s="37"/>
      <c r="R93" s="37"/>
      <c r="S93" s="37"/>
      <c r="T93" s="75">
        <f t="shared" si="11"/>
        <v>0</v>
      </c>
      <c r="U93" s="39">
        <f t="shared" si="15"/>
        <v>0</v>
      </c>
      <c r="V93" s="39"/>
      <c r="Z93" s="11"/>
      <c r="AA93" s="65"/>
      <c r="AL93" s="68"/>
      <c r="AM93" s="4" cm="1">
        <f t="array" ref="AM93">SUMPRODUCT((AA93:AK93&lt;&gt;"Pendiente")*(AA93:AK93&lt;&gt;""))</f>
        <v>0</v>
      </c>
      <c r="AN93" s="4">
        <f>COUNTA(Tabla256[[#This Row],[INVITACIÓN]:[ACTA DE INICIO]])</f>
        <v>0</v>
      </c>
      <c r="AO93" s="26" t="e">
        <f t="shared" si="12"/>
        <v>#DIV/0!</v>
      </c>
      <c r="AP93" s="47"/>
      <c r="BF93" s="4">
        <f>COUNTA(Tabla256[[#This Row],[(1)SOLICITUD DE  APERTURA FIRNANCIERA Y PRESUPUESTO 1 (FECHA) ]:[(15) FECHA DE CONTRATACIÓN ADMINISTRATIVO]])</f>
        <v>0</v>
      </c>
      <c r="BG93" s="26">
        <f>Tabla256[[#This Row],[NUMERO OK]]/15</f>
        <v>0</v>
      </c>
      <c r="BH93" s="4" t="str">
        <f t="shared" ca="1" si="13"/>
        <v>N/A</v>
      </c>
      <c r="BJ93" s="9"/>
      <c r="BQ93" s="8"/>
    </row>
    <row r="94" spans="1:69">
      <c r="A94" s="9"/>
      <c r="G94" s="10"/>
      <c r="H94" s="62"/>
      <c r="I94" s="10"/>
      <c r="J94" s="10"/>
      <c r="K94" s="6"/>
      <c r="M94" s="4" t="str">
        <f t="shared" ca="1" si="14"/>
        <v>SUSCRITO</v>
      </c>
      <c r="O94" s="79"/>
      <c r="P94" s="37"/>
      <c r="Q94" s="37"/>
      <c r="R94" s="37"/>
      <c r="S94" s="37"/>
      <c r="T94" s="75">
        <f t="shared" si="11"/>
        <v>0</v>
      </c>
      <c r="U94" s="39">
        <f t="shared" si="15"/>
        <v>0</v>
      </c>
      <c r="V94" s="39"/>
      <c r="Z94" s="11"/>
      <c r="AA94" s="65"/>
      <c r="AL94" s="68"/>
      <c r="AM94" s="4" cm="1">
        <f t="array" ref="AM94">SUMPRODUCT((AA94:AK94&lt;&gt;"Pendiente")*(AA94:AK94&lt;&gt;""))</f>
        <v>0</v>
      </c>
      <c r="AN94" s="4">
        <f>COUNTA(Tabla256[[#This Row],[INVITACIÓN]:[ACTA DE INICIO]])</f>
        <v>0</v>
      </c>
      <c r="AO94" s="26" t="e">
        <f t="shared" si="12"/>
        <v>#DIV/0!</v>
      </c>
      <c r="AP94" s="47"/>
      <c r="BF94" s="4">
        <f>COUNTA(Tabla256[[#This Row],[(1)SOLICITUD DE  APERTURA FIRNANCIERA Y PRESUPUESTO 1 (FECHA) ]:[(15) FECHA DE CONTRATACIÓN ADMINISTRATIVO]])</f>
        <v>0</v>
      </c>
      <c r="BG94" s="26">
        <f>Tabla256[[#This Row],[NUMERO OK]]/15</f>
        <v>0</v>
      </c>
      <c r="BH94" s="4" t="str">
        <f t="shared" ca="1" si="13"/>
        <v>N/A</v>
      </c>
      <c r="BJ94" s="9"/>
      <c r="BQ94" s="8"/>
    </row>
    <row r="95" spans="1:69">
      <c r="A95" s="9"/>
      <c r="G95" s="10"/>
      <c r="H95" s="62"/>
      <c r="I95" s="10"/>
      <c r="J95" s="10"/>
      <c r="K95" s="6"/>
      <c r="M95" s="4" t="str">
        <f t="shared" ca="1" si="14"/>
        <v>SUSCRITO</v>
      </c>
      <c r="O95" s="79"/>
      <c r="P95" s="37"/>
      <c r="Q95" s="37"/>
      <c r="R95" s="37"/>
      <c r="S95" s="37"/>
      <c r="T95" s="75">
        <f t="shared" si="11"/>
        <v>0</v>
      </c>
      <c r="U95" s="39">
        <f t="shared" si="15"/>
        <v>0</v>
      </c>
      <c r="V95" s="39"/>
      <c r="Z95" s="11"/>
      <c r="AA95" s="65"/>
      <c r="AL95" s="68"/>
      <c r="AM95" s="4" cm="1">
        <f t="array" ref="AM95">SUMPRODUCT((AA95:AK95&lt;&gt;"Pendiente")*(AA95:AK95&lt;&gt;""))</f>
        <v>0</v>
      </c>
      <c r="AN95" s="4">
        <f>COUNTA(Tabla256[[#This Row],[INVITACIÓN]:[ACTA DE INICIO]])</f>
        <v>0</v>
      </c>
      <c r="AO95" s="26" t="e">
        <f t="shared" si="12"/>
        <v>#DIV/0!</v>
      </c>
      <c r="AP95" s="47"/>
      <c r="BF95" s="4">
        <f>COUNTA(Tabla256[[#This Row],[(1)SOLICITUD DE  APERTURA FIRNANCIERA Y PRESUPUESTO 1 (FECHA) ]:[(15) FECHA DE CONTRATACIÓN ADMINISTRATIVO]])</f>
        <v>0</v>
      </c>
      <c r="BG95" s="26">
        <f>Tabla256[[#This Row],[NUMERO OK]]/15</f>
        <v>0</v>
      </c>
      <c r="BH95" s="4" t="str">
        <f t="shared" ca="1" si="13"/>
        <v>N/A</v>
      </c>
      <c r="BJ95" s="9"/>
      <c r="BQ95" s="8"/>
    </row>
    <row r="96" spans="1:69">
      <c r="A96" s="9"/>
      <c r="G96" s="10"/>
      <c r="H96" s="62"/>
      <c r="I96" s="10"/>
      <c r="J96" s="10"/>
      <c r="K96" s="6"/>
      <c r="M96" s="4" t="str">
        <f t="shared" ca="1" si="14"/>
        <v>SUSCRITO</v>
      </c>
      <c r="O96" s="79"/>
      <c r="P96" s="37"/>
      <c r="Q96" s="37"/>
      <c r="R96" s="37"/>
      <c r="S96" s="37"/>
      <c r="T96" s="75">
        <f t="shared" si="11"/>
        <v>0</v>
      </c>
      <c r="U96" s="39">
        <f t="shared" si="15"/>
        <v>0</v>
      </c>
      <c r="V96" s="39"/>
      <c r="Z96" s="11"/>
      <c r="AA96" s="65"/>
      <c r="AL96" s="68"/>
      <c r="AM96" s="4" cm="1">
        <f t="array" ref="AM96">SUMPRODUCT((AA96:AK96&lt;&gt;"Pendiente")*(AA96:AK96&lt;&gt;""))</f>
        <v>0</v>
      </c>
      <c r="AN96" s="4">
        <f>COUNTA(Tabla256[[#This Row],[INVITACIÓN]:[ACTA DE INICIO]])</f>
        <v>0</v>
      </c>
      <c r="AO96" s="26" t="e">
        <f t="shared" si="12"/>
        <v>#DIV/0!</v>
      </c>
      <c r="AP96" s="47"/>
      <c r="BF96" s="4">
        <f>COUNTA(Tabla256[[#This Row],[(1)SOLICITUD DE  APERTURA FIRNANCIERA Y PRESUPUESTO 1 (FECHA) ]:[(15) FECHA DE CONTRATACIÓN ADMINISTRATIVO]])</f>
        <v>0</v>
      </c>
      <c r="BG96" s="26">
        <f>Tabla256[[#This Row],[NUMERO OK]]/15</f>
        <v>0</v>
      </c>
      <c r="BH96" s="4" t="str">
        <f t="shared" ca="1" si="13"/>
        <v>N/A</v>
      </c>
      <c r="BJ96" s="9"/>
      <c r="BQ96" s="8"/>
    </row>
    <row r="97" spans="1:69">
      <c r="A97" s="9"/>
      <c r="G97" s="10"/>
      <c r="H97" s="62"/>
      <c r="I97" s="10"/>
      <c r="J97" s="10"/>
      <c r="K97" s="6"/>
      <c r="M97" s="4" t="str">
        <f t="shared" ca="1" si="14"/>
        <v>SUSCRITO</v>
      </c>
      <c r="O97" s="79"/>
      <c r="P97" s="37"/>
      <c r="Q97" s="37"/>
      <c r="R97" s="37"/>
      <c r="S97" s="37"/>
      <c r="T97" s="75">
        <f t="shared" si="11"/>
        <v>0</v>
      </c>
      <c r="U97" s="39">
        <f t="shared" si="15"/>
        <v>0</v>
      </c>
      <c r="V97" s="39"/>
      <c r="Z97" s="11"/>
      <c r="AA97" s="65"/>
      <c r="AL97" s="68"/>
      <c r="AM97" s="4" cm="1">
        <f t="array" ref="AM97">SUMPRODUCT((AA97:AK97&lt;&gt;"Pendiente")*(AA97:AK97&lt;&gt;""))</f>
        <v>0</v>
      </c>
      <c r="AN97" s="4">
        <f>COUNTA(Tabla256[[#This Row],[INVITACIÓN]:[ACTA DE INICIO]])</f>
        <v>0</v>
      </c>
      <c r="AO97" s="26" t="e">
        <f t="shared" si="12"/>
        <v>#DIV/0!</v>
      </c>
      <c r="AP97" s="47"/>
      <c r="BF97" s="4">
        <f>COUNTA(Tabla256[[#This Row],[(1)SOLICITUD DE  APERTURA FIRNANCIERA Y PRESUPUESTO 1 (FECHA) ]:[(15) FECHA DE CONTRATACIÓN ADMINISTRATIVO]])</f>
        <v>0</v>
      </c>
      <c r="BG97" s="26">
        <f>Tabla256[[#This Row],[NUMERO OK]]/15</f>
        <v>0</v>
      </c>
      <c r="BH97" s="4" t="str">
        <f t="shared" ca="1" si="13"/>
        <v>N/A</v>
      </c>
      <c r="BJ97" s="9"/>
      <c r="BQ97" s="8"/>
    </row>
    <row r="98" spans="1:69">
      <c r="A98" s="9"/>
      <c r="G98" s="10"/>
      <c r="H98" s="62"/>
      <c r="I98" s="10"/>
      <c r="J98" s="10"/>
      <c r="K98" s="6"/>
      <c r="M98" s="4" t="str">
        <f t="shared" ca="1" si="14"/>
        <v>SUSCRITO</v>
      </c>
      <c r="O98" s="79"/>
      <c r="P98" s="37"/>
      <c r="Q98" s="37"/>
      <c r="R98" s="37"/>
      <c r="S98" s="37"/>
      <c r="T98" s="75">
        <f t="shared" si="11"/>
        <v>0</v>
      </c>
      <c r="U98" s="39">
        <f t="shared" si="15"/>
        <v>0</v>
      </c>
      <c r="V98" s="39"/>
      <c r="Z98" s="11"/>
      <c r="AA98" s="65"/>
      <c r="AL98" s="68"/>
      <c r="AM98" s="4" cm="1">
        <f t="array" ref="AM98">SUMPRODUCT((AA98:AK98&lt;&gt;"Pendiente")*(AA98:AK98&lt;&gt;""))</f>
        <v>0</v>
      </c>
      <c r="AN98" s="4">
        <f>COUNTA(Tabla256[[#This Row],[INVITACIÓN]:[ACTA DE INICIO]])</f>
        <v>0</v>
      </c>
      <c r="AO98" s="26" t="e">
        <f t="shared" si="12"/>
        <v>#DIV/0!</v>
      </c>
      <c r="AP98" s="47"/>
      <c r="BF98" s="4">
        <f>COUNTA(Tabla256[[#This Row],[(1)SOLICITUD DE  APERTURA FIRNANCIERA Y PRESUPUESTO 1 (FECHA) ]:[(15) FECHA DE CONTRATACIÓN ADMINISTRATIVO]])</f>
        <v>0</v>
      </c>
      <c r="BG98" s="26">
        <f>Tabla256[[#This Row],[NUMERO OK]]/15</f>
        <v>0</v>
      </c>
      <c r="BH98" s="4" t="str">
        <f t="shared" ca="1" si="13"/>
        <v>N/A</v>
      </c>
      <c r="BJ98" s="9"/>
      <c r="BQ98" s="8"/>
    </row>
    <row r="99" spans="1:69">
      <c r="A99" s="9"/>
      <c r="G99" s="10"/>
      <c r="H99" s="62"/>
      <c r="I99" s="10"/>
      <c r="J99" s="10"/>
      <c r="K99" s="6"/>
      <c r="M99" s="4" t="str">
        <f t="shared" ca="1" si="14"/>
        <v>SUSCRITO</v>
      </c>
      <c r="O99" s="79"/>
      <c r="P99" s="37"/>
      <c r="Q99" s="37"/>
      <c r="R99" s="37"/>
      <c r="S99" s="37"/>
      <c r="T99" s="75">
        <f t="shared" ref="T99:T122" si="16">P99+R99</f>
        <v>0</v>
      </c>
      <c r="U99" s="39">
        <f t="shared" si="15"/>
        <v>0</v>
      </c>
      <c r="V99" s="39"/>
      <c r="Z99" s="11"/>
      <c r="AA99" s="65"/>
      <c r="AL99" s="68"/>
      <c r="AM99" s="4" cm="1">
        <f t="array" ref="AM99">SUMPRODUCT((AA99:AK99&lt;&gt;"Pendiente")*(AA99:AK99&lt;&gt;""))</f>
        <v>0</v>
      </c>
      <c r="AN99" s="4">
        <f>COUNTA(Tabla256[[#This Row],[INVITACIÓN]:[ACTA DE INICIO]])</f>
        <v>0</v>
      </c>
      <c r="AO99" s="26" t="e">
        <f t="shared" ref="AO99:AO122" si="17">AM99/AN99</f>
        <v>#DIV/0!</v>
      </c>
      <c r="AP99" s="47"/>
      <c r="BF99" s="4">
        <f>COUNTA(Tabla256[[#This Row],[(1)SOLICITUD DE  APERTURA FIRNANCIERA Y PRESUPUESTO 1 (FECHA) ]:[(15) FECHA DE CONTRATACIÓN ADMINISTRATIVO]])</f>
        <v>0</v>
      </c>
      <c r="BG99" s="26">
        <f>Tabla256[[#This Row],[NUMERO OK]]/15</f>
        <v>0</v>
      </c>
      <c r="BH99" s="4" t="str">
        <f t="shared" ref="BH99:BH122" ca="1" si="18">IF(ISBLANK(I99),"N/A",
   IF(TODAY()-I99&lt;=15,
      IF(BG99=100%,"EnTiempos","EnProceso"),
      IF(BG99&lt;80%,"RiesgoAlto",
         IF(BG99&lt;100%,"RiesgoMedio","Cumplido")
      )
   )
)</f>
        <v>N/A</v>
      </c>
      <c r="BJ99" s="9"/>
      <c r="BQ99" s="8"/>
    </row>
    <row r="100" spans="1:69">
      <c r="A100" s="9"/>
      <c r="G100" s="10"/>
      <c r="H100" s="62"/>
      <c r="I100" s="10"/>
      <c r="J100" s="10"/>
      <c r="K100" s="6"/>
      <c r="M100" s="4" t="str">
        <f t="shared" ca="1" si="14"/>
        <v>SUSCRITO</v>
      </c>
      <c r="O100" s="79"/>
      <c r="P100" s="37"/>
      <c r="Q100" s="37"/>
      <c r="R100" s="37"/>
      <c r="S100" s="37"/>
      <c r="T100" s="75">
        <f t="shared" si="16"/>
        <v>0</v>
      </c>
      <c r="U100" s="39">
        <f t="shared" si="15"/>
        <v>0</v>
      </c>
      <c r="V100" s="39"/>
      <c r="Z100" s="11"/>
      <c r="AA100" s="65"/>
      <c r="AL100" s="68"/>
      <c r="AM100" s="4" cm="1">
        <f t="array" ref="AM100">SUMPRODUCT((AA100:AK100&lt;&gt;"Pendiente")*(AA100:AK100&lt;&gt;""))</f>
        <v>0</v>
      </c>
      <c r="AN100" s="4">
        <f>COUNTA(Tabla256[[#This Row],[INVITACIÓN]:[ACTA DE INICIO]])</f>
        <v>0</v>
      </c>
      <c r="AO100" s="26" t="e">
        <f t="shared" si="17"/>
        <v>#DIV/0!</v>
      </c>
      <c r="AP100" s="47"/>
      <c r="BF100" s="4">
        <f>COUNTA(Tabla256[[#This Row],[(1)SOLICITUD DE  APERTURA FIRNANCIERA Y PRESUPUESTO 1 (FECHA) ]:[(15) FECHA DE CONTRATACIÓN ADMINISTRATIVO]])</f>
        <v>0</v>
      </c>
      <c r="BG100" s="26">
        <f>Tabla256[[#This Row],[NUMERO OK]]/15</f>
        <v>0</v>
      </c>
      <c r="BH100" s="4" t="str">
        <f t="shared" ca="1" si="18"/>
        <v>N/A</v>
      </c>
      <c r="BJ100" s="9"/>
      <c r="BQ100" s="8"/>
    </row>
    <row r="101" spans="1:69">
      <c r="A101" s="9"/>
      <c r="G101" s="10"/>
      <c r="H101" s="62"/>
      <c r="I101" s="10"/>
      <c r="J101" s="10"/>
      <c r="K101" s="6"/>
      <c r="M101" s="4" t="str">
        <f t="shared" ca="1" si="14"/>
        <v>SUSCRITO</v>
      </c>
      <c r="O101" s="79"/>
      <c r="P101" s="37"/>
      <c r="Q101" s="37"/>
      <c r="R101" s="37"/>
      <c r="S101" s="37"/>
      <c r="T101" s="75">
        <f t="shared" si="16"/>
        <v>0</v>
      </c>
      <c r="U101" s="39">
        <f t="shared" si="15"/>
        <v>0</v>
      </c>
      <c r="V101" s="39"/>
      <c r="Z101" s="11"/>
      <c r="AA101" s="65"/>
      <c r="AL101" s="68"/>
      <c r="AM101" s="4" cm="1">
        <f t="array" ref="AM101">SUMPRODUCT((AA101:AK101&lt;&gt;"Pendiente")*(AA101:AK101&lt;&gt;""))</f>
        <v>0</v>
      </c>
      <c r="AN101" s="4">
        <f>COUNTA(Tabla256[[#This Row],[INVITACIÓN]:[ACTA DE INICIO]])</f>
        <v>0</v>
      </c>
      <c r="AO101" s="26" t="e">
        <f t="shared" si="17"/>
        <v>#DIV/0!</v>
      </c>
      <c r="AP101" s="47"/>
      <c r="BF101" s="4">
        <f>COUNTA(Tabla256[[#This Row],[(1)SOLICITUD DE  APERTURA FIRNANCIERA Y PRESUPUESTO 1 (FECHA) ]:[(15) FECHA DE CONTRATACIÓN ADMINISTRATIVO]])</f>
        <v>0</v>
      </c>
      <c r="BG101" s="26">
        <f>Tabla256[[#This Row],[NUMERO OK]]/15</f>
        <v>0</v>
      </c>
      <c r="BH101" s="4" t="str">
        <f t="shared" ca="1" si="18"/>
        <v>N/A</v>
      </c>
      <c r="BJ101" s="9"/>
      <c r="BQ101" s="8"/>
    </row>
    <row r="102" spans="1:69">
      <c r="A102" s="9"/>
      <c r="G102" s="10"/>
      <c r="H102" s="62"/>
      <c r="I102" s="10"/>
      <c r="J102" s="10"/>
      <c r="K102" s="6"/>
      <c r="M102" s="4" t="str">
        <f t="shared" ca="1" si="14"/>
        <v>SUSCRITO</v>
      </c>
      <c r="O102" s="79"/>
      <c r="P102" s="37"/>
      <c r="Q102" s="37"/>
      <c r="R102" s="37"/>
      <c r="S102" s="37"/>
      <c r="T102" s="75">
        <f t="shared" si="16"/>
        <v>0</v>
      </c>
      <c r="U102" s="39">
        <f t="shared" si="15"/>
        <v>0</v>
      </c>
      <c r="V102" s="39"/>
      <c r="Z102" s="11"/>
      <c r="AA102" s="65"/>
      <c r="AL102" s="68"/>
      <c r="AM102" s="4" cm="1">
        <f t="array" ref="AM102">SUMPRODUCT((AA102:AK102&lt;&gt;"Pendiente")*(AA102:AK102&lt;&gt;""))</f>
        <v>0</v>
      </c>
      <c r="AN102" s="4">
        <f>COUNTA(Tabla256[[#This Row],[INVITACIÓN]:[ACTA DE INICIO]])</f>
        <v>0</v>
      </c>
      <c r="AO102" s="26" t="e">
        <f t="shared" si="17"/>
        <v>#DIV/0!</v>
      </c>
      <c r="AP102" s="47"/>
      <c r="BF102" s="4">
        <f>COUNTA(Tabla256[[#This Row],[(1)SOLICITUD DE  APERTURA FIRNANCIERA Y PRESUPUESTO 1 (FECHA) ]:[(15) FECHA DE CONTRATACIÓN ADMINISTRATIVO]])</f>
        <v>0</v>
      </c>
      <c r="BG102" s="26">
        <f>Tabla256[[#This Row],[NUMERO OK]]/15</f>
        <v>0</v>
      </c>
      <c r="BH102" s="4" t="str">
        <f t="shared" ca="1" si="18"/>
        <v>N/A</v>
      </c>
      <c r="BJ102" s="9"/>
      <c r="BQ102" s="8"/>
    </row>
    <row r="103" spans="1:69">
      <c r="A103" s="9"/>
      <c r="G103" s="10"/>
      <c r="H103" s="62"/>
      <c r="I103" s="10"/>
      <c r="J103" s="10"/>
      <c r="K103" s="6"/>
      <c r="M103" s="4" t="str">
        <f t="shared" ca="1" si="14"/>
        <v>SUSCRITO</v>
      </c>
      <c r="O103" s="79"/>
      <c r="P103" s="37"/>
      <c r="Q103" s="37"/>
      <c r="R103" s="37"/>
      <c r="S103" s="37"/>
      <c r="T103" s="75">
        <f t="shared" si="16"/>
        <v>0</v>
      </c>
      <c r="U103" s="39">
        <f t="shared" si="15"/>
        <v>0</v>
      </c>
      <c r="V103" s="39"/>
      <c r="Z103" s="11"/>
      <c r="AA103" s="65"/>
      <c r="AL103" s="68"/>
      <c r="AM103" s="4" cm="1">
        <f t="array" ref="AM103">SUMPRODUCT((AA103:AK103&lt;&gt;"Pendiente")*(AA103:AK103&lt;&gt;""))</f>
        <v>0</v>
      </c>
      <c r="AN103" s="4">
        <f>COUNTA(Tabla256[[#This Row],[INVITACIÓN]:[ACTA DE INICIO]])</f>
        <v>0</v>
      </c>
      <c r="AO103" s="26" t="e">
        <f t="shared" si="17"/>
        <v>#DIV/0!</v>
      </c>
      <c r="AP103" s="47"/>
      <c r="BF103" s="4">
        <f>COUNTA(Tabla256[[#This Row],[(1)SOLICITUD DE  APERTURA FIRNANCIERA Y PRESUPUESTO 1 (FECHA) ]:[(15) FECHA DE CONTRATACIÓN ADMINISTRATIVO]])</f>
        <v>0</v>
      </c>
      <c r="BG103" s="26">
        <f>Tabla256[[#This Row],[NUMERO OK]]/15</f>
        <v>0</v>
      </c>
      <c r="BH103" s="4" t="str">
        <f t="shared" ca="1" si="18"/>
        <v>N/A</v>
      </c>
      <c r="BJ103" s="9"/>
      <c r="BQ103" s="8"/>
    </row>
    <row r="104" spans="1:69">
      <c r="A104" s="9"/>
      <c r="G104" s="10"/>
      <c r="H104" s="62"/>
      <c r="I104" s="10"/>
      <c r="J104" s="10"/>
      <c r="K104" s="6"/>
      <c r="M104" s="4" t="str">
        <f t="shared" ca="1" si="14"/>
        <v>SUSCRITO</v>
      </c>
      <c r="O104" s="79"/>
      <c r="P104" s="37"/>
      <c r="Q104" s="37"/>
      <c r="R104" s="37"/>
      <c r="S104" s="37"/>
      <c r="T104" s="75">
        <f t="shared" si="16"/>
        <v>0</v>
      </c>
      <c r="U104" s="39">
        <f t="shared" si="15"/>
        <v>0</v>
      </c>
      <c r="V104" s="39"/>
      <c r="Z104" s="11"/>
      <c r="AA104" s="65"/>
      <c r="AL104" s="68"/>
      <c r="AM104" s="4" cm="1">
        <f t="array" ref="AM104">SUMPRODUCT((AA104:AK104&lt;&gt;"Pendiente")*(AA104:AK104&lt;&gt;""))</f>
        <v>0</v>
      </c>
      <c r="AN104" s="4">
        <f>COUNTA(Tabla256[[#This Row],[INVITACIÓN]:[ACTA DE INICIO]])</f>
        <v>0</v>
      </c>
      <c r="AO104" s="26" t="e">
        <f t="shared" si="17"/>
        <v>#DIV/0!</v>
      </c>
      <c r="AP104" s="47"/>
      <c r="BF104" s="4">
        <f>COUNTA(Tabla256[[#This Row],[(1)SOLICITUD DE  APERTURA FIRNANCIERA Y PRESUPUESTO 1 (FECHA) ]:[(15) FECHA DE CONTRATACIÓN ADMINISTRATIVO]])</f>
        <v>0</v>
      </c>
      <c r="BG104" s="26">
        <f>Tabla256[[#This Row],[NUMERO OK]]/15</f>
        <v>0</v>
      </c>
      <c r="BH104" s="4" t="str">
        <f t="shared" ca="1" si="18"/>
        <v>N/A</v>
      </c>
      <c r="BJ104" s="9"/>
      <c r="BQ104" s="8"/>
    </row>
    <row r="105" spans="1:69">
      <c r="A105" s="9"/>
      <c r="G105" s="10"/>
      <c r="H105" s="62"/>
      <c r="I105" s="10"/>
      <c r="J105" s="10"/>
      <c r="K105" s="6"/>
      <c r="M105" s="4" t="str">
        <f t="shared" ca="1" si="14"/>
        <v>SUSCRITO</v>
      </c>
      <c r="O105" s="79"/>
      <c r="P105" s="37"/>
      <c r="Q105" s="37"/>
      <c r="R105" s="37"/>
      <c r="S105" s="37"/>
      <c r="T105" s="75">
        <f t="shared" si="16"/>
        <v>0</v>
      </c>
      <c r="U105" s="39">
        <f t="shared" si="15"/>
        <v>0</v>
      </c>
      <c r="V105" s="39"/>
      <c r="Z105" s="11"/>
      <c r="AA105" s="65"/>
      <c r="AL105" s="68"/>
      <c r="AM105" s="4" cm="1">
        <f t="array" ref="AM105">SUMPRODUCT((AA105:AK105&lt;&gt;"Pendiente")*(AA105:AK105&lt;&gt;""))</f>
        <v>0</v>
      </c>
      <c r="AN105" s="4">
        <f>COUNTA(Tabla256[[#This Row],[INVITACIÓN]:[ACTA DE INICIO]])</f>
        <v>0</v>
      </c>
      <c r="AO105" s="26" t="e">
        <f t="shared" si="17"/>
        <v>#DIV/0!</v>
      </c>
      <c r="AP105" s="47"/>
      <c r="BF105" s="4">
        <f>COUNTA(Tabla256[[#This Row],[(1)SOLICITUD DE  APERTURA FIRNANCIERA Y PRESUPUESTO 1 (FECHA) ]:[(15) FECHA DE CONTRATACIÓN ADMINISTRATIVO]])</f>
        <v>0</v>
      </c>
      <c r="BG105" s="26">
        <f>Tabla256[[#This Row],[NUMERO OK]]/15</f>
        <v>0</v>
      </c>
      <c r="BH105" s="4" t="str">
        <f t="shared" ca="1" si="18"/>
        <v>N/A</v>
      </c>
      <c r="BJ105" s="9"/>
      <c r="BQ105" s="8"/>
    </row>
    <row r="106" spans="1:69">
      <c r="A106" s="9"/>
      <c r="G106" s="10"/>
      <c r="H106" s="62"/>
      <c r="I106" s="10"/>
      <c r="J106" s="10"/>
      <c r="K106" s="6"/>
      <c r="M106" s="4" t="str">
        <f t="shared" ca="1" si="14"/>
        <v>SUSCRITO</v>
      </c>
      <c r="O106" s="79"/>
      <c r="P106" s="37"/>
      <c r="Q106" s="37"/>
      <c r="R106" s="37"/>
      <c r="S106" s="37"/>
      <c r="T106" s="75">
        <f t="shared" si="16"/>
        <v>0</v>
      </c>
      <c r="U106" s="39">
        <f t="shared" si="15"/>
        <v>0</v>
      </c>
      <c r="V106" s="39"/>
      <c r="Z106" s="11"/>
      <c r="AA106" s="65"/>
      <c r="AL106" s="68"/>
      <c r="AM106" s="4" cm="1">
        <f t="array" ref="AM106">SUMPRODUCT((AA106:AK106&lt;&gt;"Pendiente")*(AA106:AK106&lt;&gt;""))</f>
        <v>0</v>
      </c>
      <c r="AN106" s="4">
        <f>COUNTA(Tabla256[[#This Row],[INVITACIÓN]:[ACTA DE INICIO]])</f>
        <v>0</v>
      </c>
      <c r="AO106" s="26" t="e">
        <f t="shared" si="17"/>
        <v>#DIV/0!</v>
      </c>
      <c r="AP106" s="47"/>
      <c r="BF106" s="4">
        <f>COUNTA(Tabla256[[#This Row],[(1)SOLICITUD DE  APERTURA FIRNANCIERA Y PRESUPUESTO 1 (FECHA) ]:[(15) FECHA DE CONTRATACIÓN ADMINISTRATIVO]])</f>
        <v>0</v>
      </c>
      <c r="BG106" s="26">
        <f>Tabla256[[#This Row],[NUMERO OK]]/15</f>
        <v>0</v>
      </c>
      <c r="BH106" s="4" t="str">
        <f t="shared" ca="1" si="18"/>
        <v>N/A</v>
      </c>
      <c r="BJ106" s="9"/>
      <c r="BQ106" s="8"/>
    </row>
    <row r="107" spans="1:69">
      <c r="A107" s="9"/>
      <c r="G107" s="10"/>
      <c r="H107" s="62"/>
      <c r="I107" s="10"/>
      <c r="J107" s="10"/>
      <c r="K107" s="6"/>
      <c r="M107" s="4" t="str">
        <f t="shared" ref="M107:M122" ca="1" si="19">IF(J107="", "SUSCRITO", IF(J107&lt;=TODAY(), "FINALIZADO", "EN EJECUCIÓN"))</f>
        <v>SUSCRITO</v>
      </c>
      <c r="O107" s="79"/>
      <c r="P107" s="37"/>
      <c r="Q107" s="37"/>
      <c r="R107" s="37"/>
      <c r="S107" s="37"/>
      <c r="T107" s="75">
        <f t="shared" si="16"/>
        <v>0</v>
      </c>
      <c r="U107" s="39">
        <f t="shared" si="15"/>
        <v>0</v>
      </c>
      <c r="V107" s="39"/>
      <c r="Z107" s="11"/>
      <c r="AA107" s="65"/>
      <c r="AL107" s="68"/>
      <c r="AM107" s="4" cm="1">
        <f t="array" ref="AM107">SUMPRODUCT((AA107:AK107&lt;&gt;"Pendiente")*(AA107:AK107&lt;&gt;""))</f>
        <v>0</v>
      </c>
      <c r="AN107" s="4">
        <f>COUNTA(Tabla256[[#This Row],[INVITACIÓN]:[ACTA DE INICIO]])</f>
        <v>0</v>
      </c>
      <c r="AO107" s="26" t="e">
        <f t="shared" si="17"/>
        <v>#DIV/0!</v>
      </c>
      <c r="AP107" s="47"/>
      <c r="BF107" s="4">
        <f>COUNTA(Tabla256[[#This Row],[(1)SOLICITUD DE  APERTURA FIRNANCIERA Y PRESUPUESTO 1 (FECHA) ]:[(15) FECHA DE CONTRATACIÓN ADMINISTRATIVO]])</f>
        <v>0</v>
      </c>
      <c r="BG107" s="26">
        <f>Tabla256[[#This Row],[NUMERO OK]]/15</f>
        <v>0</v>
      </c>
      <c r="BH107" s="4" t="str">
        <f t="shared" ca="1" si="18"/>
        <v>N/A</v>
      </c>
      <c r="BJ107" s="9"/>
      <c r="BQ107" s="8"/>
    </row>
    <row r="108" spans="1:69">
      <c r="A108" s="9"/>
      <c r="G108" s="10"/>
      <c r="H108" s="62"/>
      <c r="I108" s="10"/>
      <c r="J108" s="10"/>
      <c r="K108" s="6"/>
      <c r="M108" s="4" t="str">
        <f t="shared" ca="1" si="19"/>
        <v>SUSCRITO</v>
      </c>
      <c r="O108" s="79"/>
      <c r="P108" s="37"/>
      <c r="Q108" s="37"/>
      <c r="R108" s="37"/>
      <c r="S108" s="37"/>
      <c r="T108" s="75">
        <f t="shared" si="16"/>
        <v>0</v>
      </c>
      <c r="U108" s="39">
        <f t="shared" si="15"/>
        <v>0</v>
      </c>
      <c r="V108" s="39"/>
      <c r="Z108" s="11"/>
      <c r="AA108" s="65"/>
      <c r="AL108" s="68"/>
      <c r="AM108" s="4" cm="1">
        <f t="array" ref="AM108">SUMPRODUCT((AA108:AK108&lt;&gt;"Pendiente")*(AA108:AK108&lt;&gt;""))</f>
        <v>0</v>
      </c>
      <c r="AN108" s="4">
        <f>COUNTA(Tabla256[[#This Row],[INVITACIÓN]:[ACTA DE INICIO]])</f>
        <v>0</v>
      </c>
      <c r="AO108" s="26" t="e">
        <f t="shared" si="17"/>
        <v>#DIV/0!</v>
      </c>
      <c r="AP108" s="47"/>
      <c r="BF108" s="4">
        <f>COUNTA(Tabla256[[#This Row],[(1)SOLICITUD DE  APERTURA FIRNANCIERA Y PRESUPUESTO 1 (FECHA) ]:[(15) FECHA DE CONTRATACIÓN ADMINISTRATIVO]])</f>
        <v>0</v>
      </c>
      <c r="BG108" s="26">
        <f>Tabla256[[#This Row],[NUMERO OK]]/15</f>
        <v>0</v>
      </c>
      <c r="BH108" s="4" t="str">
        <f t="shared" ca="1" si="18"/>
        <v>N/A</v>
      </c>
      <c r="BJ108" s="9"/>
      <c r="BQ108" s="8"/>
    </row>
    <row r="109" spans="1:69">
      <c r="A109" s="9"/>
      <c r="G109" s="10"/>
      <c r="H109" s="62"/>
      <c r="I109" s="10"/>
      <c r="J109" s="10"/>
      <c r="K109" s="6"/>
      <c r="M109" s="4" t="str">
        <f t="shared" ca="1" si="19"/>
        <v>SUSCRITO</v>
      </c>
      <c r="O109" s="79"/>
      <c r="P109" s="37"/>
      <c r="Q109" s="37"/>
      <c r="R109" s="37"/>
      <c r="S109" s="37"/>
      <c r="T109" s="75">
        <f t="shared" si="16"/>
        <v>0</v>
      </c>
      <c r="U109" s="39">
        <f t="shared" si="15"/>
        <v>0</v>
      </c>
      <c r="V109" s="39"/>
      <c r="Z109" s="11"/>
      <c r="AA109" s="65"/>
      <c r="AL109" s="68"/>
      <c r="AM109" s="4" cm="1">
        <f t="array" ref="AM109">SUMPRODUCT((AA109:AK109&lt;&gt;"Pendiente")*(AA109:AK109&lt;&gt;""))</f>
        <v>0</v>
      </c>
      <c r="AN109" s="4">
        <f>COUNTA(Tabla256[[#This Row],[INVITACIÓN]:[ACTA DE INICIO]])</f>
        <v>0</v>
      </c>
      <c r="AO109" s="26" t="e">
        <f t="shared" si="17"/>
        <v>#DIV/0!</v>
      </c>
      <c r="AP109" s="47"/>
      <c r="BF109" s="4">
        <f>COUNTA(Tabla256[[#This Row],[(1)SOLICITUD DE  APERTURA FIRNANCIERA Y PRESUPUESTO 1 (FECHA) ]:[(15) FECHA DE CONTRATACIÓN ADMINISTRATIVO]])</f>
        <v>0</v>
      </c>
      <c r="BG109" s="26">
        <f>Tabla256[[#This Row],[NUMERO OK]]/15</f>
        <v>0</v>
      </c>
      <c r="BH109" s="4" t="str">
        <f t="shared" ca="1" si="18"/>
        <v>N/A</v>
      </c>
      <c r="BJ109" s="9"/>
      <c r="BQ109" s="8"/>
    </row>
    <row r="110" spans="1:69">
      <c r="A110" s="9"/>
      <c r="G110" s="10"/>
      <c r="H110" s="62"/>
      <c r="I110" s="10"/>
      <c r="J110" s="10"/>
      <c r="K110" s="6"/>
      <c r="M110" s="4" t="str">
        <f t="shared" ca="1" si="19"/>
        <v>SUSCRITO</v>
      </c>
      <c r="O110" s="79"/>
      <c r="P110" s="37"/>
      <c r="Q110" s="37"/>
      <c r="R110" s="37"/>
      <c r="S110" s="37"/>
      <c r="T110" s="75">
        <f t="shared" si="16"/>
        <v>0</v>
      </c>
      <c r="U110" s="39">
        <f t="shared" si="15"/>
        <v>0</v>
      </c>
      <c r="V110" s="39"/>
      <c r="Z110" s="11"/>
      <c r="AA110" s="65"/>
      <c r="AL110" s="68"/>
      <c r="AM110" s="4" cm="1">
        <f t="array" ref="AM110">SUMPRODUCT((AA110:AK110&lt;&gt;"Pendiente")*(AA110:AK110&lt;&gt;""))</f>
        <v>0</v>
      </c>
      <c r="AN110" s="4">
        <f>COUNTA(Tabla256[[#This Row],[INVITACIÓN]:[ACTA DE INICIO]])</f>
        <v>0</v>
      </c>
      <c r="AO110" s="26" t="e">
        <f t="shared" si="17"/>
        <v>#DIV/0!</v>
      </c>
      <c r="AP110" s="47"/>
      <c r="BF110" s="4">
        <f>COUNTA(Tabla256[[#This Row],[(1)SOLICITUD DE  APERTURA FIRNANCIERA Y PRESUPUESTO 1 (FECHA) ]:[(15) FECHA DE CONTRATACIÓN ADMINISTRATIVO]])</f>
        <v>0</v>
      </c>
      <c r="BG110" s="26">
        <f>Tabla256[[#This Row],[NUMERO OK]]/15</f>
        <v>0</v>
      </c>
      <c r="BH110" s="4" t="str">
        <f t="shared" ca="1" si="18"/>
        <v>N/A</v>
      </c>
      <c r="BJ110" s="9"/>
      <c r="BQ110" s="8"/>
    </row>
    <row r="111" spans="1:69">
      <c r="A111" s="9"/>
      <c r="G111" s="10"/>
      <c r="H111" s="62"/>
      <c r="I111" s="10"/>
      <c r="J111" s="10"/>
      <c r="K111" s="6"/>
      <c r="M111" s="4" t="str">
        <f t="shared" ca="1" si="19"/>
        <v>SUSCRITO</v>
      </c>
      <c r="O111" s="79"/>
      <c r="P111" s="37"/>
      <c r="Q111" s="37"/>
      <c r="R111" s="37"/>
      <c r="S111" s="37"/>
      <c r="T111" s="75">
        <f t="shared" si="16"/>
        <v>0</v>
      </c>
      <c r="U111" s="39">
        <f t="shared" si="15"/>
        <v>0</v>
      </c>
      <c r="V111" s="39"/>
      <c r="Z111" s="11"/>
      <c r="AA111" s="65"/>
      <c r="AL111" s="68"/>
      <c r="AM111" s="4" cm="1">
        <f t="array" ref="AM111">SUMPRODUCT((AA111:AK111&lt;&gt;"Pendiente")*(AA111:AK111&lt;&gt;""))</f>
        <v>0</v>
      </c>
      <c r="AN111" s="4">
        <f>COUNTA(Tabla256[[#This Row],[INVITACIÓN]:[ACTA DE INICIO]])</f>
        <v>0</v>
      </c>
      <c r="AO111" s="26" t="e">
        <f t="shared" si="17"/>
        <v>#DIV/0!</v>
      </c>
      <c r="AP111" s="47"/>
      <c r="BF111" s="4">
        <f>COUNTA(Tabla256[[#This Row],[(1)SOLICITUD DE  APERTURA FIRNANCIERA Y PRESUPUESTO 1 (FECHA) ]:[(15) FECHA DE CONTRATACIÓN ADMINISTRATIVO]])</f>
        <v>0</v>
      </c>
      <c r="BG111" s="26">
        <f>Tabla256[[#This Row],[NUMERO OK]]/15</f>
        <v>0</v>
      </c>
      <c r="BH111" s="4" t="str">
        <f t="shared" ca="1" si="18"/>
        <v>N/A</v>
      </c>
      <c r="BJ111" s="9"/>
      <c r="BQ111" s="8"/>
    </row>
    <row r="112" spans="1:69">
      <c r="A112" s="9"/>
      <c r="G112" s="10"/>
      <c r="H112" s="62"/>
      <c r="I112" s="10"/>
      <c r="J112" s="10"/>
      <c r="K112" s="6"/>
      <c r="M112" s="4" t="str">
        <f t="shared" ca="1" si="19"/>
        <v>SUSCRITO</v>
      </c>
      <c r="O112" s="79"/>
      <c r="P112" s="37"/>
      <c r="Q112" s="37"/>
      <c r="R112" s="37"/>
      <c r="S112" s="37"/>
      <c r="T112" s="75">
        <f t="shared" si="16"/>
        <v>0</v>
      </c>
      <c r="U112" s="39">
        <f t="shared" si="15"/>
        <v>0</v>
      </c>
      <c r="V112" s="39"/>
      <c r="Z112" s="11"/>
      <c r="AA112" s="65"/>
      <c r="AL112" s="68"/>
      <c r="AM112" s="4" cm="1">
        <f t="array" ref="AM112">SUMPRODUCT((AA112:AK112&lt;&gt;"Pendiente")*(AA112:AK112&lt;&gt;""))</f>
        <v>0</v>
      </c>
      <c r="AN112" s="4">
        <f>COUNTA(Tabla256[[#This Row],[INVITACIÓN]:[ACTA DE INICIO]])</f>
        <v>0</v>
      </c>
      <c r="AO112" s="26" t="e">
        <f t="shared" si="17"/>
        <v>#DIV/0!</v>
      </c>
      <c r="AP112" s="47"/>
      <c r="BF112" s="4">
        <f>COUNTA(Tabla256[[#This Row],[(1)SOLICITUD DE  APERTURA FIRNANCIERA Y PRESUPUESTO 1 (FECHA) ]:[(15) FECHA DE CONTRATACIÓN ADMINISTRATIVO]])</f>
        <v>0</v>
      </c>
      <c r="BG112" s="26">
        <f>Tabla256[[#This Row],[NUMERO OK]]/15</f>
        <v>0</v>
      </c>
      <c r="BH112" s="4" t="str">
        <f t="shared" ca="1" si="18"/>
        <v>N/A</v>
      </c>
      <c r="BJ112" s="9"/>
      <c r="BQ112" s="8"/>
    </row>
    <row r="113" spans="1:69">
      <c r="A113" s="9"/>
      <c r="G113" s="10"/>
      <c r="H113" s="62"/>
      <c r="I113" s="10"/>
      <c r="J113" s="10"/>
      <c r="K113" s="6"/>
      <c r="M113" s="4" t="str">
        <f t="shared" ca="1" si="19"/>
        <v>SUSCRITO</v>
      </c>
      <c r="O113" s="79"/>
      <c r="P113" s="37"/>
      <c r="Q113" s="37"/>
      <c r="R113" s="37"/>
      <c r="S113" s="37"/>
      <c r="T113" s="75">
        <f t="shared" si="16"/>
        <v>0</v>
      </c>
      <c r="U113" s="39">
        <f t="shared" si="15"/>
        <v>0</v>
      </c>
      <c r="V113" s="39"/>
      <c r="Z113" s="11"/>
      <c r="AA113" s="65"/>
      <c r="AL113" s="68"/>
      <c r="AM113" s="4" cm="1">
        <f t="array" ref="AM113">SUMPRODUCT((AA113:AK113&lt;&gt;"Pendiente")*(AA113:AK113&lt;&gt;""))</f>
        <v>0</v>
      </c>
      <c r="AN113" s="4">
        <f>COUNTA(Tabla256[[#This Row],[INVITACIÓN]:[ACTA DE INICIO]])</f>
        <v>0</v>
      </c>
      <c r="AO113" s="26" t="e">
        <f t="shared" si="17"/>
        <v>#DIV/0!</v>
      </c>
      <c r="AP113" s="47"/>
      <c r="BF113" s="4">
        <f>COUNTA(Tabla256[[#This Row],[(1)SOLICITUD DE  APERTURA FIRNANCIERA Y PRESUPUESTO 1 (FECHA) ]:[(15) FECHA DE CONTRATACIÓN ADMINISTRATIVO]])</f>
        <v>0</v>
      </c>
      <c r="BG113" s="26">
        <f>Tabla256[[#This Row],[NUMERO OK]]/15</f>
        <v>0</v>
      </c>
      <c r="BH113" s="4" t="str">
        <f t="shared" ca="1" si="18"/>
        <v>N/A</v>
      </c>
      <c r="BJ113" s="9"/>
      <c r="BQ113" s="8"/>
    </row>
    <row r="114" spans="1:69">
      <c r="A114" s="9"/>
      <c r="G114" s="10"/>
      <c r="H114" s="62"/>
      <c r="I114" s="10"/>
      <c r="J114" s="10"/>
      <c r="K114" s="6"/>
      <c r="M114" s="4" t="str">
        <f t="shared" ca="1" si="19"/>
        <v>SUSCRITO</v>
      </c>
      <c r="O114" s="79"/>
      <c r="P114" s="37"/>
      <c r="Q114" s="37"/>
      <c r="R114" s="37"/>
      <c r="S114" s="37"/>
      <c r="T114" s="75">
        <f t="shared" si="16"/>
        <v>0</v>
      </c>
      <c r="U114" s="39">
        <f t="shared" si="15"/>
        <v>0</v>
      </c>
      <c r="V114" s="39"/>
      <c r="Z114" s="11"/>
      <c r="AA114" s="65"/>
      <c r="AL114" s="68"/>
      <c r="AM114" s="4" cm="1">
        <f t="array" ref="AM114">SUMPRODUCT((AA114:AK114&lt;&gt;"Pendiente")*(AA114:AK114&lt;&gt;""))</f>
        <v>0</v>
      </c>
      <c r="AN114" s="4">
        <f>COUNTA(Tabla256[[#This Row],[INVITACIÓN]:[ACTA DE INICIO]])</f>
        <v>0</v>
      </c>
      <c r="AO114" s="26" t="e">
        <f t="shared" si="17"/>
        <v>#DIV/0!</v>
      </c>
      <c r="AP114" s="47"/>
      <c r="BF114" s="4">
        <f>COUNTA(Tabla256[[#This Row],[(1)SOLICITUD DE  APERTURA FIRNANCIERA Y PRESUPUESTO 1 (FECHA) ]:[(15) FECHA DE CONTRATACIÓN ADMINISTRATIVO]])</f>
        <v>0</v>
      </c>
      <c r="BG114" s="26">
        <f>Tabla256[[#This Row],[NUMERO OK]]/15</f>
        <v>0</v>
      </c>
      <c r="BH114" s="4" t="str">
        <f t="shared" ca="1" si="18"/>
        <v>N/A</v>
      </c>
      <c r="BJ114" s="9"/>
      <c r="BQ114" s="8"/>
    </row>
    <row r="115" spans="1:69">
      <c r="A115" s="9"/>
      <c r="G115" s="10"/>
      <c r="H115" s="62"/>
      <c r="I115" s="10"/>
      <c r="J115" s="10"/>
      <c r="K115" s="6"/>
      <c r="M115" s="4" t="str">
        <f t="shared" ca="1" si="19"/>
        <v>SUSCRITO</v>
      </c>
      <c r="O115" s="79"/>
      <c r="P115" s="37"/>
      <c r="Q115" s="37"/>
      <c r="R115" s="37"/>
      <c r="S115" s="37"/>
      <c r="T115" s="75">
        <f t="shared" si="16"/>
        <v>0</v>
      </c>
      <c r="U115" s="39">
        <f t="shared" si="15"/>
        <v>0</v>
      </c>
      <c r="V115" s="39"/>
      <c r="Z115" s="11"/>
      <c r="AA115" s="65"/>
      <c r="AL115" s="68"/>
      <c r="AM115" s="4" cm="1">
        <f t="array" ref="AM115">SUMPRODUCT((AA115:AK115&lt;&gt;"Pendiente")*(AA115:AK115&lt;&gt;""))</f>
        <v>0</v>
      </c>
      <c r="AN115" s="4">
        <f>COUNTA(Tabla256[[#This Row],[INVITACIÓN]:[ACTA DE INICIO]])</f>
        <v>0</v>
      </c>
      <c r="AO115" s="26" t="e">
        <f t="shared" si="17"/>
        <v>#DIV/0!</v>
      </c>
      <c r="AP115" s="47"/>
      <c r="BF115" s="4">
        <f>COUNTA(Tabla256[[#This Row],[(1)SOLICITUD DE  APERTURA FIRNANCIERA Y PRESUPUESTO 1 (FECHA) ]:[(15) FECHA DE CONTRATACIÓN ADMINISTRATIVO]])</f>
        <v>0</v>
      </c>
      <c r="BG115" s="26">
        <f>Tabla256[[#This Row],[NUMERO OK]]/15</f>
        <v>0</v>
      </c>
      <c r="BH115" s="4" t="str">
        <f t="shared" ca="1" si="18"/>
        <v>N/A</v>
      </c>
      <c r="BJ115" s="9"/>
      <c r="BQ115" s="8"/>
    </row>
    <row r="116" spans="1:69">
      <c r="A116" s="9"/>
      <c r="G116" s="10"/>
      <c r="H116" s="62"/>
      <c r="I116" s="10"/>
      <c r="J116" s="10"/>
      <c r="K116" s="6"/>
      <c r="M116" s="4" t="str">
        <f t="shared" ca="1" si="19"/>
        <v>SUSCRITO</v>
      </c>
      <c r="O116" s="79"/>
      <c r="P116" s="37"/>
      <c r="Q116" s="37"/>
      <c r="R116" s="37"/>
      <c r="S116" s="37"/>
      <c r="T116" s="75">
        <f t="shared" si="16"/>
        <v>0</v>
      </c>
      <c r="U116" s="39">
        <f t="shared" si="15"/>
        <v>0</v>
      </c>
      <c r="V116" s="39"/>
      <c r="Z116" s="11"/>
      <c r="AA116" s="65"/>
      <c r="AL116" s="68"/>
      <c r="AM116" s="4" cm="1">
        <f t="array" ref="AM116">SUMPRODUCT((AA116:AK116&lt;&gt;"Pendiente")*(AA116:AK116&lt;&gt;""))</f>
        <v>0</v>
      </c>
      <c r="AN116" s="4">
        <f>COUNTA(Tabla256[[#This Row],[INVITACIÓN]:[ACTA DE INICIO]])</f>
        <v>0</v>
      </c>
      <c r="AO116" s="26" t="e">
        <f t="shared" si="17"/>
        <v>#DIV/0!</v>
      </c>
      <c r="AP116" s="47"/>
      <c r="BF116" s="4">
        <f>COUNTA(Tabla256[[#This Row],[(1)SOLICITUD DE  APERTURA FIRNANCIERA Y PRESUPUESTO 1 (FECHA) ]:[(15) FECHA DE CONTRATACIÓN ADMINISTRATIVO]])</f>
        <v>0</v>
      </c>
      <c r="BG116" s="26">
        <f>Tabla256[[#This Row],[NUMERO OK]]/15</f>
        <v>0</v>
      </c>
      <c r="BH116" s="4" t="str">
        <f t="shared" ca="1" si="18"/>
        <v>N/A</v>
      </c>
      <c r="BJ116" s="9"/>
      <c r="BQ116" s="8"/>
    </row>
    <row r="117" spans="1:69">
      <c r="A117" s="9"/>
      <c r="G117" s="10"/>
      <c r="H117" s="62"/>
      <c r="I117" s="10"/>
      <c r="J117" s="10"/>
      <c r="K117" s="6"/>
      <c r="M117" s="4" t="str">
        <f t="shared" ca="1" si="19"/>
        <v>SUSCRITO</v>
      </c>
      <c r="O117" s="79"/>
      <c r="P117" s="37"/>
      <c r="Q117" s="37"/>
      <c r="R117" s="37"/>
      <c r="S117" s="37"/>
      <c r="T117" s="75">
        <f t="shared" si="16"/>
        <v>0</v>
      </c>
      <c r="U117" s="39">
        <f t="shared" si="15"/>
        <v>0</v>
      </c>
      <c r="V117" s="39"/>
      <c r="Z117" s="11"/>
      <c r="AA117" s="65"/>
      <c r="AL117" s="68"/>
      <c r="AM117" s="4" cm="1">
        <f t="array" ref="AM117">SUMPRODUCT((AA117:AK117&lt;&gt;"Pendiente")*(AA117:AK117&lt;&gt;""))</f>
        <v>0</v>
      </c>
      <c r="AN117" s="4">
        <f>COUNTA(Tabla256[[#This Row],[INVITACIÓN]:[ACTA DE INICIO]])</f>
        <v>0</v>
      </c>
      <c r="AO117" s="26" t="e">
        <f t="shared" si="17"/>
        <v>#DIV/0!</v>
      </c>
      <c r="AP117" s="47"/>
      <c r="BF117" s="4">
        <f>COUNTA(Tabla256[[#This Row],[(1)SOLICITUD DE  APERTURA FIRNANCIERA Y PRESUPUESTO 1 (FECHA) ]:[(15) FECHA DE CONTRATACIÓN ADMINISTRATIVO]])</f>
        <v>0</v>
      </c>
      <c r="BG117" s="26">
        <f>Tabla256[[#This Row],[NUMERO OK]]/15</f>
        <v>0</v>
      </c>
      <c r="BH117" s="4" t="str">
        <f t="shared" ca="1" si="18"/>
        <v>N/A</v>
      </c>
      <c r="BJ117" s="9"/>
      <c r="BQ117" s="8"/>
    </row>
    <row r="118" spans="1:69">
      <c r="A118" s="9"/>
      <c r="G118" s="10"/>
      <c r="H118" s="62"/>
      <c r="I118" s="10"/>
      <c r="J118" s="10"/>
      <c r="K118" s="6"/>
      <c r="M118" s="4" t="str">
        <f t="shared" ca="1" si="19"/>
        <v>SUSCRITO</v>
      </c>
      <c r="O118" s="79"/>
      <c r="P118" s="37"/>
      <c r="Q118" s="37"/>
      <c r="R118" s="37"/>
      <c r="S118" s="37"/>
      <c r="T118" s="75">
        <f t="shared" si="16"/>
        <v>0</v>
      </c>
      <c r="U118" s="39">
        <f t="shared" si="15"/>
        <v>0</v>
      </c>
      <c r="V118" s="39"/>
      <c r="Z118" s="11"/>
      <c r="AA118" s="65"/>
      <c r="AL118" s="68"/>
      <c r="AM118" s="4" cm="1">
        <f t="array" ref="AM118">SUMPRODUCT((AA118:AK118&lt;&gt;"Pendiente")*(AA118:AK118&lt;&gt;""))</f>
        <v>0</v>
      </c>
      <c r="AN118" s="4">
        <f>COUNTA(Tabla256[[#This Row],[INVITACIÓN]:[ACTA DE INICIO]])</f>
        <v>0</v>
      </c>
      <c r="AO118" s="26" t="e">
        <f t="shared" si="17"/>
        <v>#DIV/0!</v>
      </c>
      <c r="AP118" s="47"/>
      <c r="BF118" s="4">
        <f>COUNTA(Tabla256[[#This Row],[(1)SOLICITUD DE  APERTURA FIRNANCIERA Y PRESUPUESTO 1 (FECHA) ]:[(15) FECHA DE CONTRATACIÓN ADMINISTRATIVO]])</f>
        <v>0</v>
      </c>
      <c r="BG118" s="26">
        <f>Tabla256[[#This Row],[NUMERO OK]]/15</f>
        <v>0</v>
      </c>
      <c r="BH118" s="4" t="str">
        <f t="shared" ca="1" si="18"/>
        <v>N/A</v>
      </c>
      <c r="BJ118" s="9"/>
      <c r="BQ118" s="8"/>
    </row>
    <row r="119" spans="1:69">
      <c r="A119" s="9"/>
      <c r="G119" s="10"/>
      <c r="H119" s="62"/>
      <c r="I119" s="10"/>
      <c r="J119" s="10"/>
      <c r="K119" s="6"/>
      <c r="M119" s="4" t="str">
        <f t="shared" ca="1" si="19"/>
        <v>SUSCRITO</v>
      </c>
      <c r="O119" s="79"/>
      <c r="P119" s="37"/>
      <c r="Q119" s="37"/>
      <c r="R119" s="37"/>
      <c r="S119" s="37"/>
      <c r="T119" s="75">
        <f t="shared" si="16"/>
        <v>0</v>
      </c>
      <c r="U119" s="39">
        <f t="shared" si="15"/>
        <v>0</v>
      </c>
      <c r="V119" s="39"/>
      <c r="Z119" s="11"/>
      <c r="AA119" s="65"/>
      <c r="AL119" s="68"/>
      <c r="AM119" s="4" cm="1">
        <f t="array" ref="AM119">SUMPRODUCT((AA119:AK119&lt;&gt;"Pendiente")*(AA119:AK119&lt;&gt;""))</f>
        <v>0</v>
      </c>
      <c r="AN119" s="4">
        <f>COUNTA(Tabla256[[#This Row],[INVITACIÓN]:[ACTA DE INICIO]])</f>
        <v>0</v>
      </c>
      <c r="AO119" s="26" t="e">
        <f t="shared" si="17"/>
        <v>#DIV/0!</v>
      </c>
      <c r="AP119" s="47"/>
      <c r="BF119" s="4">
        <f>COUNTA(Tabla256[[#This Row],[(1)SOLICITUD DE  APERTURA FIRNANCIERA Y PRESUPUESTO 1 (FECHA) ]:[(15) FECHA DE CONTRATACIÓN ADMINISTRATIVO]])</f>
        <v>0</v>
      </c>
      <c r="BG119" s="26">
        <f>Tabla256[[#This Row],[NUMERO OK]]/15</f>
        <v>0</v>
      </c>
      <c r="BH119" s="4" t="str">
        <f t="shared" ca="1" si="18"/>
        <v>N/A</v>
      </c>
      <c r="BJ119" s="9"/>
      <c r="BQ119" s="8"/>
    </row>
    <row r="120" spans="1:69">
      <c r="A120" s="9"/>
      <c r="G120" s="10"/>
      <c r="H120" s="62"/>
      <c r="I120" s="10"/>
      <c r="J120" s="10"/>
      <c r="K120" s="6"/>
      <c r="M120" s="4" t="str">
        <f t="shared" ca="1" si="19"/>
        <v>SUSCRITO</v>
      </c>
      <c r="O120" s="79"/>
      <c r="P120" s="37"/>
      <c r="Q120" s="37"/>
      <c r="R120" s="37"/>
      <c r="S120" s="37"/>
      <c r="T120" s="75">
        <f t="shared" si="16"/>
        <v>0</v>
      </c>
      <c r="U120" s="39">
        <f t="shared" si="15"/>
        <v>0</v>
      </c>
      <c r="V120" s="39"/>
      <c r="Z120" s="11"/>
      <c r="AA120" s="65"/>
      <c r="AL120" s="68"/>
      <c r="AM120" s="4" cm="1">
        <f t="array" ref="AM120">SUMPRODUCT((AA120:AK120&lt;&gt;"Pendiente")*(AA120:AK120&lt;&gt;""))</f>
        <v>0</v>
      </c>
      <c r="AN120" s="4">
        <f>COUNTA(Tabla256[[#This Row],[INVITACIÓN]:[ACTA DE INICIO]])</f>
        <v>0</v>
      </c>
      <c r="AO120" s="26" t="e">
        <f t="shared" si="17"/>
        <v>#DIV/0!</v>
      </c>
      <c r="AP120" s="47"/>
      <c r="BF120" s="4">
        <f>COUNTA(Tabla256[[#This Row],[(1)SOLICITUD DE  APERTURA FIRNANCIERA Y PRESUPUESTO 1 (FECHA) ]:[(15) FECHA DE CONTRATACIÓN ADMINISTRATIVO]])</f>
        <v>0</v>
      </c>
      <c r="BG120" s="26">
        <f>Tabla256[[#This Row],[NUMERO OK]]/15</f>
        <v>0</v>
      </c>
      <c r="BH120" s="4" t="str">
        <f t="shared" ca="1" si="18"/>
        <v>N/A</v>
      </c>
      <c r="BJ120" s="9"/>
      <c r="BQ120" s="8"/>
    </row>
    <row r="121" spans="1:69">
      <c r="A121" s="9"/>
      <c r="G121" s="10"/>
      <c r="H121" s="62"/>
      <c r="I121" s="10"/>
      <c r="J121" s="10"/>
      <c r="K121" s="6"/>
      <c r="M121" s="4" t="str">
        <f t="shared" ca="1" si="19"/>
        <v>SUSCRITO</v>
      </c>
      <c r="O121" s="79"/>
      <c r="P121" s="37"/>
      <c r="Q121" s="37"/>
      <c r="R121" s="37"/>
      <c r="S121" s="37"/>
      <c r="T121" s="75">
        <f t="shared" si="16"/>
        <v>0</v>
      </c>
      <c r="U121" s="39">
        <f t="shared" si="15"/>
        <v>0</v>
      </c>
      <c r="V121" s="39"/>
      <c r="Z121" s="11"/>
      <c r="AA121" s="65"/>
      <c r="AL121" s="68"/>
      <c r="AM121" s="4" cm="1">
        <f t="array" ref="AM121">SUMPRODUCT((AA121:AK121&lt;&gt;"Pendiente")*(AA121:AK121&lt;&gt;""))</f>
        <v>0</v>
      </c>
      <c r="AN121" s="4">
        <f>COUNTA(Tabla256[[#This Row],[INVITACIÓN]:[ACTA DE INICIO]])</f>
        <v>0</v>
      </c>
      <c r="AO121" s="26" t="e">
        <f t="shared" si="17"/>
        <v>#DIV/0!</v>
      </c>
      <c r="AP121" s="47"/>
      <c r="BF121" s="4">
        <f>COUNTA(Tabla256[[#This Row],[(1)SOLICITUD DE  APERTURA FIRNANCIERA Y PRESUPUESTO 1 (FECHA) ]:[(15) FECHA DE CONTRATACIÓN ADMINISTRATIVO]])</f>
        <v>0</v>
      </c>
      <c r="BG121" s="26">
        <f>Tabla256[[#This Row],[NUMERO OK]]/15</f>
        <v>0</v>
      </c>
      <c r="BH121" s="4" t="str">
        <f t="shared" ca="1" si="18"/>
        <v>N/A</v>
      </c>
      <c r="BJ121" s="9"/>
      <c r="BQ121" s="8"/>
    </row>
    <row r="122" spans="1:69">
      <c r="A122" s="9"/>
      <c r="G122" s="10"/>
      <c r="H122" s="62"/>
      <c r="I122" s="10"/>
      <c r="J122" s="10"/>
      <c r="K122" s="6"/>
      <c r="M122" s="4" t="str">
        <f t="shared" ca="1" si="19"/>
        <v>SUSCRITO</v>
      </c>
      <c r="O122" s="80"/>
      <c r="P122" s="37"/>
      <c r="Q122" s="37"/>
      <c r="R122" s="37"/>
      <c r="S122" s="37"/>
      <c r="T122" s="77">
        <f t="shared" si="16"/>
        <v>0</v>
      </c>
      <c r="U122" s="39">
        <f t="shared" si="15"/>
        <v>0</v>
      </c>
      <c r="V122" s="39"/>
      <c r="Z122" s="11"/>
      <c r="AA122" s="65"/>
      <c r="AL122" s="68"/>
      <c r="AM122" s="4" cm="1">
        <f t="array" ref="AM122">SUMPRODUCT((AA122:AK122&lt;&gt;"Pendiente")*(AA122:AK122&lt;&gt;""))</f>
        <v>0</v>
      </c>
      <c r="AN122" s="4">
        <f>COUNTA(Tabla256[[#This Row],[INVITACIÓN]:[ACTA DE INICIO]])</f>
        <v>0</v>
      </c>
      <c r="AO122" s="26" t="e">
        <f t="shared" si="17"/>
        <v>#DIV/0!</v>
      </c>
      <c r="AP122" s="47"/>
      <c r="BF122" s="4">
        <f>COUNTA(Tabla256[[#This Row],[(1)SOLICITUD DE  APERTURA FIRNANCIERA Y PRESUPUESTO 1 (FECHA) ]:[(15) FECHA DE CONTRATACIÓN ADMINISTRATIVO]])</f>
        <v>0</v>
      </c>
      <c r="BG122" s="26">
        <f>Tabla256[[#This Row],[NUMERO OK]]/15</f>
        <v>0</v>
      </c>
      <c r="BH122" s="4" t="str">
        <f t="shared" ca="1" si="18"/>
        <v>N/A</v>
      </c>
      <c r="BJ122" s="9"/>
      <c r="BQ122" s="8"/>
    </row>
    <row r="123" spans="1:69">
      <c r="A123" s="9"/>
      <c r="G123" s="10"/>
      <c r="H123" s="62"/>
      <c r="I123" s="10"/>
      <c r="J123" s="10"/>
      <c r="O123" s="6"/>
      <c r="P123" s="37"/>
      <c r="Q123" s="37"/>
      <c r="R123" s="37"/>
      <c r="S123" s="37"/>
      <c r="T123" s="53"/>
      <c r="U123" s="12">
        <f>SUBTOTAL(109,Tabla256[BENEFICIO INSTITUCIONAL])</f>
        <v>11612133521.593931</v>
      </c>
      <c r="Z123" s="11"/>
      <c r="AA123" s="65"/>
      <c r="AL123" s="68"/>
      <c r="AP123" s="47"/>
      <c r="BJ123" s="9"/>
      <c r="BQ123" s="8"/>
    </row>
    <row r="124" spans="1:69" ht="15" customHeight="1">
      <c r="T124" s="63"/>
    </row>
  </sheetData>
  <protectedRanges>
    <protectedRange algorithmName="SHA-512" hashValue="B3iB6miBgE6U7OW/pTmUSCLaCl8XcioqNzj5/y6VAUjmXFIPrmHZN3ygLYzQbPjJs/G8aMPEQVRzjMwW9q1EDQ==" saltValue="n2zrRUxRlZPkk5p4vx+/Ew==" spinCount="100000" sqref="AU12" name="Rango1"/>
  </protectedRanges>
  <mergeCells count="4">
    <mergeCell ref="A1:Z1"/>
    <mergeCell ref="AA1:AO1"/>
    <mergeCell ref="AP1:BI1"/>
    <mergeCell ref="BJ1:BQ1"/>
  </mergeCells>
  <phoneticPr fontId="10" type="noConversion"/>
  <conditionalFormatting sqref="M3:M122">
    <cfRule type="containsBlanks" priority="5" stopIfTrue="1">
      <formula>LEN(TRIM(M3))=0</formula>
    </cfRule>
  </conditionalFormatting>
  <conditionalFormatting sqref="K2:K1048576">
    <cfRule type="duplicateValues" dxfId="319" priority="3"/>
    <cfRule type="duplicateValues" dxfId="318" priority="4"/>
  </conditionalFormatting>
  <conditionalFormatting sqref="K25:K44">
    <cfRule type="duplicateValues" dxfId="317" priority="6"/>
  </conditionalFormatting>
  <conditionalFormatting sqref="C46">
    <cfRule type="duplicateValues" dxfId="316" priority="1"/>
    <cfRule type="duplicateValues" dxfId="315" priority="2"/>
  </conditionalFormatting>
  <conditionalFormatting sqref="K4:K24">
    <cfRule type="duplicateValues" dxfId="314" priority="7"/>
  </conditionalFormatting>
  <dataValidations count="6">
    <dataValidation type="whole" allowBlank="1" showInputMessage="1" showErrorMessage="1" promptTitle="CODIGO INTERNO" sqref="B3:B122" xr:uid="{C1642DF5-C1D2-4190-B87A-E9ABF261D396}">
      <formula1>6000</formula1>
      <formula2>7000</formula2>
    </dataValidation>
    <dataValidation type="decimal" allowBlank="1" showInputMessage="1" showErrorMessage="1" errorTitle="NÚMERO" error="INSERTAR SOLO NÚMERO Y DECIMALES SI ES NECESARIO" promptTitle="SOLO NÚMEROS" sqref="P3:S122" xr:uid="{B8144D37-68A9-41BB-9215-74D323F51855}">
      <formula1>0</formula1>
      <formula2>999999999999</formula2>
    </dataValidation>
    <dataValidation type="date" allowBlank="1" showInputMessage="1" showErrorMessage="1" errorTitle="FECHA" error="INSERTAR SOLO FECHA" promptTitle="INSERTAR FECHA" sqref="G3:J122" xr:uid="{E382215C-3659-4C0C-BAD1-B30432F1655B}">
      <formula1>36526</formula1>
      <formula2>48944</formula2>
    </dataValidation>
    <dataValidation type="date" allowBlank="1" showInputMessage="1" showErrorMessage="1" sqref="AX4:AX15 AP4:AP44 AR4:AS44 AX18:AX44" xr:uid="{373F710A-CD9B-4664-97D5-13B0859D7172}">
      <formula1>36526</formula1>
      <formula2>47848</formula2>
    </dataValidation>
    <dataValidation allowBlank="1" showInputMessage="1" showErrorMessage="1" promptTitle="ESPACIOS" prompt="NO DEJAR ESPACIOS AL INICIO O FINAL" sqref="K25:K44 K4:K23 V4:V44" xr:uid="{45332A65-25A8-4F1C-80A3-5A04EC44C2D4}"/>
    <dataValidation allowBlank="1" showInputMessage="1" showErrorMessage="1" promptTitle="NO DEJAR ESAPACIOS" prompt="NO DEJAR ESPACIOS AL INICIO O FINAL " sqref="O4:O44" xr:uid="{BA1AACB2-1813-4364-952F-B7F42B736BE2}"/>
  </dataValidations>
  <pageMargins left="0.7" right="0.7" top="0.75" bottom="0.75" header="0.3" footer="0.3"/>
  <pageSetup orientation="portrait"/>
  <legacyDrawing r:id="rId1"/>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r:uid="{EC721361-5E34-4827-9D36-04CBAE81801E}">
          <x14:formula1>
            <xm:f>'LISTAS DESPLEGABLES'!$B$14:$B$18</xm:f>
          </x14:formula1>
          <xm:sqref>E3:E122</xm:sqref>
        </x14:dataValidation>
        <x14:dataValidation type="list" allowBlank="1" showInputMessage="1" showErrorMessage="1" xr:uid="{9A85AB92-A88C-4872-B7C6-D0756C284E0D}">
          <x14:formula1>
            <xm:f>'LISTAS DESPLEGABLES'!$B$20:$B$25</xm:f>
          </x14:formula1>
          <xm:sqref>D3:D122</xm:sqref>
        </x14:dataValidation>
        <x14:dataValidation type="list" allowBlank="1" showInputMessage="1" showErrorMessage="1" xr:uid="{6F2C76B0-BBCE-43E0-8382-0CACEEDF386B}">
          <x14:formula1>
            <xm:f>'LISTAS DESPLEGABLES'!$E$3:$E$50</xm:f>
          </x14:formula1>
          <xm:sqref>C47:C122 C3:C45</xm:sqref>
        </x14:dataValidation>
        <x14:dataValidation type="list" allowBlank="1" showInputMessage="1" showErrorMessage="1" promptTitle="AÑO DE SUSCRIPCIÓN" xr:uid="{C2B33CF4-AAF0-4F77-B0DA-1C80B9CC4A0A}">
          <x14:formula1>
            <xm:f>'LISTAS DESPLEGABLES'!$A$3:$A$5</xm:f>
          </x14:formula1>
          <xm:sqref>A122</xm:sqref>
        </x14:dataValidation>
        <x14:dataValidation type="list" allowBlank="1" showInputMessage="1" showErrorMessage="1" xr:uid="{7573CB84-EBEC-4C40-9FF0-C4093225B7EB}">
          <x14:formula1>
            <xm:f>'LISTAS DESPLEGABLES'!$F$3:$F$21</xm:f>
          </x14:formula1>
          <xm:sqref>L122</xm:sqref>
        </x14:dataValidation>
        <x14:dataValidation type="list" allowBlank="1" showInputMessage="1" showErrorMessage="1" xr:uid="{A9FD9B95-A374-4BCD-BBA0-409373CCF10D}">
          <x14:formula1>
            <xm:f>'LISTAS DESPLEGABLES'!$A$3:$A$9</xm:f>
          </x14:formula1>
          <xm:sqref>A3:A121</xm:sqref>
        </x14:dataValidation>
        <x14:dataValidation type="list" allowBlank="1" showInputMessage="1" showErrorMessage="1" xr:uid="{4FFA1870-DBBD-42AF-B3DA-35FE69B8930E}">
          <x14:formula1>
            <xm:f>'LISTAS DESPLEGABLES'!$F$3:$F$22</xm:f>
          </x14:formula1>
          <xm:sqref>L3:L121</xm:sqref>
        </x14:dataValidation>
        <x14:dataValidation type="list" allowBlank="1" showInputMessage="1" showErrorMessage="1" xr:uid="{206EBBAD-F2D9-43DA-B89E-B9126F28A430}">
          <x14:formula1>
            <xm:f>'LISTAS DESPLEGABLES'!$M$3:$M$5</xm:f>
          </x14:formula1>
          <xm:sqref>AA3:AK122</xm:sqref>
        </x14:dataValidation>
        <x14:dataValidation type="list" allowBlank="1" showInputMessage="1" showErrorMessage="1" xr:uid="{4AC6E748-38AF-4F78-92A6-A54DE97EEFCB}">
          <x14:formula1>
            <xm:f>'LISTAS DESPLEGABLES'!$J$3:$J$13</xm:f>
          </x14:formula1>
          <xm:sqref>N3:N122</xm:sqref>
        </x14:dataValidation>
        <x14:dataValidation type="list" allowBlank="1" showInputMessage="1" showErrorMessage="1" xr:uid="{FE8766E4-4E96-4EF7-8FFF-9D1A44407872}">
          <x14:formula1>
            <xm:f>'LISTAS DESPLEGABLES'!$K$3:$K$6</xm:f>
          </x14:formula1>
          <xm:sqref>Y3:Y122</xm:sqref>
        </x14:dataValidation>
        <x14:dataValidation type="list" allowBlank="1" showInputMessage="1" showErrorMessage="1" xr:uid="{26DCA24E-D502-456A-A0C1-97B62466669D}">
          <x14:formula1>
            <xm:f>'LISTAS DESPLEGABLES'!$B$3:$B$12</xm:f>
          </x14:formula1>
          <xm:sqref>F3:F122</xm:sqref>
        </x14:dataValidation>
        <x14:dataValidation type="list" allowBlank="1" showInputMessage="1" showErrorMessage="1" xr:uid="{9B9CF193-EBC3-45DE-9198-463CEA2341C3}">
          <x14:formula1>
            <xm:f>'LISTAS DESPLEGABLES'!$N$3:$N$5</xm:f>
          </x14:formula1>
          <xm:sqref>BI3:BI122</xm:sqref>
        </x14:dataValidation>
        <x14:dataValidation type="list" allowBlank="1" showInputMessage="1" showErrorMessage="1" xr:uid="{25455A0F-7652-42CB-92CE-AFCA2F499381}">
          <x14:formula1>
            <xm:f>'LISTAS DESPLEGABLES'!$L$3:$L$7</xm:f>
          </x14:formula1>
          <xm:sqref>Z3:Z122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171B-F4FF-438F-9FA8-0F39B1E25099}">
  <sheetPr>
    <tabColor theme="6"/>
  </sheetPr>
  <dimension ref="A1:BZ125"/>
  <sheetViews>
    <sheetView tabSelected="1" zoomScale="95" zoomScaleNormal="95" workbookViewId="0">
      <pane xSplit="3" ySplit="2" topLeftCell="D3" activePane="bottomRight" state="frozen"/>
      <selection pane="topRight"/>
      <selection pane="bottomLeft" activeCell="B1" sqref="B1"/>
      <selection pane="bottomRight" activeCell="D4" sqref="D4"/>
    </sheetView>
  </sheetViews>
  <sheetFormatPr baseColWidth="10" defaultColWidth="9" defaultRowHeight="15" customHeight="1"/>
  <cols>
    <col min="1" max="1" width="8" style="4" customWidth="1"/>
    <col min="2" max="5" width="17.375" style="4" customWidth="1"/>
    <col min="6" max="8" width="19.625" style="4" customWidth="1"/>
    <col min="9" max="9" width="21.375" style="4" customWidth="1"/>
    <col min="10" max="22" width="15.625" style="4" customWidth="1"/>
    <col min="23" max="23" width="28.25" style="4" customWidth="1"/>
    <col min="24" max="24" width="13.375" style="4" customWidth="1"/>
    <col min="25" max="25" width="16.75" style="4" customWidth="1"/>
    <col min="26" max="30" width="25.625" style="4" customWidth="1"/>
    <col min="31" max="31" width="25.625" style="12" customWidth="1"/>
    <col min="32" max="32" width="84.25" style="12" customWidth="1"/>
    <col min="33" max="33" width="27.875" style="11" customWidth="1"/>
    <col min="34" max="34" width="21.625" style="4" customWidth="1"/>
    <col min="35" max="35" width="22.375" style="4" customWidth="1"/>
    <col min="36" max="46" width="20.625" style="4" customWidth="1"/>
    <col min="47" max="47" width="20.625" style="11" customWidth="1"/>
    <col min="48" max="49" width="20.625" style="4" customWidth="1"/>
    <col min="50" max="50" width="20.625" style="26" customWidth="1"/>
    <col min="51" max="67" width="30.625" style="4" customWidth="1"/>
    <col min="68" max="68" width="30.625" style="26" customWidth="1"/>
    <col min="69" max="78" width="30.625" style="4" customWidth="1"/>
    <col min="79" max="16384" width="9" style="4"/>
  </cols>
  <sheetData>
    <row r="1" spans="1:78" ht="26.25" customHeight="1" thickBot="1">
      <c r="A1" s="181" t="s">
        <v>770</v>
      </c>
      <c r="B1" s="180"/>
      <c r="C1" s="180"/>
      <c r="D1" s="180"/>
      <c r="E1" s="180"/>
      <c r="F1" s="169"/>
      <c r="G1" s="169"/>
      <c r="H1" s="169"/>
      <c r="I1" s="169"/>
      <c r="J1" s="169"/>
      <c r="K1" s="169"/>
      <c r="L1" s="169"/>
      <c r="M1" s="169"/>
      <c r="N1" s="169"/>
      <c r="O1" s="180"/>
      <c r="P1" s="180"/>
      <c r="Q1" s="180"/>
      <c r="R1" s="180"/>
      <c r="S1" s="180"/>
      <c r="T1" s="180"/>
      <c r="U1" s="180"/>
      <c r="V1" s="180"/>
      <c r="W1" s="180"/>
      <c r="X1" s="180"/>
      <c r="Y1" s="180"/>
      <c r="Z1" s="180"/>
      <c r="AA1" s="180"/>
      <c r="AB1" s="180"/>
      <c r="AC1" s="180"/>
      <c r="AD1" s="180"/>
      <c r="AE1" s="180"/>
      <c r="AF1" s="169"/>
      <c r="AG1" s="169"/>
      <c r="AH1" s="169"/>
      <c r="AI1" s="170"/>
      <c r="AJ1" s="171" t="s">
        <v>771</v>
      </c>
      <c r="AK1" s="172"/>
      <c r="AL1" s="172"/>
      <c r="AM1" s="172"/>
      <c r="AN1" s="172"/>
      <c r="AO1" s="172"/>
      <c r="AP1" s="172"/>
      <c r="AQ1" s="172"/>
      <c r="AR1" s="172"/>
      <c r="AS1" s="172"/>
      <c r="AT1" s="172"/>
      <c r="AU1" s="172"/>
      <c r="AV1" s="172"/>
      <c r="AW1" s="172"/>
      <c r="AX1" s="173"/>
      <c r="AY1" s="174" t="s">
        <v>772</v>
      </c>
      <c r="AZ1" s="175"/>
      <c r="BA1" s="175"/>
      <c r="BB1" s="175"/>
      <c r="BC1" s="175"/>
      <c r="BD1" s="175"/>
      <c r="BE1" s="175"/>
      <c r="BF1" s="175"/>
      <c r="BG1" s="175"/>
      <c r="BH1" s="175"/>
      <c r="BI1" s="175"/>
      <c r="BJ1" s="175"/>
      <c r="BK1" s="175"/>
      <c r="BL1" s="175"/>
      <c r="BM1" s="175"/>
      <c r="BN1" s="175"/>
      <c r="BO1" s="175"/>
      <c r="BP1" s="175"/>
      <c r="BQ1" s="175"/>
      <c r="BR1" s="176"/>
      <c r="BS1" s="177" t="s">
        <v>773</v>
      </c>
      <c r="BT1" s="178"/>
      <c r="BU1" s="178"/>
      <c r="BV1" s="178"/>
      <c r="BW1" s="178"/>
      <c r="BX1" s="178"/>
      <c r="BY1" s="178"/>
      <c r="BZ1" s="179"/>
    </row>
    <row r="2" spans="1:78" s="6" customFormat="1" ht="91.5" customHeight="1">
      <c r="A2" s="125" t="s">
        <v>0</v>
      </c>
      <c r="B2" s="126" t="s">
        <v>1151</v>
      </c>
      <c r="C2" s="127" t="s">
        <v>181</v>
      </c>
      <c r="D2" s="128" t="s">
        <v>1150</v>
      </c>
      <c r="E2" s="165" t="s">
        <v>1478</v>
      </c>
      <c r="F2" s="129" t="s">
        <v>775</v>
      </c>
      <c r="G2" s="129" t="s">
        <v>1174</v>
      </c>
      <c r="H2" s="130" t="s">
        <v>776</v>
      </c>
      <c r="I2" s="130" t="s">
        <v>777</v>
      </c>
      <c r="J2" s="130" t="s">
        <v>778</v>
      </c>
      <c r="K2" s="130" t="s">
        <v>1175</v>
      </c>
      <c r="L2" s="130" t="s">
        <v>1176</v>
      </c>
      <c r="M2" s="130" t="s">
        <v>1177</v>
      </c>
      <c r="N2" s="130" t="s">
        <v>779</v>
      </c>
      <c r="O2" s="131" t="s">
        <v>780</v>
      </c>
      <c r="P2" s="132" t="s">
        <v>781</v>
      </c>
      <c r="Q2" s="132" t="s">
        <v>1178</v>
      </c>
      <c r="R2" s="132" t="s">
        <v>1179</v>
      </c>
      <c r="S2" s="132" t="s">
        <v>1180</v>
      </c>
      <c r="T2" s="132" t="s">
        <v>1181</v>
      </c>
      <c r="U2" s="132" t="s">
        <v>1182</v>
      </c>
      <c r="V2" s="132" t="s">
        <v>782</v>
      </c>
      <c r="W2" s="133" t="s">
        <v>180</v>
      </c>
      <c r="X2" s="134" t="s">
        <v>3</v>
      </c>
      <c r="Y2" s="135" t="s">
        <v>9</v>
      </c>
      <c r="Z2" s="136" t="s">
        <v>183</v>
      </c>
      <c r="AA2" s="136" t="s">
        <v>1183</v>
      </c>
      <c r="AB2" s="136" t="s">
        <v>784</v>
      </c>
      <c r="AC2" s="136" t="s">
        <v>1184</v>
      </c>
      <c r="AD2" s="136" t="s">
        <v>185</v>
      </c>
      <c r="AE2" s="137" t="s">
        <v>785</v>
      </c>
      <c r="AF2" s="138" t="s">
        <v>182</v>
      </c>
      <c r="AG2" s="139" t="s">
        <v>186</v>
      </c>
      <c r="AH2" s="129" t="s">
        <v>10</v>
      </c>
      <c r="AI2" s="129" t="s">
        <v>11</v>
      </c>
      <c r="AJ2" s="140" t="s">
        <v>786</v>
      </c>
      <c r="AK2" s="129" t="s">
        <v>787</v>
      </c>
      <c r="AL2" s="129" t="s">
        <v>788</v>
      </c>
      <c r="AM2" s="129" t="s">
        <v>1185</v>
      </c>
      <c r="AN2" s="129" t="s">
        <v>790</v>
      </c>
      <c r="AO2" s="129" t="s">
        <v>791</v>
      </c>
      <c r="AP2" s="129" t="s">
        <v>792</v>
      </c>
      <c r="AQ2" s="129" t="s">
        <v>793</v>
      </c>
      <c r="AR2" s="129" t="s">
        <v>794</v>
      </c>
      <c r="AS2" s="129" t="s">
        <v>795</v>
      </c>
      <c r="AT2" s="129" t="s">
        <v>796</v>
      </c>
      <c r="AU2" s="141" t="s">
        <v>187</v>
      </c>
      <c r="AV2" s="129" t="s">
        <v>797</v>
      </c>
      <c r="AW2" s="129" t="s">
        <v>798</v>
      </c>
      <c r="AX2" s="142" t="s">
        <v>799</v>
      </c>
      <c r="AY2" s="143" t="s">
        <v>800</v>
      </c>
      <c r="AZ2" s="130" t="s">
        <v>801</v>
      </c>
      <c r="BA2" s="130" t="s">
        <v>802</v>
      </c>
      <c r="BB2" s="130" t="s">
        <v>803</v>
      </c>
      <c r="BC2" s="130" t="s">
        <v>804</v>
      </c>
      <c r="BD2" s="130" t="s">
        <v>805</v>
      </c>
      <c r="BE2" s="130" t="s">
        <v>806</v>
      </c>
      <c r="BF2" s="130" t="s">
        <v>807</v>
      </c>
      <c r="BG2" s="130" t="s">
        <v>808</v>
      </c>
      <c r="BH2" s="130" t="s">
        <v>809</v>
      </c>
      <c r="BI2" s="130" t="s">
        <v>810</v>
      </c>
      <c r="BJ2" s="130" t="s">
        <v>811</v>
      </c>
      <c r="BK2" s="130" t="s">
        <v>812</v>
      </c>
      <c r="BL2" s="130" t="s">
        <v>813</v>
      </c>
      <c r="BM2" s="130" t="s">
        <v>814</v>
      </c>
      <c r="BN2" s="130" t="s">
        <v>815</v>
      </c>
      <c r="BO2" s="130" t="s">
        <v>816</v>
      </c>
      <c r="BP2" s="144" t="s">
        <v>817</v>
      </c>
      <c r="BQ2" s="130" t="s">
        <v>818</v>
      </c>
      <c r="BR2" s="145" t="s">
        <v>13</v>
      </c>
      <c r="BS2" s="130" t="s">
        <v>819</v>
      </c>
      <c r="BT2" s="130" t="s">
        <v>820</v>
      </c>
      <c r="BU2" s="130" t="s">
        <v>821</v>
      </c>
      <c r="BV2" s="130" t="s">
        <v>822</v>
      </c>
      <c r="BW2" s="130" t="s">
        <v>823</v>
      </c>
      <c r="BX2" s="130" t="s">
        <v>824</v>
      </c>
      <c r="BY2" s="146" t="s">
        <v>825</v>
      </c>
      <c r="BZ2" s="147" t="s">
        <v>826</v>
      </c>
    </row>
    <row r="3" spans="1:78" ht="42.75">
      <c r="A3" s="89">
        <v>2020</v>
      </c>
      <c r="B3" s="90" t="s">
        <v>828</v>
      </c>
      <c r="C3" s="91" t="s">
        <v>829</v>
      </c>
      <c r="D3" s="44">
        <v>6503</v>
      </c>
      <c r="E3" s="44">
        <v>2910906757</v>
      </c>
      <c r="F3" s="44" t="s">
        <v>17</v>
      </c>
      <c r="G3" s="44"/>
      <c r="H3" s="4" t="s">
        <v>135</v>
      </c>
      <c r="K3" s="4">
        <f t="shared" ref="K3:K34" si="0">IF(Q3="","",(IF(Q3&lt;=7,5,IF(Q3&lt;=12,3,1))))</f>
        <v>1</v>
      </c>
      <c r="L3" s="4">
        <f t="shared" ref="L3:L34" si="1">IF(AD3=0,"",IF(AD3&lt;=500000000,1,IF(AD3&lt;=2847000000,3,5)))</f>
        <v>3</v>
      </c>
      <c r="M3" s="4">
        <f t="shared" ref="M3:M34" si="2">IF(K3="","",IF(Q3&lt;=7,5,IF(Q3&lt;=12,3,1))+IF(AD3&lt;=500000000,1,IF(AD3&lt;=2847000000,3,5)))</f>
        <v>4</v>
      </c>
      <c r="N3" s="10"/>
      <c r="O3" s="97">
        <v>44179</v>
      </c>
      <c r="P3" s="98">
        <v>44179</v>
      </c>
      <c r="Q3" s="99">
        <f t="shared" ref="Q3:Q34" si="3">IF(R3="", "",((R3+T3)/(365/12)))</f>
        <v>60.591780821917808</v>
      </c>
      <c r="R3" s="44">
        <v>1843</v>
      </c>
      <c r="S3" s="44">
        <v>0</v>
      </c>
      <c r="T3" s="92">
        <v>0</v>
      </c>
      <c r="U3" s="92">
        <f t="shared" ref="U3:U66" ca="1" si="4">IF(R3="","",IF(P3="","0",TODAY()-P3-S3+T3))</f>
        <v>1691</v>
      </c>
      <c r="V3" s="98">
        <f t="shared" ref="V3:V34" si="5">IF(P3="", "",P3+R3+T3+S3)</f>
        <v>46022</v>
      </c>
      <c r="W3" s="89" t="s">
        <v>130</v>
      </c>
      <c r="X3" s="44" t="str">
        <f t="shared" ref="X3:X9" ca="1" si="6">IF(V3="", "SUSCRITO", IF(V3&lt;=TODAY(), "FINALIZADO", "EN EJECUCIÓN"))</f>
        <v>EN EJECUCIÓN</v>
      </c>
      <c r="Y3" s="100" t="s">
        <v>93</v>
      </c>
      <c r="Z3" s="101">
        <v>1500051991</v>
      </c>
      <c r="AA3" s="101">
        <v>0</v>
      </c>
      <c r="AB3" s="101">
        <v>0</v>
      </c>
      <c r="AC3" s="101">
        <v>0</v>
      </c>
      <c r="AD3" s="102">
        <f t="shared" ref="AD3:AD34" si="7">Z3+AB3+AA3+AC3</f>
        <v>1500051991</v>
      </c>
      <c r="AE3" s="103">
        <v>0</v>
      </c>
      <c r="AF3" s="104" t="s">
        <v>830</v>
      </c>
      <c r="AG3" s="29" t="s">
        <v>192</v>
      </c>
      <c r="AH3" s="44" t="s">
        <v>22</v>
      </c>
      <c r="AI3" s="44" t="s">
        <v>23</v>
      </c>
      <c r="AJ3" s="89" t="s">
        <v>17</v>
      </c>
      <c r="AK3" s="44" t="s">
        <v>17</v>
      </c>
      <c r="AL3" s="44" t="s">
        <v>17</v>
      </c>
      <c r="AM3" s="44" t="s">
        <v>17</v>
      </c>
      <c r="AN3" s="44" t="s">
        <v>17</v>
      </c>
      <c r="AO3" s="44" t="s">
        <v>17</v>
      </c>
      <c r="AP3" s="44" t="s">
        <v>24</v>
      </c>
      <c r="AQ3" s="44" t="s">
        <v>17</v>
      </c>
      <c r="AR3" s="44" t="s">
        <v>24</v>
      </c>
      <c r="AS3" s="44" t="s">
        <v>24</v>
      </c>
      <c r="AT3" s="44" t="s">
        <v>24</v>
      </c>
      <c r="AU3" s="105" t="s">
        <v>1186</v>
      </c>
      <c r="AV3" s="44" cm="1">
        <f t="array" ref="AV3">SUMPRODUCT((AJ3:AT3&lt;&gt;"Pendiente")*(AJ3:AT3&lt;&gt;""))</f>
        <v>11</v>
      </c>
      <c r="AW3" s="44">
        <f>COUNTA(Tabla25[[#This Row],[INVITACIÓN]:[ACTA DE INICIO]])</f>
        <v>11</v>
      </c>
      <c r="AX3" s="106">
        <f t="shared" ref="AX3:AX34" si="8">AV3/AW3</f>
        <v>1</v>
      </c>
      <c r="AY3" s="47">
        <v>44183</v>
      </c>
      <c r="AZ3" s="10"/>
      <c r="BA3" s="10">
        <v>45749</v>
      </c>
      <c r="BB3" s="4" t="s">
        <v>832</v>
      </c>
      <c r="BN3" s="4" t="s">
        <v>832</v>
      </c>
      <c r="BO3" s="4">
        <f>COUNTA(Tabla25[[#This Row],[(1)SOLICITUD DE  APERTURA FIRNANCIERA Y PRESUPUESTO 1 (FECHA) ]:[(15) FECHA DE CONTRATACIÓN ADMINISTRATIVO]])</f>
        <v>3</v>
      </c>
      <c r="BP3" s="26">
        <f>Tabla25[[#This Row],[NUMERO OK]]/15</f>
        <v>0.2</v>
      </c>
      <c r="BQ3" s="4" t="str">
        <f t="shared" ref="BQ3:BQ34" ca="1" si="9">IF(ISBLANK(P3),"N/A",
   IF(TODAY()-P3&lt;=15,
      IF(BP3=100%,"EnTiempos","EnProceso"),
      IF(BP3&lt;80%,"RiesgoAlto",
         IF(BP3&lt;100%,"RiesgoMedio","Cumplido")
      )
   )
)</f>
        <v>RiesgoAlto</v>
      </c>
      <c r="BR3" s="48"/>
      <c r="BZ3" s="8"/>
    </row>
    <row r="4" spans="1:78" ht="85.5">
      <c r="A4" s="89">
        <v>2021</v>
      </c>
      <c r="B4" s="90" t="s">
        <v>833</v>
      </c>
      <c r="C4" s="91" t="s">
        <v>834</v>
      </c>
      <c r="D4" s="92">
        <v>6532</v>
      </c>
      <c r="E4" s="92">
        <v>2910906742</v>
      </c>
      <c r="F4" s="44" t="s">
        <v>17</v>
      </c>
      <c r="G4" s="44"/>
      <c r="H4" s="4" t="s">
        <v>145</v>
      </c>
      <c r="I4" s="35" t="s">
        <v>17</v>
      </c>
      <c r="K4" s="4">
        <f t="shared" si="0"/>
        <v>1</v>
      </c>
      <c r="L4" s="4">
        <f t="shared" si="1"/>
        <v>5</v>
      </c>
      <c r="M4" s="4">
        <f t="shared" si="2"/>
        <v>6</v>
      </c>
      <c r="N4" s="10"/>
      <c r="O4" s="107">
        <v>44323</v>
      </c>
      <c r="P4" s="98">
        <v>44369</v>
      </c>
      <c r="Q4" s="99">
        <f t="shared" si="3"/>
        <v>54.016438356164379</v>
      </c>
      <c r="R4" s="44">
        <v>923</v>
      </c>
      <c r="S4" s="44">
        <v>0</v>
      </c>
      <c r="T4" s="92">
        <v>720</v>
      </c>
      <c r="U4" s="92">
        <f t="shared" ca="1" si="4"/>
        <v>2221</v>
      </c>
      <c r="V4" s="98">
        <f t="shared" si="5"/>
        <v>46012</v>
      </c>
      <c r="W4" s="89" t="s">
        <v>97</v>
      </c>
      <c r="X4" s="44" t="str">
        <f t="shared" ca="1" si="6"/>
        <v>EN EJECUCIÓN</v>
      </c>
      <c r="Y4" s="100" t="s">
        <v>54</v>
      </c>
      <c r="Z4" s="101">
        <f>7279682085+1980000000</f>
        <v>9259682085</v>
      </c>
      <c r="AA4" s="101">
        <v>0</v>
      </c>
      <c r="AB4" s="101">
        <v>0</v>
      </c>
      <c r="AC4" s="101">
        <v>0</v>
      </c>
      <c r="AD4" s="102">
        <f t="shared" si="7"/>
        <v>9259682085</v>
      </c>
      <c r="AE4" s="103">
        <f>((Z4+AA4)*12%)/112%</f>
        <v>992108794.82142854</v>
      </c>
      <c r="AF4" s="44" t="s">
        <v>835</v>
      </c>
      <c r="AG4" s="108" t="s">
        <v>836</v>
      </c>
      <c r="AH4" s="44" t="s">
        <v>22</v>
      </c>
      <c r="AI4" s="29" t="s">
        <v>35</v>
      </c>
      <c r="AJ4" s="89" t="s">
        <v>17</v>
      </c>
      <c r="AK4" s="44" t="s">
        <v>24</v>
      </c>
      <c r="AL4" s="44" t="s">
        <v>17</v>
      </c>
      <c r="AM4" s="44" t="s">
        <v>17</v>
      </c>
      <c r="AN4" s="44" t="s">
        <v>17</v>
      </c>
      <c r="AO4" s="44" t="s">
        <v>24</v>
      </c>
      <c r="AP4" s="44" t="s">
        <v>24</v>
      </c>
      <c r="AQ4" s="44" t="s">
        <v>24</v>
      </c>
      <c r="AR4" s="44" t="s">
        <v>24</v>
      </c>
      <c r="AS4" s="44" t="s">
        <v>24</v>
      </c>
      <c r="AT4" s="44" t="s">
        <v>24</v>
      </c>
      <c r="AU4" s="105" t="s">
        <v>192</v>
      </c>
      <c r="AV4" s="44" cm="1">
        <f t="array" ref="AV4">SUMPRODUCT((AJ4:AT4&lt;&gt;"Pendiente")*(AJ4:AT4&lt;&gt;""))</f>
        <v>11</v>
      </c>
      <c r="AW4" s="44">
        <f>COUNTA(Tabla25[[#This Row],[INVITACIÓN]:[ACTA DE INICIO]])</f>
        <v>11</v>
      </c>
      <c r="AX4" s="106">
        <f t="shared" si="8"/>
        <v>1</v>
      </c>
      <c r="AY4" s="47">
        <v>44365</v>
      </c>
      <c r="BA4" s="10">
        <v>45772</v>
      </c>
      <c r="BB4" s="10" t="s">
        <v>832</v>
      </c>
      <c r="BG4" s="10"/>
      <c r="BN4" s="4" t="s">
        <v>832</v>
      </c>
      <c r="BO4" s="4">
        <f>COUNTA(Tabla25[[#This Row],[(1)SOLICITUD DE  APERTURA FIRNANCIERA Y PRESUPUESTO 1 (FECHA) ]:[(15) FECHA DE CONTRATACIÓN ADMINISTRATIVO]])</f>
        <v>3</v>
      </c>
      <c r="BP4" s="26">
        <f>Tabla25[[#This Row],[NUMERO OK]]/15</f>
        <v>0.2</v>
      </c>
      <c r="BQ4" s="4" t="str">
        <f t="shared" ca="1" si="9"/>
        <v>RiesgoAlto</v>
      </c>
      <c r="BR4" s="48"/>
      <c r="BZ4" s="8"/>
    </row>
    <row r="5" spans="1:78" ht="213.75">
      <c r="A5" s="89">
        <v>2021</v>
      </c>
      <c r="B5" s="90" t="s">
        <v>838</v>
      </c>
      <c r="C5" s="91" t="s">
        <v>839</v>
      </c>
      <c r="D5" s="44">
        <v>6529</v>
      </c>
      <c r="E5" s="44">
        <v>2910906743</v>
      </c>
      <c r="F5" s="44" t="s">
        <v>17</v>
      </c>
      <c r="G5" s="44"/>
      <c r="H5" s="4" t="s">
        <v>145</v>
      </c>
      <c r="K5" s="4">
        <f t="shared" si="0"/>
        <v>1</v>
      </c>
      <c r="L5" s="4">
        <f t="shared" si="1"/>
        <v>3</v>
      </c>
      <c r="M5" s="4">
        <f t="shared" si="2"/>
        <v>4</v>
      </c>
      <c r="N5" s="10"/>
      <c r="O5" s="97">
        <v>44351</v>
      </c>
      <c r="P5" s="98">
        <v>44362</v>
      </c>
      <c r="Q5" s="99">
        <f t="shared" si="3"/>
        <v>51.419178082191777</v>
      </c>
      <c r="R5" s="92">
        <v>1441</v>
      </c>
      <c r="S5" s="92">
        <v>0</v>
      </c>
      <c r="T5" s="92">
        <v>123</v>
      </c>
      <c r="U5" s="92">
        <f t="shared" ca="1" si="4"/>
        <v>1631</v>
      </c>
      <c r="V5" s="98">
        <f t="shared" si="5"/>
        <v>45926</v>
      </c>
      <c r="W5" s="89" t="s">
        <v>74</v>
      </c>
      <c r="X5" s="44" t="str">
        <f t="shared" ca="1" si="6"/>
        <v>EN EJECUCIÓN</v>
      </c>
      <c r="Y5" s="100" t="s">
        <v>44</v>
      </c>
      <c r="Z5" s="101">
        <v>577046931</v>
      </c>
      <c r="AA5" s="101">
        <v>0</v>
      </c>
      <c r="AB5" s="101">
        <v>0</v>
      </c>
      <c r="AC5" s="101">
        <v>0</v>
      </c>
      <c r="AD5" s="102">
        <f t="shared" si="7"/>
        <v>577046931</v>
      </c>
      <c r="AE5" s="103">
        <v>5815144</v>
      </c>
      <c r="AF5" s="44" t="s">
        <v>840</v>
      </c>
      <c r="AG5" s="29" t="s">
        <v>192</v>
      </c>
      <c r="AH5" s="44" t="s">
        <v>22</v>
      </c>
      <c r="AI5" s="44" t="s">
        <v>23</v>
      </c>
      <c r="AJ5" s="89" t="s">
        <v>24</v>
      </c>
      <c r="AK5" s="44" t="s">
        <v>24</v>
      </c>
      <c r="AL5" s="44" t="s">
        <v>17</v>
      </c>
      <c r="AM5" s="44" t="s">
        <v>17</v>
      </c>
      <c r="AN5" s="44" t="s">
        <v>24</v>
      </c>
      <c r="AO5" s="44" t="s">
        <v>24</v>
      </c>
      <c r="AP5" s="44" t="s">
        <v>24</v>
      </c>
      <c r="AQ5" s="44" t="s">
        <v>24</v>
      </c>
      <c r="AR5" s="44" t="s">
        <v>24</v>
      </c>
      <c r="AS5" s="44" t="s">
        <v>24</v>
      </c>
      <c r="AT5" s="44" t="s">
        <v>24</v>
      </c>
      <c r="AU5" s="105" t="s">
        <v>1187</v>
      </c>
      <c r="AV5" s="44" cm="1">
        <f t="array" ref="AV5">SUMPRODUCT((AJ5:AT5&lt;&gt;"Pendiente")*(AJ5:AT5&lt;&gt;""))</f>
        <v>11</v>
      </c>
      <c r="AW5" s="44">
        <f>COUNTA(Tabla25[[#This Row],[INVITACIÓN]:[ACTA DE INICIO]])</f>
        <v>11</v>
      </c>
      <c r="AX5" s="106">
        <f t="shared" si="8"/>
        <v>1</v>
      </c>
      <c r="AY5" s="47">
        <v>44377</v>
      </c>
      <c r="BB5" s="4" t="s">
        <v>832</v>
      </c>
      <c r="BN5" s="4" t="s">
        <v>832</v>
      </c>
      <c r="BO5" s="4">
        <f>COUNTA(Tabla25[[#This Row],[(1)SOLICITUD DE  APERTURA FIRNANCIERA Y PRESUPUESTO 1 (FECHA) ]:[(15) FECHA DE CONTRATACIÓN ADMINISTRATIVO]])</f>
        <v>2</v>
      </c>
      <c r="BP5" s="26">
        <f>Tabla25[[#This Row],[NUMERO OK]]/15</f>
        <v>0.13333333333333333</v>
      </c>
      <c r="BQ5" s="4" t="str">
        <f t="shared" ca="1" si="9"/>
        <v>RiesgoAlto</v>
      </c>
      <c r="BR5" s="48"/>
      <c r="BZ5" s="8"/>
    </row>
    <row r="6" spans="1:78" ht="71.25">
      <c r="A6" s="89">
        <v>2022</v>
      </c>
      <c r="B6" s="90" t="s">
        <v>842</v>
      </c>
      <c r="C6" s="91" t="s">
        <v>834</v>
      </c>
      <c r="D6" s="92">
        <v>6607</v>
      </c>
      <c r="E6" s="92">
        <v>2453017502</v>
      </c>
      <c r="F6" s="44" t="s">
        <v>17</v>
      </c>
      <c r="G6" s="44"/>
      <c r="H6" s="4" t="s">
        <v>145</v>
      </c>
      <c r="I6" s="35" t="s">
        <v>17</v>
      </c>
      <c r="K6" s="4">
        <f t="shared" si="0"/>
        <v>1</v>
      </c>
      <c r="L6" s="4">
        <f t="shared" si="1"/>
        <v>5</v>
      </c>
      <c r="M6" s="4">
        <f t="shared" si="2"/>
        <v>6</v>
      </c>
      <c r="N6" s="10"/>
      <c r="O6" s="107">
        <v>44588</v>
      </c>
      <c r="P6" s="98">
        <v>44602</v>
      </c>
      <c r="Q6" s="99">
        <f t="shared" si="3"/>
        <v>41.950684931506849</v>
      </c>
      <c r="R6" s="44">
        <v>1276</v>
      </c>
      <c r="S6" s="44">
        <v>0</v>
      </c>
      <c r="T6" s="92">
        <v>0</v>
      </c>
      <c r="U6" s="92">
        <f ca="1">IF(R6="","",IF(P6="","0",TODAY()-P6-S6+T6))</f>
        <v>1268</v>
      </c>
      <c r="V6" s="98">
        <f t="shared" si="5"/>
        <v>45878</v>
      </c>
      <c r="W6" s="89" t="s">
        <v>97</v>
      </c>
      <c r="X6" s="44" t="str">
        <f t="shared" ca="1" si="6"/>
        <v>EN EJECUCIÓN</v>
      </c>
      <c r="Y6" s="100" t="s">
        <v>54</v>
      </c>
      <c r="Z6" s="101">
        <v>5408592000</v>
      </c>
      <c r="AA6" s="101">
        <v>0</v>
      </c>
      <c r="AB6" s="101">
        <v>0</v>
      </c>
      <c r="AC6" s="101">
        <v>0</v>
      </c>
      <c r="AD6" s="102">
        <f t="shared" si="7"/>
        <v>5408592000</v>
      </c>
      <c r="AE6" s="103">
        <v>597961385.39999998</v>
      </c>
      <c r="AF6" s="44" t="s">
        <v>843</v>
      </c>
      <c r="AG6" s="29" t="s">
        <v>844</v>
      </c>
      <c r="AH6" s="44" t="s">
        <v>22</v>
      </c>
      <c r="AI6" s="29" t="s">
        <v>35</v>
      </c>
      <c r="AJ6" s="89" t="s">
        <v>17</v>
      </c>
      <c r="AK6" s="44" t="s">
        <v>24</v>
      </c>
      <c r="AL6" s="44" t="s">
        <v>24</v>
      </c>
      <c r="AM6" s="44" t="s">
        <v>17</v>
      </c>
      <c r="AN6" s="44" t="s">
        <v>17</v>
      </c>
      <c r="AO6" s="44" t="s">
        <v>24</v>
      </c>
      <c r="AP6" s="44" t="s">
        <v>24</v>
      </c>
      <c r="AQ6" s="44" t="s">
        <v>24</v>
      </c>
      <c r="AR6" s="44" t="s">
        <v>24</v>
      </c>
      <c r="AS6" s="44" t="s">
        <v>24</v>
      </c>
      <c r="AT6" s="44" t="s">
        <v>24</v>
      </c>
      <c r="AU6" s="105" t="s">
        <v>1156</v>
      </c>
      <c r="AV6" s="44" cm="1">
        <f t="array" ref="AV6">SUMPRODUCT((AJ6:AT6&lt;&gt;"Pendiente")*(AJ6:AT6&lt;&gt;""))</f>
        <v>11</v>
      </c>
      <c r="AW6" s="44">
        <f>COUNTA(Tabla25[[#This Row],[INVITACIÓN]:[ACTA DE INICIO]])</f>
        <v>11</v>
      </c>
      <c r="AX6" s="106">
        <f t="shared" si="8"/>
        <v>1</v>
      </c>
      <c r="AY6" s="47">
        <v>44609</v>
      </c>
      <c r="BA6" s="10">
        <v>45118</v>
      </c>
      <c r="BB6" s="10" t="s">
        <v>832</v>
      </c>
      <c r="BC6" s="4" t="s">
        <v>832</v>
      </c>
      <c r="BD6" s="4" t="s">
        <v>1188</v>
      </c>
      <c r="BE6" s="4" t="s">
        <v>832</v>
      </c>
      <c r="BG6" s="10" t="s">
        <v>832</v>
      </c>
      <c r="BH6" s="4" t="s">
        <v>1189</v>
      </c>
      <c r="BI6" s="4" t="s">
        <v>832</v>
      </c>
      <c r="BJ6" s="4" t="s">
        <v>832</v>
      </c>
      <c r="BK6" s="4" t="s">
        <v>832</v>
      </c>
      <c r="BL6" s="4" t="s">
        <v>832</v>
      </c>
      <c r="BM6" s="4" t="s">
        <v>832</v>
      </c>
      <c r="BN6" s="4" t="s">
        <v>832</v>
      </c>
      <c r="BO6" s="4">
        <f>COUNTA(Tabla25[[#This Row],[(1)SOLICITUD DE  APERTURA FIRNANCIERA Y PRESUPUESTO 1 (FECHA) ]:[(15) FECHA DE CONTRATACIÓN ADMINISTRATIVO]])</f>
        <v>13</v>
      </c>
      <c r="BP6" s="26">
        <f>Tabla25[[#This Row],[NUMERO OK]]/15</f>
        <v>0.8666666666666667</v>
      </c>
      <c r="BQ6" s="4" t="str">
        <f t="shared" ca="1" si="9"/>
        <v>RiesgoMedio</v>
      </c>
      <c r="BR6" s="48"/>
      <c r="BZ6" s="8"/>
    </row>
    <row r="7" spans="1:78" ht="171">
      <c r="A7" s="89">
        <v>2022</v>
      </c>
      <c r="B7" s="90" t="s">
        <v>846</v>
      </c>
      <c r="C7" s="91" t="s">
        <v>847</v>
      </c>
      <c r="D7" s="44">
        <v>6652</v>
      </c>
      <c r="E7" s="44">
        <v>2910906794</v>
      </c>
      <c r="F7" s="44" t="s">
        <v>17</v>
      </c>
      <c r="G7" s="44"/>
      <c r="H7" s="4" t="s">
        <v>135</v>
      </c>
      <c r="K7" s="4">
        <f t="shared" si="0"/>
        <v>1</v>
      </c>
      <c r="L7" s="4">
        <f t="shared" si="1"/>
        <v>3</v>
      </c>
      <c r="M7" s="4">
        <f t="shared" si="2"/>
        <v>4</v>
      </c>
      <c r="N7" s="10"/>
      <c r="O7" s="97">
        <v>44589</v>
      </c>
      <c r="P7" s="98">
        <v>44589</v>
      </c>
      <c r="Q7" s="99">
        <f t="shared" si="3"/>
        <v>36</v>
      </c>
      <c r="R7" s="44">
        <v>1095</v>
      </c>
      <c r="S7" s="44">
        <v>0</v>
      </c>
      <c r="T7" s="92">
        <v>0</v>
      </c>
      <c r="U7" s="92">
        <f t="shared" ca="1" si="4"/>
        <v>1281</v>
      </c>
      <c r="V7" s="98">
        <f t="shared" si="5"/>
        <v>45684</v>
      </c>
      <c r="W7" s="89" t="s">
        <v>30</v>
      </c>
      <c r="X7" s="44" t="str">
        <f t="shared" ca="1" si="6"/>
        <v>FINALIZADO</v>
      </c>
      <c r="Y7" s="100" t="s">
        <v>99</v>
      </c>
      <c r="Z7" s="101">
        <v>766480342</v>
      </c>
      <c r="AA7" s="101">
        <v>0</v>
      </c>
      <c r="AB7" s="101">
        <v>279517245</v>
      </c>
      <c r="AC7" s="101">
        <v>0</v>
      </c>
      <c r="AD7" s="102">
        <f t="shared" si="7"/>
        <v>1045997587</v>
      </c>
      <c r="AE7" s="103">
        <v>0</v>
      </c>
      <c r="AF7" s="44" t="s">
        <v>848</v>
      </c>
      <c r="AG7" s="29" t="s">
        <v>192</v>
      </c>
      <c r="AH7" s="44" t="s">
        <v>34</v>
      </c>
      <c r="AI7" s="44" t="s">
        <v>23</v>
      </c>
      <c r="AJ7" s="89" t="s">
        <v>24</v>
      </c>
      <c r="AK7" s="44" t="s">
        <v>17</v>
      </c>
      <c r="AL7" s="44" t="s">
        <v>17</v>
      </c>
      <c r="AM7" s="44" t="s">
        <v>17</v>
      </c>
      <c r="AN7" s="44" t="s">
        <v>17</v>
      </c>
      <c r="AO7" s="44" t="s">
        <v>24</v>
      </c>
      <c r="AP7" s="44" t="s">
        <v>24</v>
      </c>
      <c r="AQ7" s="44" t="s">
        <v>17</v>
      </c>
      <c r="AR7" s="44" t="s">
        <v>24</v>
      </c>
      <c r="AS7" s="44" t="s">
        <v>24</v>
      </c>
      <c r="AT7" s="44" t="s">
        <v>24</v>
      </c>
      <c r="AU7" s="105" t="s">
        <v>1190</v>
      </c>
      <c r="AV7" s="44" cm="1">
        <f t="array" ref="AV7">SUMPRODUCT((AJ7:AT7&lt;&gt;"Pendiente")*(AJ7:AT7&lt;&gt;""))</f>
        <v>11</v>
      </c>
      <c r="AW7" s="44">
        <f>COUNTA(Tabla25[[#This Row],[INVITACIÓN]:[ACTA DE INICIO]])</f>
        <v>11</v>
      </c>
      <c r="AX7" s="106">
        <f t="shared" si="8"/>
        <v>1</v>
      </c>
      <c r="AY7" s="47">
        <v>44813</v>
      </c>
      <c r="BA7" s="10">
        <v>45397</v>
      </c>
      <c r="BB7" s="4" t="s">
        <v>832</v>
      </c>
      <c r="BC7" s="4" t="s">
        <v>832</v>
      </c>
      <c r="BD7" s="4" t="s">
        <v>1191</v>
      </c>
      <c r="BE7" s="4" t="s">
        <v>832</v>
      </c>
      <c r="BG7" s="4" t="s">
        <v>832</v>
      </c>
      <c r="BH7" s="4" t="s">
        <v>1192</v>
      </c>
      <c r="BI7" s="4" t="s">
        <v>832</v>
      </c>
      <c r="BJ7" s="4" t="s">
        <v>832</v>
      </c>
      <c r="BK7" s="4" t="s">
        <v>832</v>
      </c>
      <c r="BL7" s="4" t="s">
        <v>832</v>
      </c>
      <c r="BM7" s="4" t="s">
        <v>832</v>
      </c>
      <c r="BN7" s="4" t="s">
        <v>832</v>
      </c>
      <c r="BO7" s="4">
        <f>COUNTA(Tabla25[[#This Row],[(1)SOLICITUD DE  APERTURA FIRNANCIERA Y PRESUPUESTO 1 (FECHA) ]:[(15) FECHA DE CONTRATACIÓN ADMINISTRATIVO]])</f>
        <v>13</v>
      </c>
      <c r="BP7" s="26">
        <f>Tabla25[[#This Row],[NUMERO OK]]/15</f>
        <v>0.8666666666666667</v>
      </c>
      <c r="BQ7" s="4" t="str">
        <f t="shared" ca="1" si="9"/>
        <v>RiesgoMedio</v>
      </c>
      <c r="BR7" s="48"/>
      <c r="BZ7" s="8"/>
    </row>
    <row r="8" spans="1:78" ht="120">
      <c r="A8" s="89">
        <v>2022</v>
      </c>
      <c r="B8" s="90" t="s">
        <v>850</v>
      </c>
      <c r="C8" s="91" t="s">
        <v>847</v>
      </c>
      <c r="D8" s="44">
        <v>6712</v>
      </c>
      <c r="E8" s="44">
        <v>2910907219</v>
      </c>
      <c r="F8" s="44" t="s">
        <v>17</v>
      </c>
      <c r="G8" s="44"/>
      <c r="H8" s="4" t="s">
        <v>135</v>
      </c>
      <c r="K8" s="4">
        <f t="shared" si="0"/>
        <v>1</v>
      </c>
      <c r="L8" s="4">
        <f t="shared" si="1"/>
        <v>3</v>
      </c>
      <c r="M8" s="4">
        <f t="shared" si="2"/>
        <v>4</v>
      </c>
      <c r="N8" s="10"/>
      <c r="O8" s="97">
        <v>44855</v>
      </c>
      <c r="P8" s="98">
        <v>44855</v>
      </c>
      <c r="Q8" s="99">
        <f t="shared" si="3"/>
        <v>29.983561643835614</v>
      </c>
      <c r="R8" s="44">
        <v>912</v>
      </c>
      <c r="S8" s="44">
        <v>0</v>
      </c>
      <c r="T8" s="92">
        <v>0</v>
      </c>
      <c r="U8" s="92">
        <f t="shared" ca="1" si="4"/>
        <v>1015</v>
      </c>
      <c r="V8" s="98">
        <f t="shared" si="5"/>
        <v>45767</v>
      </c>
      <c r="W8" s="89" t="s">
        <v>30</v>
      </c>
      <c r="X8" s="44" t="str">
        <f t="shared" ca="1" si="6"/>
        <v>FINALIZADO</v>
      </c>
      <c r="Y8" s="100" t="s">
        <v>99</v>
      </c>
      <c r="Z8" s="101">
        <v>606499128</v>
      </c>
      <c r="AA8" s="101">
        <v>0</v>
      </c>
      <c r="AB8" s="101">
        <v>463080494</v>
      </c>
      <c r="AC8" s="101">
        <v>0</v>
      </c>
      <c r="AD8" s="102">
        <f t="shared" si="7"/>
        <v>1069579622</v>
      </c>
      <c r="AE8" s="103">
        <v>0</v>
      </c>
      <c r="AF8" s="44" t="s">
        <v>851</v>
      </c>
      <c r="AG8" s="29" t="s">
        <v>192</v>
      </c>
      <c r="AH8" s="44" t="s">
        <v>34</v>
      </c>
      <c r="AI8" s="44" t="s">
        <v>23</v>
      </c>
      <c r="AJ8" s="89" t="s">
        <v>17</v>
      </c>
      <c r="AK8" s="44" t="s">
        <v>24</v>
      </c>
      <c r="AL8" s="44" t="s">
        <v>17</v>
      </c>
      <c r="AM8" s="44" t="s">
        <v>17</v>
      </c>
      <c r="AN8" s="44" t="s">
        <v>17</v>
      </c>
      <c r="AO8" s="44" t="s">
        <v>24</v>
      </c>
      <c r="AP8" s="44" t="s">
        <v>24</v>
      </c>
      <c r="AQ8" s="44" t="s">
        <v>17</v>
      </c>
      <c r="AR8" s="44" t="s">
        <v>17</v>
      </c>
      <c r="AS8" s="44" t="s">
        <v>24</v>
      </c>
      <c r="AT8" s="44" t="s">
        <v>17</v>
      </c>
      <c r="AU8" s="105" t="s">
        <v>1186</v>
      </c>
      <c r="AV8" s="44" cm="1">
        <f t="array" ref="AV8">SUMPRODUCT((AJ8:AT8&lt;&gt;"Pendiente")*(AJ8:AT8&lt;&gt;""))</f>
        <v>11</v>
      </c>
      <c r="AW8" s="44">
        <f>COUNTA(Tabla25[[#This Row],[INVITACIÓN]:[ACTA DE INICIO]])</f>
        <v>11</v>
      </c>
      <c r="AX8" s="106">
        <f t="shared" si="8"/>
        <v>1</v>
      </c>
      <c r="AY8" s="47">
        <v>44924</v>
      </c>
      <c r="BB8" s="4" t="s">
        <v>832</v>
      </c>
      <c r="BC8" s="4" t="s">
        <v>832</v>
      </c>
      <c r="BE8" s="4" t="s">
        <v>832</v>
      </c>
      <c r="BG8" s="4" t="s">
        <v>832</v>
      </c>
      <c r="BI8" s="4" t="s">
        <v>832</v>
      </c>
      <c r="BJ8" s="4" t="s">
        <v>832</v>
      </c>
      <c r="BK8" s="4" t="s">
        <v>832</v>
      </c>
      <c r="BL8" s="4" t="s">
        <v>832</v>
      </c>
      <c r="BM8" s="4" t="s">
        <v>832</v>
      </c>
      <c r="BN8" s="4" t="s">
        <v>832</v>
      </c>
      <c r="BO8" s="4">
        <f>COUNTA(Tabla25[[#This Row],[(1)SOLICITUD DE  APERTURA FIRNANCIERA Y PRESUPUESTO 1 (FECHA) ]:[(15) FECHA DE CONTRATACIÓN ADMINISTRATIVO]])</f>
        <v>10</v>
      </c>
      <c r="BP8" s="26">
        <f>Tabla25[[#This Row],[NUMERO OK]]/15</f>
        <v>0.66666666666666663</v>
      </c>
      <c r="BQ8" s="4" t="str">
        <f t="shared" ca="1" si="9"/>
        <v>RiesgoAlto</v>
      </c>
      <c r="BR8" s="48"/>
      <c r="BZ8" s="8"/>
    </row>
    <row r="9" spans="1:78" ht="71.25">
      <c r="A9" s="89">
        <v>2022</v>
      </c>
      <c r="B9" s="90" t="s">
        <v>853</v>
      </c>
      <c r="C9" s="91" t="s">
        <v>1193</v>
      </c>
      <c r="D9" s="44">
        <v>6698</v>
      </c>
      <c r="E9" s="44">
        <v>2453018346</v>
      </c>
      <c r="F9" s="44" t="s">
        <v>17</v>
      </c>
      <c r="G9" s="44"/>
      <c r="H9" s="4" t="s">
        <v>135</v>
      </c>
      <c r="K9" s="4">
        <f t="shared" si="0"/>
        <v>1</v>
      </c>
      <c r="L9" s="4">
        <f t="shared" si="1"/>
        <v>3</v>
      </c>
      <c r="M9" s="4">
        <f t="shared" si="2"/>
        <v>4</v>
      </c>
      <c r="N9" s="10"/>
      <c r="O9" s="97">
        <v>44917</v>
      </c>
      <c r="P9" s="98">
        <v>44918</v>
      </c>
      <c r="Q9" s="99">
        <f t="shared" si="3"/>
        <v>35.013698630136986</v>
      </c>
      <c r="R9" s="44">
        <v>912</v>
      </c>
      <c r="S9" s="44">
        <v>0</v>
      </c>
      <c r="T9" s="92">
        <v>153</v>
      </c>
      <c r="U9" s="92">
        <f t="shared" ca="1" si="4"/>
        <v>1105</v>
      </c>
      <c r="V9" s="98">
        <f t="shared" si="5"/>
        <v>45983</v>
      </c>
      <c r="W9" s="89" t="s">
        <v>107</v>
      </c>
      <c r="X9" s="44" t="str">
        <f t="shared" ca="1" si="6"/>
        <v>EN EJECUCIÓN</v>
      </c>
      <c r="Y9" s="100" t="s">
        <v>21</v>
      </c>
      <c r="Z9" s="101">
        <v>680689715</v>
      </c>
      <c r="AA9" s="101">
        <v>0</v>
      </c>
      <c r="AB9" s="101">
        <v>76000000</v>
      </c>
      <c r="AC9" s="101">
        <v>0</v>
      </c>
      <c r="AD9" s="102">
        <f t="shared" si="7"/>
        <v>756689715</v>
      </c>
      <c r="AE9" s="103">
        <v>0</v>
      </c>
      <c r="AF9" s="44" t="s">
        <v>855</v>
      </c>
      <c r="AG9" s="29" t="s">
        <v>192</v>
      </c>
      <c r="AH9" s="44" t="s">
        <v>34</v>
      </c>
      <c r="AI9" s="44" t="s">
        <v>23</v>
      </c>
      <c r="AJ9" s="89" t="s">
        <v>17</v>
      </c>
      <c r="AK9" s="44" t="s">
        <v>24</v>
      </c>
      <c r="AL9" s="44" t="s">
        <v>17</v>
      </c>
      <c r="AM9" s="44" t="s">
        <v>17</v>
      </c>
      <c r="AN9" s="44" t="s">
        <v>17</v>
      </c>
      <c r="AO9" s="44" t="s">
        <v>17</v>
      </c>
      <c r="AP9" s="44" t="s">
        <v>24</v>
      </c>
      <c r="AQ9" s="44" t="s">
        <v>24</v>
      </c>
      <c r="AR9" s="44" t="s">
        <v>24</v>
      </c>
      <c r="AS9" s="44" t="s">
        <v>24</v>
      </c>
      <c r="AT9" s="44" t="s">
        <v>24</v>
      </c>
      <c r="AU9" s="105" t="s">
        <v>1194</v>
      </c>
      <c r="AV9" s="44" cm="1">
        <f t="array" ref="AV9">SUMPRODUCT((AJ9:AT9&lt;&gt;"Pendiente")*(AJ9:AT9&lt;&gt;""))</f>
        <v>11</v>
      </c>
      <c r="AW9" s="44">
        <f>COUNTA(Tabla25[[#This Row],[INVITACIÓN]:[ACTA DE INICIO]])</f>
        <v>11</v>
      </c>
      <c r="AX9" s="106">
        <f t="shared" si="8"/>
        <v>1</v>
      </c>
      <c r="AY9" s="47">
        <v>45035</v>
      </c>
      <c r="BA9" s="10">
        <v>45163</v>
      </c>
      <c r="BB9" s="4" t="s">
        <v>832</v>
      </c>
      <c r="BC9" s="4" t="s">
        <v>832</v>
      </c>
      <c r="BD9" s="4" t="s">
        <v>1195</v>
      </c>
      <c r="BE9" s="4" t="s">
        <v>832</v>
      </c>
      <c r="BG9" s="4" t="s">
        <v>832</v>
      </c>
      <c r="BI9" s="4" t="s">
        <v>832</v>
      </c>
      <c r="BJ9" s="4" t="s">
        <v>832</v>
      </c>
      <c r="BK9" s="4" t="s">
        <v>832</v>
      </c>
      <c r="BL9" s="4" t="s">
        <v>832</v>
      </c>
      <c r="BM9" s="4" t="s">
        <v>832</v>
      </c>
      <c r="BN9" s="4" t="s">
        <v>832</v>
      </c>
      <c r="BO9" s="4">
        <f>COUNTA(Tabla25[[#This Row],[(1)SOLICITUD DE  APERTURA FIRNANCIERA Y PRESUPUESTO 1 (FECHA) ]:[(15) FECHA DE CONTRATACIÓN ADMINISTRATIVO]])</f>
        <v>12</v>
      </c>
      <c r="BP9" s="26">
        <f>Tabla25[[#This Row],[NUMERO OK]]/15</f>
        <v>0.8</v>
      </c>
      <c r="BQ9" s="4" t="str">
        <f t="shared" ca="1" si="9"/>
        <v>RiesgoMedio</v>
      </c>
      <c r="BR9" s="48"/>
      <c r="BZ9" s="8"/>
    </row>
    <row r="10" spans="1:78" ht="60">
      <c r="A10" s="89">
        <v>2022</v>
      </c>
      <c r="B10" s="90" t="s">
        <v>857</v>
      </c>
      <c r="C10" s="154" t="s">
        <v>858</v>
      </c>
      <c r="D10" s="44">
        <v>6683</v>
      </c>
      <c r="E10" s="44">
        <v>2910907222</v>
      </c>
      <c r="F10" s="44" t="s">
        <v>17</v>
      </c>
      <c r="G10" s="44"/>
      <c r="H10" s="4" t="s">
        <v>145</v>
      </c>
      <c r="K10" s="4">
        <f t="shared" si="0"/>
        <v>1</v>
      </c>
      <c r="L10" s="4">
        <f t="shared" si="1"/>
        <v>1</v>
      </c>
      <c r="M10" s="4">
        <f t="shared" si="2"/>
        <v>2</v>
      </c>
      <c r="N10" s="10"/>
      <c r="O10" s="97">
        <v>44923</v>
      </c>
      <c r="P10" s="98">
        <v>45033</v>
      </c>
      <c r="Q10" s="99">
        <f t="shared" si="3"/>
        <v>12.657534246575342</v>
      </c>
      <c r="R10" s="44">
        <v>182</v>
      </c>
      <c r="S10" s="44">
        <f>33</f>
        <v>33</v>
      </c>
      <c r="T10" s="92">
        <f>106+36+61</f>
        <v>203</v>
      </c>
      <c r="U10" s="92">
        <f ca="1">IF(R10="","",IF(P10="","0",TODAY()-P10-S10+T10))</f>
        <v>1007</v>
      </c>
      <c r="V10" s="98">
        <f t="shared" si="5"/>
        <v>45451</v>
      </c>
      <c r="W10" s="89" t="s">
        <v>97</v>
      </c>
      <c r="X10" s="44" t="s">
        <v>856</v>
      </c>
      <c r="Y10" s="100" t="s">
        <v>33</v>
      </c>
      <c r="Z10" s="101">
        <v>390823000</v>
      </c>
      <c r="AA10" s="101">
        <v>0</v>
      </c>
      <c r="AB10" s="101">
        <v>0</v>
      </c>
      <c r="AC10" s="101">
        <v>0</v>
      </c>
      <c r="AD10" s="102">
        <f t="shared" si="7"/>
        <v>390823000</v>
      </c>
      <c r="AE10" s="103">
        <f>((Z10+AA10)*12%)/112%</f>
        <v>41873892.857142851</v>
      </c>
      <c r="AF10" s="44" t="s">
        <v>859</v>
      </c>
      <c r="AG10" s="29" t="s">
        <v>192</v>
      </c>
      <c r="AH10" s="44" t="s">
        <v>22</v>
      </c>
      <c r="AI10" s="29" t="s">
        <v>23</v>
      </c>
      <c r="AJ10" s="89" t="s">
        <v>17</v>
      </c>
      <c r="AK10" s="44" t="s">
        <v>24</v>
      </c>
      <c r="AL10" s="44" t="s">
        <v>24</v>
      </c>
      <c r="AM10" s="44" t="s">
        <v>17</v>
      </c>
      <c r="AN10" s="44" t="s">
        <v>24</v>
      </c>
      <c r="AO10" s="44" t="s">
        <v>24</v>
      </c>
      <c r="AP10" s="44" t="s">
        <v>24</v>
      </c>
      <c r="AQ10" s="44" t="s">
        <v>24</v>
      </c>
      <c r="AR10" s="44" t="s">
        <v>24</v>
      </c>
      <c r="AS10" s="44" t="s">
        <v>24</v>
      </c>
      <c r="AT10" s="44" t="s">
        <v>24</v>
      </c>
      <c r="AU10" s="105" t="s">
        <v>861</v>
      </c>
      <c r="AV10" s="44" cm="1">
        <f t="array" ref="AV10">SUMPRODUCT((AJ10:AT10&lt;&gt;"Pendiente")*(AJ10:AT10&lt;&gt;""))</f>
        <v>11</v>
      </c>
      <c r="AW10" s="44">
        <f>COUNTA(Tabla25[[#This Row],[INVITACIÓN]:[ACTA DE INICIO]])</f>
        <v>11</v>
      </c>
      <c r="AX10" s="106">
        <f t="shared" si="8"/>
        <v>1</v>
      </c>
      <c r="AY10" s="47">
        <v>44953</v>
      </c>
      <c r="BA10" s="10">
        <v>45007</v>
      </c>
      <c r="BB10" s="4" t="s">
        <v>832</v>
      </c>
      <c r="BC10" s="4" t="s">
        <v>1196</v>
      </c>
      <c r="BD10" s="4" t="s">
        <v>943</v>
      </c>
      <c r="BE10" s="4" t="s">
        <v>1130</v>
      </c>
      <c r="BG10" s="4" t="s">
        <v>832</v>
      </c>
      <c r="BH10" s="4" t="s">
        <v>1197</v>
      </c>
      <c r="BI10" s="10">
        <v>45019</v>
      </c>
      <c r="BJ10" s="10">
        <v>45019</v>
      </c>
      <c r="BK10" s="10">
        <v>45019</v>
      </c>
      <c r="BL10" s="10">
        <v>45044</v>
      </c>
      <c r="BM10" s="10">
        <v>45028</v>
      </c>
      <c r="BN10" s="4" t="s">
        <v>832</v>
      </c>
      <c r="BO10" s="4">
        <f>COUNTA(Tabla25[[#This Row],[(1)SOLICITUD DE  APERTURA FIRNANCIERA Y PRESUPUESTO 1 (FECHA) ]:[(15) FECHA DE CONTRATACIÓN ADMINISTRATIVO]])</f>
        <v>13</v>
      </c>
      <c r="BP10" s="26">
        <f>Tabla25[[#This Row],[NUMERO OK]]/15</f>
        <v>0.8666666666666667</v>
      </c>
      <c r="BQ10" s="4" t="str">
        <f t="shared" ca="1" si="9"/>
        <v>RiesgoMedio</v>
      </c>
      <c r="BR10" s="48"/>
      <c r="BZ10" s="8"/>
    </row>
    <row r="11" spans="1:78" ht="57">
      <c r="A11" s="89">
        <v>2023</v>
      </c>
      <c r="B11" s="90" t="s">
        <v>862</v>
      </c>
      <c r="C11" s="91" t="s">
        <v>863</v>
      </c>
      <c r="D11" s="44">
        <v>6702</v>
      </c>
      <c r="E11" s="44">
        <v>2453018344</v>
      </c>
      <c r="F11" s="44" t="s">
        <v>17</v>
      </c>
      <c r="G11" s="44"/>
      <c r="H11" s="4" t="s">
        <v>135</v>
      </c>
      <c r="K11" s="4">
        <f t="shared" si="0"/>
        <v>1</v>
      </c>
      <c r="L11" s="4">
        <f t="shared" si="1"/>
        <v>3</v>
      </c>
      <c r="M11" s="4">
        <f t="shared" si="2"/>
        <v>4</v>
      </c>
      <c r="N11" s="10"/>
      <c r="O11" s="97">
        <v>44999</v>
      </c>
      <c r="P11" s="98">
        <v>44999</v>
      </c>
      <c r="Q11" s="99">
        <f t="shared" si="3"/>
        <v>26.860273972602737</v>
      </c>
      <c r="R11" s="44">
        <v>817</v>
      </c>
      <c r="S11" s="44">
        <v>0</v>
      </c>
      <c r="T11" s="92">
        <v>0</v>
      </c>
      <c r="U11" s="92">
        <f t="shared" ca="1" si="4"/>
        <v>871</v>
      </c>
      <c r="V11" s="98">
        <f t="shared" si="5"/>
        <v>45816</v>
      </c>
      <c r="W11" s="89" t="s">
        <v>30</v>
      </c>
      <c r="X11" s="44" t="str">
        <f t="shared" ref="X11:X50" ca="1" si="10">IF(V11="", "SUSCRITO", IF(V11&lt;=TODAY(), "FINALIZADO", "EN EJECUCIÓN"))</f>
        <v>FINALIZADO</v>
      </c>
      <c r="Y11" s="100" t="s">
        <v>99</v>
      </c>
      <c r="Z11" s="101">
        <v>271357297</v>
      </c>
      <c r="AA11" s="101">
        <v>0</v>
      </c>
      <c r="AB11" s="101">
        <v>279443262</v>
      </c>
      <c r="AC11" s="101">
        <v>0</v>
      </c>
      <c r="AD11" s="102">
        <f t="shared" si="7"/>
        <v>550800559</v>
      </c>
      <c r="AE11" s="103">
        <v>0</v>
      </c>
      <c r="AF11" s="44" t="s">
        <v>864</v>
      </c>
      <c r="AG11" s="29" t="s">
        <v>192</v>
      </c>
      <c r="AH11" s="44" t="s">
        <v>34</v>
      </c>
      <c r="AI11" s="29" t="s">
        <v>23</v>
      </c>
      <c r="AJ11" s="89" t="s">
        <v>17</v>
      </c>
      <c r="AK11" s="44" t="s">
        <v>24</v>
      </c>
      <c r="AL11" s="44" t="s">
        <v>17</v>
      </c>
      <c r="AM11" s="44" t="s">
        <v>17</v>
      </c>
      <c r="AN11" s="44" t="s">
        <v>17</v>
      </c>
      <c r="AO11" s="44" t="s">
        <v>17</v>
      </c>
      <c r="AP11" s="44" t="s">
        <v>24</v>
      </c>
      <c r="AQ11" s="44" t="s">
        <v>17</v>
      </c>
      <c r="AR11" s="44" t="s">
        <v>24</v>
      </c>
      <c r="AS11" s="44" t="s">
        <v>24</v>
      </c>
      <c r="AT11" s="44" t="s">
        <v>17</v>
      </c>
      <c r="AU11" s="105" t="s">
        <v>1198</v>
      </c>
      <c r="AV11" s="44" cm="1">
        <f t="array" ref="AV11">SUMPRODUCT((AJ11:AT11&lt;&gt;"Pendiente")*(AJ11:AT11&lt;&gt;""))</f>
        <v>11</v>
      </c>
      <c r="AW11" s="44">
        <f>COUNTA(Tabla25[[#This Row],[INVITACIÓN]:[ACTA DE INICIO]])</f>
        <v>11</v>
      </c>
      <c r="AX11" s="106">
        <f t="shared" si="8"/>
        <v>1</v>
      </c>
      <c r="AY11" s="47">
        <v>45048</v>
      </c>
      <c r="BA11" s="10">
        <v>45083</v>
      </c>
      <c r="BB11" s="4" t="s">
        <v>832</v>
      </c>
      <c r="BC11" s="4" t="s">
        <v>832</v>
      </c>
      <c r="BD11" s="4" t="s">
        <v>1199</v>
      </c>
      <c r="BE11" s="4" t="s">
        <v>832</v>
      </c>
      <c r="BG11" s="4" t="s">
        <v>832</v>
      </c>
      <c r="BH11" s="4" t="s">
        <v>1200</v>
      </c>
      <c r="BI11" s="4" t="s">
        <v>832</v>
      </c>
      <c r="BJ11" s="4" t="s">
        <v>1201</v>
      </c>
      <c r="BK11" s="4" t="s">
        <v>832</v>
      </c>
      <c r="BL11" s="4" t="s">
        <v>832</v>
      </c>
      <c r="BM11" s="4" t="s">
        <v>832</v>
      </c>
      <c r="BN11" s="4" t="s">
        <v>832</v>
      </c>
      <c r="BO11" s="4">
        <f>COUNTA(Tabla25[[#This Row],[(1)SOLICITUD DE  APERTURA FIRNANCIERA Y PRESUPUESTO 1 (FECHA) ]:[(15) FECHA DE CONTRATACIÓN ADMINISTRATIVO]])</f>
        <v>13</v>
      </c>
      <c r="BP11" s="26">
        <f>Tabla25[[#This Row],[NUMERO OK]]/15</f>
        <v>0.8666666666666667</v>
      </c>
      <c r="BQ11" s="4" t="str">
        <f t="shared" ca="1" si="9"/>
        <v>RiesgoMedio</v>
      </c>
      <c r="BR11" s="48"/>
      <c r="BZ11" s="8"/>
    </row>
    <row r="12" spans="1:78" ht="60">
      <c r="A12" s="89">
        <v>2023</v>
      </c>
      <c r="B12" s="90" t="s">
        <v>866</v>
      </c>
      <c r="C12" s="91" t="s">
        <v>858</v>
      </c>
      <c r="D12" s="44">
        <v>6735</v>
      </c>
      <c r="E12" s="44">
        <v>2453018354</v>
      </c>
      <c r="F12" s="44" t="s">
        <v>17</v>
      </c>
      <c r="G12" s="44"/>
      <c r="H12" s="4" t="s">
        <v>145</v>
      </c>
      <c r="K12" s="4">
        <f t="shared" si="0"/>
        <v>1</v>
      </c>
      <c r="L12" s="4">
        <f t="shared" si="1"/>
        <v>1</v>
      </c>
      <c r="M12" s="4">
        <f t="shared" si="2"/>
        <v>2</v>
      </c>
      <c r="N12" s="10"/>
      <c r="O12" s="97">
        <v>45105</v>
      </c>
      <c r="P12" s="98">
        <v>45120</v>
      </c>
      <c r="Q12" s="99">
        <f t="shared" si="3"/>
        <v>21.994520547945204</v>
      </c>
      <c r="R12" s="44">
        <v>607</v>
      </c>
      <c r="S12" s="44">
        <v>0</v>
      </c>
      <c r="T12" s="92">
        <v>62</v>
      </c>
      <c r="U12" s="92">
        <f ca="1">IF(R12="","",IF(P12="","0",TODAY()-P12-S12+T12))</f>
        <v>812</v>
      </c>
      <c r="V12" s="98">
        <f t="shared" si="5"/>
        <v>45789</v>
      </c>
      <c r="W12" s="89" t="s">
        <v>97</v>
      </c>
      <c r="X12" s="44" t="str">
        <f t="shared" ca="1" si="10"/>
        <v>FINALIZADO</v>
      </c>
      <c r="Y12" s="100" t="s">
        <v>93</v>
      </c>
      <c r="Z12" s="101">
        <v>330437363</v>
      </c>
      <c r="AA12" s="101">
        <v>0</v>
      </c>
      <c r="AB12" s="101">
        <v>80000000</v>
      </c>
      <c r="AC12" s="101">
        <v>0</v>
      </c>
      <c r="AD12" s="102">
        <f t="shared" si="7"/>
        <v>410437363</v>
      </c>
      <c r="AE12" s="103">
        <f>((Z12+AA12)*12%)/112%</f>
        <v>35404003.178571418</v>
      </c>
      <c r="AF12" s="44" t="s">
        <v>868</v>
      </c>
      <c r="AG12" s="29" t="s">
        <v>192</v>
      </c>
      <c r="AH12" s="44" t="s">
        <v>22</v>
      </c>
      <c r="AI12" s="29" t="s">
        <v>23</v>
      </c>
      <c r="AJ12" s="89" t="s">
        <v>24</v>
      </c>
      <c r="AK12" s="44" t="s">
        <v>24</v>
      </c>
      <c r="AL12" s="44" t="s">
        <v>24</v>
      </c>
      <c r="AM12" s="44" t="s">
        <v>17</v>
      </c>
      <c r="AN12" s="44" t="s">
        <v>17</v>
      </c>
      <c r="AO12" s="44" t="s">
        <v>24</v>
      </c>
      <c r="AP12" s="44" t="s">
        <v>24</v>
      </c>
      <c r="AQ12" s="44" t="s">
        <v>24</v>
      </c>
      <c r="AR12" s="44" t="s">
        <v>24</v>
      </c>
      <c r="AS12" s="44" t="s">
        <v>24</v>
      </c>
      <c r="AT12" s="44" t="s">
        <v>24</v>
      </c>
      <c r="AU12" s="105" t="s">
        <v>24</v>
      </c>
      <c r="AV12" s="44" cm="1">
        <f t="array" ref="AV12">SUMPRODUCT((AJ12:AT12&lt;&gt;"Pendiente")*(AJ12:AT12&lt;&gt;""))</f>
        <v>11</v>
      </c>
      <c r="AW12" s="44">
        <f>COUNTA(Tabla25[[#This Row],[INVITACIÓN]:[ACTA DE INICIO]])</f>
        <v>11</v>
      </c>
      <c r="AX12" s="106">
        <f t="shared" si="8"/>
        <v>1</v>
      </c>
      <c r="AY12" s="47">
        <v>45128</v>
      </c>
      <c r="BA12" s="10">
        <v>45316</v>
      </c>
      <c r="BB12" s="4" t="s">
        <v>832</v>
      </c>
      <c r="BC12" s="4" t="s">
        <v>1202</v>
      </c>
      <c r="BD12" s="4" t="s">
        <v>1203</v>
      </c>
      <c r="BE12" s="4" t="s">
        <v>1204</v>
      </c>
      <c r="BG12" s="4" t="s">
        <v>832</v>
      </c>
      <c r="BH12" s="4" t="s">
        <v>1205</v>
      </c>
      <c r="BI12" s="10">
        <v>45359</v>
      </c>
      <c r="BJ12" s="10">
        <v>45359</v>
      </c>
      <c r="BK12" s="10">
        <v>45322</v>
      </c>
      <c r="BL12" s="10">
        <v>45387</v>
      </c>
      <c r="BM12" s="10">
        <v>45417</v>
      </c>
      <c r="BN12" s="4" t="s">
        <v>832</v>
      </c>
      <c r="BO12" s="4">
        <f>COUNTA(Tabla25[[#This Row],[(1)SOLICITUD DE  APERTURA FIRNANCIERA Y PRESUPUESTO 1 (FECHA) ]:[(15) FECHA DE CONTRATACIÓN ADMINISTRATIVO]])</f>
        <v>13</v>
      </c>
      <c r="BP12" s="26">
        <f>Tabla25[[#This Row],[NUMERO OK]]/15</f>
        <v>0.8666666666666667</v>
      </c>
      <c r="BQ12" s="4" t="str">
        <f t="shared" ca="1" si="9"/>
        <v>RiesgoMedio</v>
      </c>
      <c r="BR12" s="48"/>
      <c r="BZ12" s="8"/>
    </row>
    <row r="13" spans="1:78" ht="71.25">
      <c r="A13" s="89">
        <v>2023</v>
      </c>
      <c r="B13" s="90" t="s">
        <v>1157</v>
      </c>
      <c r="C13" s="91" t="s">
        <v>1158</v>
      </c>
      <c r="D13" s="44">
        <v>6781</v>
      </c>
      <c r="E13" s="44">
        <v>2910907292</v>
      </c>
      <c r="F13" s="44" t="s">
        <v>17</v>
      </c>
      <c r="G13" s="44"/>
      <c r="H13" s="4" t="s">
        <v>135</v>
      </c>
      <c r="K13" s="4">
        <f t="shared" si="0"/>
        <v>1</v>
      </c>
      <c r="L13" s="4">
        <f t="shared" si="1"/>
        <v>1</v>
      </c>
      <c r="M13" s="4">
        <f t="shared" si="2"/>
        <v>2</v>
      </c>
      <c r="N13" s="10"/>
      <c r="O13" s="97">
        <v>45131</v>
      </c>
      <c r="P13" s="98">
        <v>45131</v>
      </c>
      <c r="Q13" s="99">
        <f t="shared" si="3"/>
        <v>18.049315068493151</v>
      </c>
      <c r="R13" s="44">
        <v>549</v>
      </c>
      <c r="S13" s="44">
        <v>0</v>
      </c>
      <c r="T13" s="92">
        <v>0</v>
      </c>
      <c r="U13" s="92">
        <f t="shared" ca="1" si="4"/>
        <v>739</v>
      </c>
      <c r="V13" s="98">
        <f t="shared" si="5"/>
        <v>45680</v>
      </c>
      <c r="W13" s="89" t="s">
        <v>30</v>
      </c>
      <c r="X13" s="44" t="str">
        <f t="shared" ca="1" si="10"/>
        <v>FINALIZADO</v>
      </c>
      <c r="Y13" s="100" t="s">
        <v>99</v>
      </c>
      <c r="Z13" s="101">
        <v>164644000</v>
      </c>
      <c r="AA13" s="101">
        <v>0</v>
      </c>
      <c r="AB13" s="101">
        <v>75571775</v>
      </c>
      <c r="AC13" s="101">
        <v>0</v>
      </c>
      <c r="AD13" s="102">
        <f t="shared" si="7"/>
        <v>240215775</v>
      </c>
      <c r="AE13" s="103">
        <v>0</v>
      </c>
      <c r="AF13" s="44" t="s">
        <v>1159</v>
      </c>
      <c r="AG13" s="29" t="s">
        <v>192</v>
      </c>
      <c r="AH13" s="44" t="s">
        <v>34</v>
      </c>
      <c r="AI13" s="29" t="s">
        <v>23</v>
      </c>
      <c r="AJ13" s="89" t="s">
        <v>17</v>
      </c>
      <c r="AK13" s="44" t="s">
        <v>17</v>
      </c>
      <c r="AL13" s="44" t="s">
        <v>17</v>
      </c>
      <c r="AM13" s="44" t="s">
        <v>17</v>
      </c>
      <c r="AN13" s="44" t="s">
        <v>17</v>
      </c>
      <c r="AO13" s="44" t="s">
        <v>17</v>
      </c>
      <c r="AP13" s="44" t="s">
        <v>24</v>
      </c>
      <c r="AQ13" s="44" t="s">
        <v>17</v>
      </c>
      <c r="AR13" s="44" t="s">
        <v>24</v>
      </c>
      <c r="AS13" s="44" t="s">
        <v>24</v>
      </c>
      <c r="AT13" s="44" t="s">
        <v>24</v>
      </c>
      <c r="AU13" s="105" t="s">
        <v>1206</v>
      </c>
      <c r="AV13" s="44" cm="1">
        <f t="array" ref="AV13">SUMPRODUCT((AJ13:AT13&lt;&gt;"Pendiente")*(AJ13:AT13&lt;&gt;""))</f>
        <v>11</v>
      </c>
      <c r="AW13" s="44">
        <f>COUNTA(Tabla25[[#This Row],[INVITACIÓN]:[ACTA DE INICIO]])</f>
        <v>11</v>
      </c>
      <c r="AX13" s="106">
        <f t="shared" si="8"/>
        <v>1</v>
      </c>
      <c r="AY13" s="47">
        <v>45278</v>
      </c>
      <c r="BA13" s="10">
        <v>45623</v>
      </c>
      <c r="BB13" s="4" t="s">
        <v>832</v>
      </c>
      <c r="BC13" s="4" t="s">
        <v>832</v>
      </c>
      <c r="BD13" s="4" t="s">
        <v>1191</v>
      </c>
      <c r="BE13" s="4" t="s">
        <v>1207</v>
      </c>
      <c r="BG13" s="4" t="s">
        <v>832</v>
      </c>
      <c r="BH13" s="4" t="s">
        <v>1208</v>
      </c>
      <c r="BI13" s="10">
        <v>45628</v>
      </c>
      <c r="BJ13" s="4" t="s">
        <v>832</v>
      </c>
      <c r="BK13" s="10">
        <v>45628</v>
      </c>
      <c r="BL13" s="4" t="s">
        <v>832</v>
      </c>
      <c r="BM13" s="10">
        <v>45638</v>
      </c>
      <c r="BN13" s="4" t="s">
        <v>832</v>
      </c>
      <c r="BO13" s="4">
        <f>COUNTA(Tabla25[[#This Row],[(1)SOLICITUD DE  APERTURA FIRNANCIERA Y PRESUPUESTO 1 (FECHA) ]:[(15) FECHA DE CONTRATACIÓN ADMINISTRATIVO]])</f>
        <v>13</v>
      </c>
      <c r="BP13" s="26">
        <f>Tabla25[[#This Row],[NUMERO OK]]/15</f>
        <v>0.8666666666666667</v>
      </c>
      <c r="BQ13" s="4" t="str">
        <f t="shared" ca="1" si="9"/>
        <v>RiesgoMedio</v>
      </c>
      <c r="BR13" s="48"/>
      <c r="BZ13" s="8"/>
    </row>
    <row r="14" spans="1:78" ht="128.25">
      <c r="A14" s="89">
        <v>2024</v>
      </c>
      <c r="B14" s="90" t="s">
        <v>967</v>
      </c>
      <c r="C14" s="91" t="s">
        <v>748</v>
      </c>
      <c r="D14" s="92">
        <v>6883</v>
      </c>
      <c r="E14" s="92">
        <v>2910907366</v>
      </c>
      <c r="F14" s="44" t="s">
        <v>1115</v>
      </c>
      <c r="G14" s="155" t="s">
        <v>1209</v>
      </c>
      <c r="H14" s="4" t="s">
        <v>139</v>
      </c>
      <c r="I14" s="35" t="s">
        <v>104</v>
      </c>
      <c r="K14" s="4">
        <f t="shared" si="0"/>
        <v>5</v>
      </c>
      <c r="L14" s="4">
        <f t="shared" si="1"/>
        <v>1</v>
      </c>
      <c r="M14" s="4">
        <f t="shared" si="2"/>
        <v>6</v>
      </c>
      <c r="N14" s="10"/>
      <c r="O14" s="107">
        <v>45636</v>
      </c>
      <c r="P14" s="98">
        <v>45646</v>
      </c>
      <c r="Q14" s="99">
        <f t="shared" si="3"/>
        <v>5.1287671232876706</v>
      </c>
      <c r="R14" s="44">
        <v>19</v>
      </c>
      <c r="S14" s="44">
        <v>0</v>
      </c>
      <c r="T14" s="92">
        <v>137</v>
      </c>
      <c r="U14" s="92">
        <f t="shared" ca="1" si="4"/>
        <v>361</v>
      </c>
      <c r="V14" s="98">
        <f t="shared" si="5"/>
        <v>45802</v>
      </c>
      <c r="W14" s="89" t="s">
        <v>97</v>
      </c>
      <c r="X14" s="44" t="str">
        <f t="shared" ca="1" si="10"/>
        <v>FINALIZADO</v>
      </c>
      <c r="Y14" s="100" t="s">
        <v>33</v>
      </c>
      <c r="Z14" s="101">
        <v>305000000</v>
      </c>
      <c r="AA14" s="101">
        <v>0</v>
      </c>
      <c r="AB14" s="101">
        <v>0</v>
      </c>
      <c r="AC14" s="101">
        <v>0</v>
      </c>
      <c r="AD14" s="102">
        <f t="shared" si="7"/>
        <v>305000000</v>
      </c>
      <c r="AE14" s="103">
        <f t="shared" ref="AE14:AE45" si="11">((Z14+AA14)*12%)/112%</f>
        <v>32678571.428571425</v>
      </c>
      <c r="AF14" s="44" t="s">
        <v>969</v>
      </c>
      <c r="AG14" s="29" t="s">
        <v>970</v>
      </c>
      <c r="AH14" s="44" t="s">
        <v>22</v>
      </c>
      <c r="AI14" s="29" t="s">
        <v>23</v>
      </c>
      <c r="AJ14" s="89" t="s">
        <v>24</v>
      </c>
      <c r="AK14" s="44" t="s">
        <v>24</v>
      </c>
      <c r="AL14" s="44" t="s">
        <v>24</v>
      </c>
      <c r="AM14" s="44" t="s">
        <v>17</v>
      </c>
      <c r="AN14" s="44" t="s">
        <v>17</v>
      </c>
      <c r="AO14" s="44" t="s">
        <v>24</v>
      </c>
      <c r="AP14" s="44" t="s">
        <v>24</v>
      </c>
      <c r="AQ14" s="44" t="s">
        <v>24</v>
      </c>
      <c r="AR14" s="44" t="s">
        <v>24</v>
      </c>
      <c r="AS14" s="44" t="s">
        <v>24</v>
      </c>
      <c r="AT14" s="44" t="s">
        <v>24</v>
      </c>
      <c r="AU14" s="105" t="s">
        <v>972</v>
      </c>
      <c r="AV14" s="44" cm="1">
        <f t="array" ref="AV14">SUMPRODUCT((AJ14:AT14&lt;&gt;"Pendiente")*(AJ14:AT14&lt;&gt;""))</f>
        <v>11</v>
      </c>
      <c r="AW14" s="44">
        <f>COUNTA(Tabla25[[#This Row],[INVITACIÓN]:[ACTA DE INICIO]])</f>
        <v>11</v>
      </c>
      <c r="AX14" s="106">
        <f t="shared" si="8"/>
        <v>1</v>
      </c>
      <c r="AY14" s="47">
        <v>45644</v>
      </c>
      <c r="AZ14" s="10">
        <v>45496</v>
      </c>
      <c r="BA14" s="10">
        <v>45712</v>
      </c>
      <c r="BB14" s="10">
        <v>45712</v>
      </c>
      <c r="BC14" s="4" t="s">
        <v>973</v>
      </c>
      <c r="BD14" s="4" t="s">
        <v>974</v>
      </c>
      <c r="BE14" s="4" t="s">
        <v>1210</v>
      </c>
      <c r="BF14" s="10">
        <v>45705</v>
      </c>
      <c r="BG14" s="10">
        <v>45706</v>
      </c>
      <c r="BH14" s="4" t="s">
        <v>975</v>
      </c>
      <c r="BI14" s="10">
        <v>45732</v>
      </c>
      <c r="BJ14" s="10">
        <v>45734</v>
      </c>
      <c r="BK14" s="10">
        <v>45769</v>
      </c>
      <c r="BL14" s="10">
        <v>45734</v>
      </c>
      <c r="BM14" s="10">
        <v>45775</v>
      </c>
      <c r="BN14" s="4" t="s">
        <v>1211</v>
      </c>
      <c r="BO14" s="4">
        <f>COUNTA(Tabla25[[#This Row],[(1)SOLICITUD DE  APERTURA FIRNANCIERA Y PRESUPUESTO 1 (FECHA) ]:[(15) FECHA DE CONTRATACIÓN ADMINISTRATIVO]])</f>
        <v>15</v>
      </c>
      <c r="BP14" s="26">
        <f>Tabla25[[#This Row],[NUMERO OK]]/15</f>
        <v>1</v>
      </c>
      <c r="BQ14" s="4" t="str">
        <f t="shared" ca="1" si="9"/>
        <v>Cumplido</v>
      </c>
      <c r="BR14" s="48"/>
      <c r="BZ14" s="8"/>
    </row>
    <row r="15" spans="1:78" ht="228">
      <c r="A15" s="89">
        <v>2024</v>
      </c>
      <c r="B15" s="90" t="s">
        <v>946</v>
      </c>
      <c r="C15" s="91" t="s">
        <v>947</v>
      </c>
      <c r="D15" s="92">
        <v>6882</v>
      </c>
      <c r="E15" s="92">
        <v>2910907363</v>
      </c>
      <c r="F15" s="44" t="s">
        <v>164</v>
      </c>
      <c r="G15" s="44"/>
      <c r="H15" s="4" t="s">
        <v>123</v>
      </c>
      <c r="I15" s="35" t="s">
        <v>936</v>
      </c>
      <c r="K15" s="4">
        <f t="shared" si="0"/>
        <v>5</v>
      </c>
      <c r="L15" s="4">
        <f t="shared" si="1"/>
        <v>1</v>
      </c>
      <c r="M15" s="4">
        <f t="shared" si="2"/>
        <v>6</v>
      </c>
      <c r="N15" s="10"/>
      <c r="O15" s="107">
        <v>45630</v>
      </c>
      <c r="P15" s="98">
        <v>45636</v>
      </c>
      <c r="Q15" s="99">
        <f t="shared" si="3"/>
        <v>3.9780821917808216</v>
      </c>
      <c r="R15" s="44">
        <v>21</v>
      </c>
      <c r="S15" s="44">
        <v>0</v>
      </c>
      <c r="T15" s="92">
        <f>59+15+15+8+3</f>
        <v>100</v>
      </c>
      <c r="U15" s="92">
        <f t="shared" ca="1" si="4"/>
        <v>334</v>
      </c>
      <c r="V15" s="98">
        <f t="shared" si="5"/>
        <v>45757</v>
      </c>
      <c r="W15" s="89" t="s">
        <v>97</v>
      </c>
      <c r="X15" s="44" t="str">
        <f t="shared" ca="1" si="10"/>
        <v>FINALIZADO</v>
      </c>
      <c r="Y15" s="100" t="s">
        <v>44</v>
      </c>
      <c r="Z15" s="101">
        <v>126672629.87</v>
      </c>
      <c r="AA15" s="101">
        <v>0</v>
      </c>
      <c r="AB15" s="101">
        <v>0</v>
      </c>
      <c r="AC15" s="101">
        <v>0</v>
      </c>
      <c r="AD15" s="102">
        <f t="shared" si="7"/>
        <v>126672629.87</v>
      </c>
      <c r="AE15" s="103">
        <f t="shared" si="11"/>
        <v>13572067.486071426</v>
      </c>
      <c r="AF15" s="44" t="s">
        <v>948</v>
      </c>
      <c r="AG15" s="29" t="s">
        <v>949</v>
      </c>
      <c r="AH15" s="44" t="s">
        <v>22</v>
      </c>
      <c r="AI15" s="29" t="s">
        <v>23</v>
      </c>
      <c r="AJ15" s="89" t="s">
        <v>17</v>
      </c>
      <c r="AK15" s="44" t="s">
        <v>24</v>
      </c>
      <c r="AL15" s="44" t="s">
        <v>24</v>
      </c>
      <c r="AM15" s="44" t="s">
        <v>17</v>
      </c>
      <c r="AN15" s="44" t="s">
        <v>17</v>
      </c>
      <c r="AO15" s="44" t="s">
        <v>24</v>
      </c>
      <c r="AP15" s="44" t="s">
        <v>24</v>
      </c>
      <c r="AQ15" s="44" t="s">
        <v>24</v>
      </c>
      <c r="AR15" s="44" t="s">
        <v>24</v>
      </c>
      <c r="AS15" s="44" t="s">
        <v>24</v>
      </c>
      <c r="AT15" s="44" t="s">
        <v>24</v>
      </c>
      <c r="AU15" s="105" t="s">
        <v>951</v>
      </c>
      <c r="AV15" s="44" cm="1">
        <f t="array" ref="AV15">SUMPRODUCT((AJ15:AT15&lt;&gt;"Pendiente")*(AJ15:AT15&lt;&gt;""))</f>
        <v>11</v>
      </c>
      <c r="AW15" s="44">
        <f>COUNTA(Tabla25[[#This Row],[INVITACIÓN]:[ACTA DE INICIO]])</f>
        <v>11</v>
      </c>
      <c r="AX15" s="106">
        <f t="shared" si="8"/>
        <v>1</v>
      </c>
      <c r="AY15" s="47">
        <v>45631</v>
      </c>
      <c r="AZ15" s="10">
        <v>45635</v>
      </c>
      <c r="BA15" s="47">
        <v>45636</v>
      </c>
      <c r="BB15" s="10" t="s">
        <v>832</v>
      </c>
      <c r="BC15" s="4" t="s">
        <v>952</v>
      </c>
      <c r="BD15" s="4" t="s">
        <v>943</v>
      </c>
      <c r="BE15" s="4" t="s">
        <v>953</v>
      </c>
      <c r="BF15" s="4" t="s">
        <v>832</v>
      </c>
      <c r="BG15" s="10">
        <v>45636</v>
      </c>
      <c r="BH15" s="4" t="s">
        <v>832</v>
      </c>
      <c r="BI15" s="10">
        <v>45649</v>
      </c>
      <c r="BJ15" s="10">
        <v>45649</v>
      </c>
      <c r="BK15" s="10">
        <v>45649</v>
      </c>
      <c r="BL15" s="10">
        <v>45671</v>
      </c>
      <c r="BM15" s="10">
        <v>45685</v>
      </c>
      <c r="BN15" s="4" t="s">
        <v>945</v>
      </c>
      <c r="BO15" s="4">
        <f>COUNTA(Tabla25[[#This Row],[(1)SOLICITUD DE  APERTURA FIRNANCIERA Y PRESUPUESTO 1 (FECHA) ]:[(15) FECHA DE CONTRATACIÓN ADMINISTRATIVO]])</f>
        <v>15</v>
      </c>
      <c r="BP15" s="26">
        <f>Tabla25[[#This Row],[NUMERO OK]]/15</f>
        <v>1</v>
      </c>
      <c r="BQ15" s="4" t="str">
        <f t="shared" ca="1" si="9"/>
        <v>Cumplido</v>
      </c>
      <c r="BR15" s="48"/>
      <c r="BZ15" s="8"/>
    </row>
    <row r="16" spans="1:78" ht="90">
      <c r="A16" s="89">
        <v>2024</v>
      </c>
      <c r="B16" s="90" t="s">
        <v>984</v>
      </c>
      <c r="C16" s="91" t="s">
        <v>748</v>
      </c>
      <c r="D16" s="92">
        <v>6884</v>
      </c>
      <c r="E16" s="92">
        <v>2910907375</v>
      </c>
      <c r="F16" s="44" t="s">
        <v>164</v>
      </c>
      <c r="G16" s="155" t="s">
        <v>1212</v>
      </c>
      <c r="H16" s="4" t="s">
        <v>139</v>
      </c>
      <c r="I16" s="35" t="s">
        <v>104</v>
      </c>
      <c r="K16" s="4">
        <f t="shared" si="0"/>
        <v>3</v>
      </c>
      <c r="L16" s="4">
        <f t="shared" si="1"/>
        <v>3</v>
      </c>
      <c r="M16" s="4">
        <f t="shared" si="2"/>
        <v>6</v>
      </c>
      <c r="N16" s="10"/>
      <c r="O16" s="107">
        <v>45643</v>
      </c>
      <c r="P16" s="98">
        <v>45653</v>
      </c>
      <c r="Q16" s="99">
        <f t="shared" si="3"/>
        <v>10.126027397260273</v>
      </c>
      <c r="R16" s="44">
        <v>308</v>
      </c>
      <c r="S16" s="44">
        <v>0</v>
      </c>
      <c r="T16" s="92">
        <v>0</v>
      </c>
      <c r="U16" s="92">
        <f t="shared" ca="1" si="4"/>
        <v>217</v>
      </c>
      <c r="V16" s="98">
        <f t="shared" si="5"/>
        <v>45961</v>
      </c>
      <c r="W16" s="89" t="s">
        <v>97</v>
      </c>
      <c r="X16" s="44" t="str">
        <f t="shared" ca="1" si="10"/>
        <v>EN EJECUCIÓN</v>
      </c>
      <c r="Y16" s="100" t="s">
        <v>44</v>
      </c>
      <c r="Z16" s="101">
        <v>2150000000</v>
      </c>
      <c r="AA16" s="101">
        <v>0</v>
      </c>
      <c r="AB16" s="101">
        <v>0</v>
      </c>
      <c r="AC16" s="101">
        <v>0</v>
      </c>
      <c r="AD16" s="102">
        <f t="shared" si="7"/>
        <v>2150000000</v>
      </c>
      <c r="AE16" s="103">
        <f t="shared" si="11"/>
        <v>230357142.85714284</v>
      </c>
      <c r="AF16" s="44" t="s">
        <v>986</v>
      </c>
      <c r="AG16" s="29" t="s">
        <v>987</v>
      </c>
      <c r="AH16" s="44" t="s">
        <v>22</v>
      </c>
      <c r="AI16" s="29" t="s">
        <v>23</v>
      </c>
      <c r="AJ16" s="89" t="s">
        <v>24</v>
      </c>
      <c r="AK16" s="44" t="s">
        <v>24</v>
      </c>
      <c r="AL16" s="44" t="s">
        <v>24</v>
      </c>
      <c r="AM16" s="44" t="s">
        <v>17</v>
      </c>
      <c r="AN16" s="44" t="s">
        <v>17</v>
      </c>
      <c r="AO16" s="44" t="s">
        <v>24</v>
      </c>
      <c r="AP16" s="44" t="s">
        <v>24</v>
      </c>
      <c r="AQ16" s="44" t="s">
        <v>24</v>
      </c>
      <c r="AR16" s="44" t="s">
        <v>24</v>
      </c>
      <c r="AS16" s="44" t="s">
        <v>24</v>
      </c>
      <c r="AT16" s="44" t="s">
        <v>24</v>
      </c>
      <c r="AU16" s="105" t="s">
        <v>989</v>
      </c>
      <c r="AV16" s="44" cm="1">
        <f t="array" ref="AV16">SUMPRODUCT((AJ16:AT16&lt;&gt;"Pendiente")*(AJ16:AT16&lt;&gt;""))</f>
        <v>11</v>
      </c>
      <c r="AW16" s="44">
        <f>COUNTA(Tabla25[[#This Row],[INVITACIÓN]:[ACTA DE INICIO]])</f>
        <v>11</v>
      </c>
      <c r="AX16" s="106">
        <f t="shared" si="8"/>
        <v>1</v>
      </c>
      <c r="AY16" s="47">
        <v>45667</v>
      </c>
      <c r="AZ16" s="10">
        <v>45664</v>
      </c>
      <c r="BA16" s="10">
        <v>45709</v>
      </c>
      <c r="BB16" s="10">
        <v>45712</v>
      </c>
      <c r="BC16" s="4" t="s">
        <v>974</v>
      </c>
      <c r="BD16" s="4" t="s">
        <v>990</v>
      </c>
      <c r="BE16" s="4" t="s">
        <v>832</v>
      </c>
      <c r="BF16" s="10">
        <v>45694</v>
      </c>
      <c r="BG16" s="10">
        <v>45695</v>
      </c>
      <c r="BH16" s="4" t="s">
        <v>991</v>
      </c>
      <c r="BI16" s="4" t="s">
        <v>1213</v>
      </c>
      <c r="BJ16" s="10">
        <v>45728</v>
      </c>
      <c r="BK16" s="4" t="s">
        <v>832</v>
      </c>
      <c r="BL16" s="10">
        <v>45733</v>
      </c>
      <c r="BM16" s="4" t="s">
        <v>832</v>
      </c>
      <c r="BN16" s="4" t="s">
        <v>1211</v>
      </c>
      <c r="BO16" s="4">
        <f>COUNTA(Tabla25[[#This Row],[(1)SOLICITUD DE  APERTURA FIRNANCIERA Y PRESUPUESTO 1 (FECHA) ]:[(15) FECHA DE CONTRATACIÓN ADMINISTRATIVO]])</f>
        <v>15</v>
      </c>
      <c r="BP16" s="26">
        <f>Tabla25[[#This Row],[NUMERO OK]]/15</f>
        <v>1</v>
      </c>
      <c r="BQ16" s="4" t="str">
        <f t="shared" ca="1" si="9"/>
        <v>Cumplido</v>
      </c>
      <c r="BR16" s="48"/>
      <c r="BZ16" s="8"/>
    </row>
    <row r="17" spans="1:78" ht="71.25">
      <c r="A17" s="89">
        <v>2024</v>
      </c>
      <c r="B17" s="90" t="s">
        <v>977</v>
      </c>
      <c r="C17" s="91" t="s">
        <v>978</v>
      </c>
      <c r="D17" s="92">
        <v>6885</v>
      </c>
      <c r="E17" s="92">
        <v>2453018373</v>
      </c>
      <c r="F17" s="44" t="s">
        <v>164</v>
      </c>
      <c r="G17" s="155" t="s">
        <v>1214</v>
      </c>
      <c r="H17" s="4" t="s">
        <v>135</v>
      </c>
      <c r="I17" s="35" t="s">
        <v>104</v>
      </c>
      <c r="J17" s="4" t="s">
        <v>26</v>
      </c>
      <c r="K17" s="4">
        <f t="shared" si="0"/>
        <v>3</v>
      </c>
      <c r="L17" s="4">
        <f t="shared" si="1"/>
        <v>1</v>
      </c>
      <c r="M17" s="4">
        <f t="shared" si="2"/>
        <v>4</v>
      </c>
      <c r="N17" s="10"/>
      <c r="O17" s="107">
        <v>45643</v>
      </c>
      <c r="P17" s="98">
        <v>45666</v>
      </c>
      <c r="Q17" s="99">
        <f t="shared" si="3"/>
        <v>7.4301369863013695</v>
      </c>
      <c r="R17" s="44">
        <v>150</v>
      </c>
      <c r="S17" s="44">
        <v>0</v>
      </c>
      <c r="T17" s="92">
        <v>76</v>
      </c>
      <c r="U17" s="92">
        <f t="shared" ca="1" si="4"/>
        <v>280</v>
      </c>
      <c r="V17" s="98">
        <f t="shared" si="5"/>
        <v>45892</v>
      </c>
      <c r="W17" s="89" t="s">
        <v>52</v>
      </c>
      <c r="X17" s="44" t="str">
        <f t="shared" ca="1" si="10"/>
        <v>EN EJECUCIÓN</v>
      </c>
      <c r="Y17" s="100" t="s">
        <v>93</v>
      </c>
      <c r="Z17" s="101">
        <v>50894807</v>
      </c>
      <c r="AA17" s="101">
        <v>0</v>
      </c>
      <c r="AB17" s="101">
        <v>15268442</v>
      </c>
      <c r="AC17" s="101">
        <v>0</v>
      </c>
      <c r="AD17" s="102">
        <f t="shared" si="7"/>
        <v>66163249</v>
      </c>
      <c r="AE17" s="103">
        <f t="shared" si="11"/>
        <v>5453015.0357142854</v>
      </c>
      <c r="AF17" s="44" t="s">
        <v>979</v>
      </c>
      <c r="AG17" s="29" t="s">
        <v>980</v>
      </c>
      <c r="AH17" s="44" t="s">
        <v>34</v>
      </c>
      <c r="AI17" s="29" t="s">
        <v>23</v>
      </c>
      <c r="AJ17" s="89" t="s">
        <v>24</v>
      </c>
      <c r="AK17" s="44" t="s">
        <v>24</v>
      </c>
      <c r="AL17" s="44" t="s">
        <v>17</v>
      </c>
      <c r="AM17" s="44" t="s">
        <v>17</v>
      </c>
      <c r="AN17" s="44" t="s">
        <v>24</v>
      </c>
      <c r="AO17" s="44" t="s">
        <v>24</v>
      </c>
      <c r="AP17" s="44" t="s">
        <v>24</v>
      </c>
      <c r="AQ17" s="44" t="s">
        <v>24</v>
      </c>
      <c r="AR17" s="44" t="s">
        <v>24</v>
      </c>
      <c r="AS17" s="44" t="s">
        <v>24</v>
      </c>
      <c r="AT17" s="44" t="s">
        <v>24</v>
      </c>
      <c r="AU17" s="123" t="s">
        <v>1215</v>
      </c>
      <c r="AV17" s="44" cm="1">
        <f t="array" ref="AV17">SUMPRODUCT((AJ17:AT17&lt;&gt;"Pendiente")*(AJ17:AT17&lt;&gt;""))</f>
        <v>11</v>
      </c>
      <c r="AW17" s="44">
        <f>COUNTA(Tabla25[[#This Row],[INVITACIÓN]:[ACTA DE INICIO]])</f>
        <v>11</v>
      </c>
      <c r="AX17" s="106">
        <f t="shared" si="8"/>
        <v>1</v>
      </c>
      <c r="AY17" s="47">
        <v>45667</v>
      </c>
      <c r="AZ17" s="10">
        <v>45701</v>
      </c>
      <c r="BA17" s="10">
        <v>45785</v>
      </c>
      <c r="BB17" s="10">
        <v>45708</v>
      </c>
      <c r="BC17" s="4" t="s">
        <v>1216</v>
      </c>
      <c r="BD17" s="11" t="s">
        <v>982</v>
      </c>
      <c r="BE17" s="4" t="s">
        <v>832</v>
      </c>
      <c r="BF17" s="10"/>
      <c r="BG17" s="10">
        <v>45748</v>
      </c>
      <c r="BH17" s="4" t="s">
        <v>983</v>
      </c>
      <c r="BI17" s="10">
        <v>45667</v>
      </c>
      <c r="BJ17" s="10">
        <v>45828</v>
      </c>
      <c r="BK17" s="4" t="s">
        <v>832</v>
      </c>
      <c r="BL17" s="10">
        <v>45828</v>
      </c>
      <c r="BM17" s="4" t="s">
        <v>832</v>
      </c>
      <c r="BN17" s="10">
        <v>45469</v>
      </c>
      <c r="BO17" s="4">
        <f>COUNTA(Tabla25[[#This Row],[(1)SOLICITUD DE  APERTURA FIRNANCIERA Y PRESUPUESTO 1 (FECHA) ]:[(15) FECHA DE CONTRATACIÓN ADMINISTRATIVO]])</f>
        <v>14</v>
      </c>
      <c r="BP17" s="26">
        <f>Tabla25[[#This Row],[NUMERO OK]]/15</f>
        <v>0.93333333333333335</v>
      </c>
      <c r="BQ17" s="4" t="str">
        <f t="shared" ca="1" si="9"/>
        <v>RiesgoMedio</v>
      </c>
      <c r="BR17" s="48"/>
      <c r="BZ17" s="8"/>
    </row>
    <row r="18" spans="1:78" ht="105">
      <c r="A18" s="89">
        <v>2024</v>
      </c>
      <c r="B18" s="90" t="s">
        <v>993</v>
      </c>
      <c r="C18" s="91" t="s">
        <v>685</v>
      </c>
      <c r="D18" s="92">
        <v>6889</v>
      </c>
      <c r="E18" s="92">
        <v>2910907368</v>
      </c>
      <c r="F18" s="44" t="s">
        <v>166</v>
      </c>
      <c r="G18" s="44"/>
      <c r="H18" s="4" t="s">
        <v>135</v>
      </c>
      <c r="I18" s="35" t="s">
        <v>112</v>
      </c>
      <c r="K18" s="4">
        <f t="shared" si="0"/>
        <v>3</v>
      </c>
      <c r="L18" s="4">
        <f t="shared" si="1"/>
        <v>1</v>
      </c>
      <c r="M18" s="4">
        <f t="shared" si="2"/>
        <v>4</v>
      </c>
      <c r="N18" s="10"/>
      <c r="O18" s="107">
        <v>45645</v>
      </c>
      <c r="P18" s="98">
        <v>45653</v>
      </c>
      <c r="Q18" s="99">
        <f t="shared" si="3"/>
        <v>8.9753424657534246</v>
      </c>
      <c r="R18" s="44">
        <v>181</v>
      </c>
      <c r="S18" s="44">
        <v>0</v>
      </c>
      <c r="T18" s="92">
        <v>92</v>
      </c>
      <c r="U18" s="92">
        <f t="shared" ca="1" si="4"/>
        <v>309</v>
      </c>
      <c r="V18" s="98">
        <f t="shared" si="5"/>
        <v>45926</v>
      </c>
      <c r="W18" s="89" t="s">
        <v>103</v>
      </c>
      <c r="X18" s="44" t="str">
        <f t="shared" ca="1" si="10"/>
        <v>EN EJECUCIÓN</v>
      </c>
      <c r="Y18" s="100" t="s">
        <v>93</v>
      </c>
      <c r="Z18" s="101">
        <v>35550000</v>
      </c>
      <c r="AA18" s="101">
        <v>0</v>
      </c>
      <c r="AB18" s="101">
        <v>0</v>
      </c>
      <c r="AC18" s="101">
        <v>0</v>
      </c>
      <c r="AD18" s="102">
        <f t="shared" si="7"/>
        <v>35550000</v>
      </c>
      <c r="AE18" s="103">
        <f t="shared" si="11"/>
        <v>3808928.5714285709</v>
      </c>
      <c r="AF18" s="44" t="s">
        <v>994</v>
      </c>
      <c r="AG18" s="29" t="s">
        <v>995</v>
      </c>
      <c r="AH18" s="44" t="s">
        <v>22</v>
      </c>
      <c r="AI18" s="29" t="s">
        <v>23</v>
      </c>
      <c r="AJ18" s="89" t="s">
        <v>17</v>
      </c>
      <c r="AK18" s="44" t="s">
        <v>24</v>
      </c>
      <c r="AL18" s="44" t="s">
        <v>17</v>
      </c>
      <c r="AM18" s="44" t="s">
        <v>17</v>
      </c>
      <c r="AN18" s="44" t="s">
        <v>17</v>
      </c>
      <c r="AO18" s="44" t="s">
        <v>24</v>
      </c>
      <c r="AP18" s="44" t="s">
        <v>24</v>
      </c>
      <c r="AQ18" s="44" t="s">
        <v>24</v>
      </c>
      <c r="AR18" s="44" t="s">
        <v>24</v>
      </c>
      <c r="AS18" s="44" t="s">
        <v>24</v>
      </c>
      <c r="AT18" s="44" t="s">
        <v>24</v>
      </c>
      <c r="AU18" s="105" t="s">
        <v>1217</v>
      </c>
      <c r="AV18" s="44" cm="1">
        <f t="array" ref="AV18">SUMPRODUCT((AJ18:AT18&lt;&gt;"Pendiente")*(AJ18:AT18&lt;&gt;""))</f>
        <v>11</v>
      </c>
      <c r="AW18" s="44">
        <f>COUNTA(Tabla25[[#This Row],[INVITACIÓN]:[ACTA DE INICIO]])</f>
        <v>11</v>
      </c>
      <c r="AX18" s="106">
        <f t="shared" si="8"/>
        <v>1</v>
      </c>
      <c r="AY18" s="47">
        <v>45652</v>
      </c>
      <c r="AZ18" s="10">
        <v>45701</v>
      </c>
      <c r="BA18" s="10">
        <v>45689</v>
      </c>
      <c r="BB18" s="10">
        <v>45692</v>
      </c>
      <c r="BC18" s="4" t="s">
        <v>996</v>
      </c>
      <c r="BD18" s="4" t="s">
        <v>997</v>
      </c>
      <c r="BE18" s="4" t="s">
        <v>998</v>
      </c>
      <c r="BF18" s="10">
        <v>45677</v>
      </c>
      <c r="BG18" s="10">
        <v>45677</v>
      </c>
      <c r="BH18" s="4" t="s">
        <v>999</v>
      </c>
      <c r="BI18" s="10">
        <v>45705</v>
      </c>
      <c r="BJ18" s="10">
        <v>45693</v>
      </c>
      <c r="BK18" s="10">
        <v>45693</v>
      </c>
      <c r="BL18" s="10">
        <v>45708</v>
      </c>
      <c r="BM18" s="10">
        <v>45708</v>
      </c>
      <c r="BN18" s="4" t="s">
        <v>976</v>
      </c>
      <c r="BO18" s="4">
        <f>COUNTA(Tabla25[[#This Row],[(1)SOLICITUD DE  APERTURA FIRNANCIERA Y PRESUPUESTO 1 (FECHA) ]:[(15) FECHA DE CONTRATACIÓN ADMINISTRATIVO]])</f>
        <v>15</v>
      </c>
      <c r="BP18" s="26">
        <f>Tabla25[[#This Row],[NUMERO OK]]/15</f>
        <v>1</v>
      </c>
      <c r="BQ18" s="4" t="str">
        <f t="shared" ca="1" si="9"/>
        <v>Cumplido</v>
      </c>
      <c r="BR18" s="48"/>
      <c r="BZ18" s="8"/>
    </row>
    <row r="19" spans="1:78" ht="71.25">
      <c r="A19" s="89">
        <v>2024</v>
      </c>
      <c r="B19" s="90" t="s">
        <v>1022</v>
      </c>
      <c r="C19" s="91" t="s">
        <v>1023</v>
      </c>
      <c r="D19" s="92">
        <v>6890</v>
      </c>
      <c r="E19" s="92">
        <v>2910907372</v>
      </c>
      <c r="F19" s="44" t="s">
        <v>166</v>
      </c>
      <c r="G19" s="155" t="s">
        <v>1218</v>
      </c>
      <c r="H19" s="4" t="s">
        <v>131</v>
      </c>
      <c r="I19" s="35" t="s">
        <v>958</v>
      </c>
      <c r="K19" s="4">
        <f t="shared" si="0"/>
        <v>3</v>
      </c>
      <c r="L19" s="4">
        <f t="shared" si="1"/>
        <v>3</v>
      </c>
      <c r="M19" s="4">
        <f t="shared" si="2"/>
        <v>6</v>
      </c>
      <c r="N19" s="10"/>
      <c r="O19" s="107">
        <v>45652</v>
      </c>
      <c r="P19" s="98">
        <v>45698</v>
      </c>
      <c r="Q19" s="99">
        <f t="shared" si="3"/>
        <v>8.9424657534246563</v>
      </c>
      <c r="R19" s="44">
        <v>272</v>
      </c>
      <c r="S19" s="44">
        <v>0</v>
      </c>
      <c r="T19" s="92">
        <v>0</v>
      </c>
      <c r="U19" s="92">
        <f t="shared" ca="1" si="4"/>
        <v>172</v>
      </c>
      <c r="V19" s="98">
        <f t="shared" si="5"/>
        <v>45970</v>
      </c>
      <c r="W19" s="89" t="s">
        <v>97</v>
      </c>
      <c r="X19" s="44" t="str">
        <f t="shared" ca="1" si="10"/>
        <v>EN EJECUCIÓN</v>
      </c>
      <c r="Y19" s="100" t="s">
        <v>54</v>
      </c>
      <c r="Z19" s="101">
        <v>1150000000</v>
      </c>
      <c r="AA19" s="101">
        <v>0</v>
      </c>
      <c r="AB19" s="101">
        <v>0</v>
      </c>
      <c r="AC19" s="101">
        <v>0</v>
      </c>
      <c r="AD19" s="102">
        <f t="shared" si="7"/>
        <v>1150000000</v>
      </c>
      <c r="AE19" s="103">
        <f t="shared" si="11"/>
        <v>123214285.7142857</v>
      </c>
      <c r="AF19" s="44" t="s">
        <v>1024</v>
      </c>
      <c r="AG19" s="29" t="s">
        <v>1025</v>
      </c>
      <c r="AH19" s="44" t="s">
        <v>22</v>
      </c>
      <c r="AI19" s="29" t="s">
        <v>23</v>
      </c>
      <c r="AJ19" s="89" t="s">
        <v>24</v>
      </c>
      <c r="AK19" s="44" t="s">
        <v>24</v>
      </c>
      <c r="AL19" s="44" t="s">
        <v>24</v>
      </c>
      <c r="AM19" s="44" t="s">
        <v>17</v>
      </c>
      <c r="AN19" s="44" t="s">
        <v>17</v>
      </c>
      <c r="AO19" s="44" t="s">
        <v>24</v>
      </c>
      <c r="AP19" s="44" t="s">
        <v>24</v>
      </c>
      <c r="AQ19" s="44" t="s">
        <v>24</v>
      </c>
      <c r="AR19" s="44" t="s">
        <v>24</v>
      </c>
      <c r="AS19" s="44" t="s">
        <v>24</v>
      </c>
      <c r="AT19" s="44" t="s">
        <v>24</v>
      </c>
      <c r="AU19" s="105" t="s">
        <v>981</v>
      </c>
      <c r="AV19" s="44" cm="1">
        <f t="array" ref="AV19">SUMPRODUCT((AJ19:AT19&lt;&gt;"Pendiente")*(AJ19:AT19&lt;&gt;""))</f>
        <v>11</v>
      </c>
      <c r="AW19" s="44">
        <f>COUNTA(Tabla25[[#This Row],[INVITACIÓN]:[ACTA DE INICIO]])</f>
        <v>11</v>
      </c>
      <c r="AX19" s="106">
        <f t="shared" si="8"/>
        <v>1</v>
      </c>
      <c r="AY19" s="47">
        <v>45666</v>
      </c>
      <c r="AZ19" s="10">
        <v>45693</v>
      </c>
      <c r="BA19" s="10">
        <v>45722</v>
      </c>
      <c r="BB19" s="10">
        <v>45705</v>
      </c>
      <c r="BC19" s="4" t="s">
        <v>1026</v>
      </c>
      <c r="BD19" s="4" t="s">
        <v>1027</v>
      </c>
      <c r="BE19" s="4" t="s">
        <v>1028</v>
      </c>
      <c r="BF19" s="10">
        <v>45687</v>
      </c>
      <c r="BG19" s="10">
        <v>45692</v>
      </c>
      <c r="BH19" s="4" t="s">
        <v>1029</v>
      </c>
      <c r="BI19" s="10">
        <v>45721</v>
      </c>
      <c r="BJ19" s="10">
        <v>45356</v>
      </c>
      <c r="BK19" s="10">
        <v>45356</v>
      </c>
      <c r="BL19" s="60">
        <v>45741</v>
      </c>
      <c r="BM19" s="60">
        <v>45741</v>
      </c>
      <c r="BN19" s="4" t="s">
        <v>976</v>
      </c>
      <c r="BO19" s="4">
        <f>COUNTA(Tabla25[[#This Row],[(1)SOLICITUD DE  APERTURA FIRNANCIERA Y PRESUPUESTO 1 (FECHA) ]:[(15) FECHA DE CONTRATACIÓN ADMINISTRATIVO]])</f>
        <v>15</v>
      </c>
      <c r="BP19" s="26">
        <f>Tabla25[[#This Row],[NUMERO OK]]/15</f>
        <v>1</v>
      </c>
      <c r="BQ19" s="4" t="str">
        <f t="shared" ca="1" si="9"/>
        <v>Cumplido</v>
      </c>
      <c r="BR19" s="48"/>
      <c r="BZ19" s="8"/>
    </row>
    <row r="20" spans="1:78" ht="99.75">
      <c r="A20" s="89">
        <v>2024</v>
      </c>
      <c r="B20" s="90" t="s">
        <v>1037</v>
      </c>
      <c r="C20" s="91" t="s">
        <v>1038</v>
      </c>
      <c r="D20" s="92">
        <v>6892</v>
      </c>
      <c r="E20" s="92">
        <v>2910907373</v>
      </c>
      <c r="F20" s="44" t="s">
        <v>166</v>
      </c>
      <c r="G20" s="155" t="s">
        <v>1219</v>
      </c>
      <c r="H20" s="4" t="s">
        <v>131</v>
      </c>
      <c r="I20" s="35" t="s">
        <v>104</v>
      </c>
      <c r="K20" s="4">
        <f t="shared" si="0"/>
        <v>5</v>
      </c>
      <c r="L20" s="4">
        <f t="shared" si="1"/>
        <v>3</v>
      </c>
      <c r="M20" s="4">
        <f t="shared" si="2"/>
        <v>8</v>
      </c>
      <c r="N20" s="10"/>
      <c r="O20" s="107">
        <v>45653</v>
      </c>
      <c r="P20" s="98">
        <v>45701</v>
      </c>
      <c r="Q20" s="99">
        <f t="shared" si="3"/>
        <v>6.9369863013698625</v>
      </c>
      <c r="R20" s="44">
        <v>211</v>
      </c>
      <c r="S20" s="44">
        <v>0</v>
      </c>
      <c r="T20" s="92">
        <v>0</v>
      </c>
      <c r="U20" s="92">
        <f t="shared" ca="1" si="4"/>
        <v>169</v>
      </c>
      <c r="V20" s="98">
        <f t="shared" si="5"/>
        <v>45912</v>
      </c>
      <c r="W20" s="89" t="s">
        <v>97</v>
      </c>
      <c r="X20" s="44" t="str">
        <f t="shared" ca="1" si="10"/>
        <v>EN EJECUCIÓN</v>
      </c>
      <c r="Y20" s="100" t="s">
        <v>99</v>
      </c>
      <c r="Z20" s="101">
        <v>1257683000</v>
      </c>
      <c r="AA20" s="101">
        <v>0</v>
      </c>
      <c r="AB20" s="101">
        <v>0</v>
      </c>
      <c r="AC20" s="101">
        <v>0</v>
      </c>
      <c r="AD20" s="102">
        <f t="shared" si="7"/>
        <v>1257683000</v>
      </c>
      <c r="AE20" s="103">
        <f t="shared" si="11"/>
        <v>134751750</v>
      </c>
      <c r="AF20" s="44" t="s">
        <v>1039</v>
      </c>
      <c r="AG20" s="29" t="s">
        <v>1040</v>
      </c>
      <c r="AH20" s="44" t="s">
        <v>22</v>
      </c>
      <c r="AI20" s="29" t="s">
        <v>23</v>
      </c>
      <c r="AJ20" s="89" t="s">
        <v>17</v>
      </c>
      <c r="AK20" s="44" t="s">
        <v>24</v>
      </c>
      <c r="AL20" s="44" t="s">
        <v>24</v>
      </c>
      <c r="AM20" s="44" t="s">
        <v>17</v>
      </c>
      <c r="AN20" s="44" t="s">
        <v>17</v>
      </c>
      <c r="AO20" s="44" t="s">
        <v>24</v>
      </c>
      <c r="AP20" s="44" t="s">
        <v>24</v>
      </c>
      <c r="AQ20" s="44" t="s">
        <v>24</v>
      </c>
      <c r="AR20" s="44" t="s">
        <v>24</v>
      </c>
      <c r="AS20" s="44" t="s">
        <v>24</v>
      </c>
      <c r="AT20" s="44" t="s">
        <v>24</v>
      </c>
      <c r="AU20" s="105" t="s">
        <v>981</v>
      </c>
      <c r="AV20" s="44" cm="1">
        <f t="array" ref="AV20">SUMPRODUCT((AJ20:AT20&lt;&gt;"Pendiente")*(AJ20:AT20&lt;&gt;""))</f>
        <v>11</v>
      </c>
      <c r="AW20" s="44">
        <f>COUNTA(Tabla25[[#This Row],[INVITACIÓN]:[ACTA DE INICIO]])</f>
        <v>11</v>
      </c>
      <c r="AX20" s="106">
        <f t="shared" si="8"/>
        <v>1</v>
      </c>
      <c r="AY20" s="47">
        <v>45666</v>
      </c>
      <c r="AZ20" s="10">
        <v>45701</v>
      </c>
      <c r="BA20" s="10">
        <v>45715</v>
      </c>
      <c r="BB20" s="10">
        <v>45705</v>
      </c>
      <c r="BC20" s="4" t="s">
        <v>1041</v>
      </c>
      <c r="BD20" s="4" t="s">
        <v>1042</v>
      </c>
      <c r="BE20" s="4" t="s">
        <v>1220</v>
      </c>
      <c r="BF20" s="10">
        <v>45741</v>
      </c>
      <c r="BG20" s="10">
        <v>45741</v>
      </c>
      <c r="BH20" s="4" t="s">
        <v>1044</v>
      </c>
      <c r="BI20" s="10">
        <v>45722</v>
      </c>
      <c r="BJ20" s="10">
        <v>45747</v>
      </c>
      <c r="BK20" s="10">
        <v>45769</v>
      </c>
      <c r="BL20" s="10">
        <v>45754</v>
      </c>
      <c r="BM20" s="10">
        <v>45789</v>
      </c>
      <c r="BN20" s="4" t="s">
        <v>1221</v>
      </c>
      <c r="BO20" s="4">
        <f>COUNTA(Tabla25[[#This Row],[(1)SOLICITUD DE  APERTURA FIRNANCIERA Y PRESUPUESTO 1 (FECHA) ]:[(15) FECHA DE CONTRATACIÓN ADMINISTRATIVO]])</f>
        <v>15</v>
      </c>
      <c r="BP20" s="26">
        <f>Tabla25[[#This Row],[NUMERO OK]]/15</f>
        <v>1</v>
      </c>
      <c r="BQ20" s="4" t="str">
        <f t="shared" ca="1" si="9"/>
        <v>Cumplido</v>
      </c>
      <c r="BR20" s="48"/>
      <c r="BZ20" s="8"/>
    </row>
    <row r="21" spans="1:78" ht="85.5">
      <c r="A21" s="89">
        <v>2024</v>
      </c>
      <c r="B21" s="90" t="s">
        <v>1086</v>
      </c>
      <c r="C21" s="91" t="s">
        <v>1023</v>
      </c>
      <c r="D21" s="92">
        <v>6893</v>
      </c>
      <c r="E21" s="92">
        <v>2910907378</v>
      </c>
      <c r="F21" s="44" t="s">
        <v>166</v>
      </c>
      <c r="G21" s="155" t="s">
        <v>1219</v>
      </c>
      <c r="H21" s="4" t="s">
        <v>131</v>
      </c>
      <c r="I21" s="35" t="s">
        <v>958</v>
      </c>
      <c r="J21" s="4" t="s">
        <v>38</v>
      </c>
      <c r="K21" s="4">
        <f t="shared" si="0"/>
        <v>3</v>
      </c>
      <c r="L21" s="4">
        <f t="shared" si="1"/>
        <v>5</v>
      </c>
      <c r="M21" s="4">
        <f t="shared" si="2"/>
        <v>8</v>
      </c>
      <c r="N21" s="10"/>
      <c r="O21" s="107">
        <v>45656</v>
      </c>
      <c r="P21" s="98">
        <v>45712</v>
      </c>
      <c r="Q21" s="99">
        <f t="shared" si="3"/>
        <v>9.9287671232876704</v>
      </c>
      <c r="R21" s="44">
        <v>302</v>
      </c>
      <c r="S21" s="44">
        <v>0</v>
      </c>
      <c r="T21" s="92">
        <v>0</v>
      </c>
      <c r="U21" s="92">
        <f t="shared" ca="1" si="4"/>
        <v>158</v>
      </c>
      <c r="V21" s="98">
        <f t="shared" si="5"/>
        <v>46014</v>
      </c>
      <c r="W21" s="89" t="s">
        <v>97</v>
      </c>
      <c r="X21" s="44" t="str">
        <f t="shared" ca="1" si="10"/>
        <v>EN EJECUCIÓN</v>
      </c>
      <c r="Y21" s="100" t="s">
        <v>99</v>
      </c>
      <c r="Z21" s="101">
        <v>3710855946</v>
      </c>
      <c r="AA21" s="101">
        <v>0</v>
      </c>
      <c r="AB21" s="101">
        <v>0</v>
      </c>
      <c r="AC21" s="101">
        <v>0</v>
      </c>
      <c r="AD21" s="102">
        <f t="shared" si="7"/>
        <v>3710855946</v>
      </c>
      <c r="AE21" s="103">
        <f t="shared" si="11"/>
        <v>397591708.49999994</v>
      </c>
      <c r="AF21" s="44" t="s">
        <v>1087</v>
      </c>
      <c r="AG21" s="29" t="s">
        <v>1088</v>
      </c>
      <c r="AH21" s="44" t="s">
        <v>22</v>
      </c>
      <c r="AI21" s="29" t="s">
        <v>23</v>
      </c>
      <c r="AJ21" s="89" t="s">
        <v>24</v>
      </c>
      <c r="AK21" s="44" t="s">
        <v>24</v>
      </c>
      <c r="AL21" s="44" t="s">
        <v>24</v>
      </c>
      <c r="AM21" s="44" t="s">
        <v>17</v>
      </c>
      <c r="AN21" s="44" t="s">
        <v>17</v>
      </c>
      <c r="AO21" s="44" t="s">
        <v>24</v>
      </c>
      <c r="AP21" s="44" t="s">
        <v>24</v>
      </c>
      <c r="AQ21" s="44" t="s">
        <v>24</v>
      </c>
      <c r="AR21" s="44" t="s">
        <v>24</v>
      </c>
      <c r="AS21" s="44" t="s">
        <v>24</v>
      </c>
      <c r="AT21" s="44" t="s">
        <v>24</v>
      </c>
      <c r="AU21" s="105" t="s">
        <v>1089</v>
      </c>
      <c r="AV21" s="44" cm="1">
        <f t="array" ref="AV21">SUMPRODUCT((AJ21:AT21&lt;&gt;"Pendiente")*(AJ21:AT21&lt;&gt;""))</f>
        <v>11</v>
      </c>
      <c r="AW21" s="44">
        <f>COUNTA(Tabla25[[#This Row],[INVITACIÓN]:[ACTA DE INICIO]])</f>
        <v>11</v>
      </c>
      <c r="AX21" s="106">
        <f t="shared" si="8"/>
        <v>1</v>
      </c>
      <c r="AY21" s="47">
        <v>45709</v>
      </c>
      <c r="AZ21" s="10">
        <v>45693</v>
      </c>
      <c r="BA21" s="10">
        <v>45722</v>
      </c>
      <c r="BB21" s="10">
        <v>45713</v>
      </c>
      <c r="BC21" s="4" t="s">
        <v>1090</v>
      </c>
      <c r="BD21" s="4" t="s">
        <v>1091</v>
      </c>
      <c r="BE21" s="4" t="s">
        <v>1092</v>
      </c>
      <c r="BF21" s="10">
        <v>45705</v>
      </c>
      <c r="BG21" s="10">
        <v>45339</v>
      </c>
      <c r="BH21" s="4" t="s">
        <v>1093</v>
      </c>
      <c r="BI21" s="10">
        <v>45728</v>
      </c>
      <c r="BJ21" s="10">
        <v>45731</v>
      </c>
      <c r="BK21" s="10">
        <v>45731</v>
      </c>
      <c r="BL21" s="60">
        <v>45741</v>
      </c>
      <c r="BM21" s="60">
        <v>45741</v>
      </c>
      <c r="BN21" s="4" t="s">
        <v>976</v>
      </c>
      <c r="BO21" s="4">
        <f>COUNTA(Tabla25[[#This Row],[(1)SOLICITUD DE  APERTURA FIRNANCIERA Y PRESUPUESTO 1 (FECHA) ]:[(15) FECHA DE CONTRATACIÓN ADMINISTRATIVO]])</f>
        <v>15</v>
      </c>
      <c r="BP21" s="26">
        <f>Tabla25[[#This Row],[NUMERO OK]]/15</f>
        <v>1</v>
      </c>
      <c r="BQ21" s="4" t="str">
        <f t="shared" ca="1" si="9"/>
        <v>Cumplido</v>
      </c>
      <c r="BR21" s="48"/>
      <c r="BZ21" s="8"/>
    </row>
    <row r="22" spans="1:78" ht="128.25">
      <c r="A22" s="89">
        <v>2024</v>
      </c>
      <c r="B22" s="90" t="s">
        <v>1070</v>
      </c>
      <c r="C22" s="91" t="s">
        <v>1071</v>
      </c>
      <c r="D22" s="92">
        <v>6895</v>
      </c>
      <c r="E22" s="92">
        <v>2453018372</v>
      </c>
      <c r="F22" s="44" t="s">
        <v>166</v>
      </c>
      <c r="G22" s="155" t="s">
        <v>1222</v>
      </c>
      <c r="H22" s="4" t="s">
        <v>145</v>
      </c>
      <c r="I22" s="35" t="s">
        <v>958</v>
      </c>
      <c r="J22" s="4" t="s">
        <v>38</v>
      </c>
      <c r="K22" s="4">
        <f t="shared" si="0"/>
        <v>3</v>
      </c>
      <c r="L22" s="4">
        <f t="shared" si="1"/>
        <v>3</v>
      </c>
      <c r="M22" s="4">
        <f t="shared" si="2"/>
        <v>6</v>
      </c>
      <c r="N22" s="10"/>
      <c r="O22" s="107">
        <v>45656</v>
      </c>
      <c r="P22" s="98">
        <v>45672</v>
      </c>
      <c r="Q22" s="99">
        <f t="shared" si="3"/>
        <v>7.9561643835616431</v>
      </c>
      <c r="R22" s="44">
        <v>242</v>
      </c>
      <c r="S22" s="44">
        <v>0</v>
      </c>
      <c r="T22" s="92">
        <v>0</v>
      </c>
      <c r="U22" s="92">
        <f t="shared" ca="1" si="4"/>
        <v>198</v>
      </c>
      <c r="V22" s="98">
        <f t="shared" si="5"/>
        <v>45914</v>
      </c>
      <c r="W22" s="89" t="s">
        <v>97</v>
      </c>
      <c r="X22" s="44" t="str">
        <f t="shared" ca="1" si="10"/>
        <v>EN EJECUCIÓN</v>
      </c>
      <c r="Y22" s="100" t="s">
        <v>93</v>
      </c>
      <c r="Z22" s="101">
        <v>1417150530</v>
      </c>
      <c r="AA22" s="101">
        <v>0</v>
      </c>
      <c r="AB22" s="101">
        <v>160780281</v>
      </c>
      <c r="AC22" s="101">
        <v>0</v>
      </c>
      <c r="AD22" s="102">
        <f t="shared" si="7"/>
        <v>1577930811</v>
      </c>
      <c r="AE22" s="103">
        <f t="shared" si="11"/>
        <v>151837556.78571427</v>
      </c>
      <c r="AF22" s="44" t="s">
        <v>1072</v>
      </c>
      <c r="AG22" s="29" t="s">
        <v>1073</v>
      </c>
      <c r="AH22" s="44" t="s">
        <v>34</v>
      </c>
      <c r="AI22" s="29" t="s">
        <v>23</v>
      </c>
      <c r="AJ22" s="89" t="s">
        <v>24</v>
      </c>
      <c r="AK22" s="44" t="s">
        <v>24</v>
      </c>
      <c r="AL22" s="44" t="s">
        <v>24</v>
      </c>
      <c r="AM22" s="44" t="s">
        <v>17</v>
      </c>
      <c r="AN22" s="44" t="s">
        <v>17</v>
      </c>
      <c r="AO22" s="44" t="s">
        <v>24</v>
      </c>
      <c r="AP22" s="44" t="s">
        <v>24</v>
      </c>
      <c r="AQ22" s="44" t="s">
        <v>24</v>
      </c>
      <c r="AR22" s="44" t="s">
        <v>24</v>
      </c>
      <c r="AS22" s="44" t="s">
        <v>24</v>
      </c>
      <c r="AT22" s="44" t="s">
        <v>24</v>
      </c>
      <c r="AU22" s="105" t="s">
        <v>192</v>
      </c>
      <c r="AV22" s="44" cm="1">
        <f t="array" ref="AV22">SUMPRODUCT((AJ22:AT22&lt;&gt;"Pendiente")*(AJ22:AT22&lt;&gt;""))</f>
        <v>11</v>
      </c>
      <c r="AW22" s="44">
        <f>COUNTA(Tabla25[[#This Row],[INVITACIÓN]:[ACTA DE INICIO]])</f>
        <v>11</v>
      </c>
      <c r="AX22" s="106">
        <f t="shared" si="8"/>
        <v>1</v>
      </c>
      <c r="AY22" s="47">
        <v>45666</v>
      </c>
      <c r="AZ22" s="10" t="s">
        <v>1074</v>
      </c>
      <c r="BA22" s="10">
        <v>45678</v>
      </c>
      <c r="BB22" s="10">
        <v>45653</v>
      </c>
      <c r="BC22" s="4" t="s">
        <v>1075</v>
      </c>
      <c r="BD22" s="4" t="s">
        <v>1076</v>
      </c>
      <c r="BE22" s="4" t="s">
        <v>1077</v>
      </c>
      <c r="BF22" s="10">
        <v>45676</v>
      </c>
      <c r="BG22" s="10">
        <v>45677</v>
      </c>
      <c r="BH22" s="4" t="s">
        <v>1078</v>
      </c>
      <c r="BI22" s="4" t="s">
        <v>1074</v>
      </c>
      <c r="BJ22" s="4" t="s">
        <v>1074</v>
      </c>
      <c r="BK22" s="4" t="s">
        <v>1074</v>
      </c>
      <c r="BL22" s="10">
        <v>45685</v>
      </c>
      <c r="BM22" s="10">
        <v>45686</v>
      </c>
      <c r="BN22" s="10">
        <v>45698</v>
      </c>
      <c r="BO22" s="4">
        <f>COUNTA(Tabla25[[#This Row],[(1)SOLICITUD DE  APERTURA FIRNANCIERA Y PRESUPUESTO 1 (FECHA) ]:[(15) FECHA DE CONTRATACIÓN ADMINISTRATIVO]])</f>
        <v>15</v>
      </c>
      <c r="BP22" s="26">
        <f>Tabla25[[#This Row],[NUMERO OK]]/15</f>
        <v>1</v>
      </c>
      <c r="BQ22" s="4" t="str">
        <f t="shared" ca="1" si="9"/>
        <v>Cumplido</v>
      </c>
      <c r="BR22" s="48"/>
      <c r="BT22" s="10">
        <v>45708</v>
      </c>
      <c r="BU22" s="10">
        <v>45736</v>
      </c>
      <c r="BZ22" s="8"/>
    </row>
    <row r="23" spans="1:78" ht="71.25">
      <c r="A23" s="89">
        <v>2024</v>
      </c>
      <c r="B23" s="90" t="s">
        <v>1094</v>
      </c>
      <c r="C23" s="91" t="s">
        <v>913</v>
      </c>
      <c r="D23" s="92">
        <v>6897</v>
      </c>
      <c r="E23" s="92">
        <v>2453018375</v>
      </c>
      <c r="F23" s="44" t="s">
        <v>168</v>
      </c>
      <c r="G23" s="155" t="s">
        <v>1223</v>
      </c>
      <c r="H23" s="4" t="s">
        <v>145</v>
      </c>
      <c r="I23" s="35" t="s">
        <v>104</v>
      </c>
      <c r="J23" s="4" t="s">
        <v>64</v>
      </c>
      <c r="K23" s="4">
        <f t="shared" si="0"/>
        <v>3</v>
      </c>
      <c r="L23" s="4">
        <f t="shared" si="1"/>
        <v>5</v>
      </c>
      <c r="M23" s="4">
        <f t="shared" si="2"/>
        <v>8</v>
      </c>
      <c r="N23" s="10"/>
      <c r="O23" s="107">
        <v>45656</v>
      </c>
      <c r="P23" s="98">
        <v>45692</v>
      </c>
      <c r="Q23" s="99">
        <f t="shared" si="3"/>
        <v>10.947945205479451</v>
      </c>
      <c r="R23" s="44">
        <v>333</v>
      </c>
      <c r="S23" s="44">
        <v>0</v>
      </c>
      <c r="T23" s="92">
        <v>0</v>
      </c>
      <c r="U23" s="92">
        <f t="shared" ca="1" si="4"/>
        <v>178</v>
      </c>
      <c r="V23" s="98">
        <f t="shared" si="5"/>
        <v>46025</v>
      </c>
      <c r="W23" s="89" t="s">
        <v>97</v>
      </c>
      <c r="X23" s="44" t="str">
        <f t="shared" ca="1" si="10"/>
        <v>EN EJECUCIÓN</v>
      </c>
      <c r="Y23" s="100" t="s">
        <v>54</v>
      </c>
      <c r="Z23" s="101">
        <v>7314957291</v>
      </c>
      <c r="AA23" s="101">
        <v>0</v>
      </c>
      <c r="AB23" s="101">
        <v>365747850</v>
      </c>
      <c r="AC23" s="101">
        <v>0</v>
      </c>
      <c r="AD23" s="102">
        <f t="shared" si="7"/>
        <v>7680705141</v>
      </c>
      <c r="AE23" s="103">
        <f t="shared" si="11"/>
        <v>783745424.03571415</v>
      </c>
      <c r="AF23" s="44" t="s">
        <v>1095</v>
      </c>
      <c r="AG23" s="29" t="s">
        <v>1096</v>
      </c>
      <c r="AH23" s="44" t="s">
        <v>34</v>
      </c>
      <c r="AI23" s="29" t="s">
        <v>23</v>
      </c>
      <c r="AJ23" s="89" t="s">
        <v>17</v>
      </c>
      <c r="AK23" s="44" t="s">
        <v>24</v>
      </c>
      <c r="AL23" s="44" t="s">
        <v>24</v>
      </c>
      <c r="AM23" s="44" t="s">
        <v>17</v>
      </c>
      <c r="AN23" s="44" t="s">
        <v>17</v>
      </c>
      <c r="AO23" s="44" t="s">
        <v>24</v>
      </c>
      <c r="AP23" s="44" t="s">
        <v>24</v>
      </c>
      <c r="AQ23" s="44" t="s">
        <v>24</v>
      </c>
      <c r="AR23" s="44" t="s">
        <v>24</v>
      </c>
      <c r="AS23" s="44" t="s">
        <v>24</v>
      </c>
      <c r="AT23" s="44" t="s">
        <v>24</v>
      </c>
      <c r="AU23" s="105" t="s">
        <v>192</v>
      </c>
      <c r="AV23" s="44" cm="1">
        <f t="array" ref="AV23">SUMPRODUCT((AJ23:AT23&lt;&gt;"Pendiente")*(AJ23:AT23&lt;&gt;""))</f>
        <v>11</v>
      </c>
      <c r="AW23" s="44">
        <f>COUNTA(Tabla25[[#This Row],[INVITACIÓN]:[ACTA DE INICIO]])</f>
        <v>11</v>
      </c>
      <c r="AX23" s="106">
        <f t="shared" si="8"/>
        <v>1</v>
      </c>
      <c r="AY23" s="47">
        <v>45705</v>
      </c>
      <c r="AZ23" s="10">
        <v>45712</v>
      </c>
      <c r="BA23" s="10">
        <v>45715</v>
      </c>
      <c r="BB23" s="10">
        <v>45719</v>
      </c>
      <c r="BC23" s="4" t="s">
        <v>1097</v>
      </c>
      <c r="BD23" s="4" t="s">
        <v>1098</v>
      </c>
      <c r="BE23" s="4" t="s">
        <v>1099</v>
      </c>
      <c r="BF23" s="10">
        <v>45674</v>
      </c>
      <c r="BG23" s="10">
        <v>45688</v>
      </c>
      <c r="BH23" s="4" t="s">
        <v>1100</v>
      </c>
      <c r="BI23" s="10">
        <v>45727</v>
      </c>
      <c r="BJ23" s="10">
        <v>45719</v>
      </c>
      <c r="BK23" s="10">
        <v>45719</v>
      </c>
      <c r="BL23" s="10">
        <v>45733</v>
      </c>
      <c r="BM23" s="10">
        <v>45734</v>
      </c>
      <c r="BN23" s="4" t="s">
        <v>1211</v>
      </c>
      <c r="BO23" s="4">
        <f>COUNTA(Tabla25[[#This Row],[(1)SOLICITUD DE  APERTURA FIRNANCIERA Y PRESUPUESTO 1 (FECHA) ]:[(15) FECHA DE CONTRATACIÓN ADMINISTRATIVO]])</f>
        <v>15</v>
      </c>
      <c r="BP23" s="26">
        <f>Tabla25[[#This Row],[NUMERO OK]]/15</f>
        <v>1</v>
      </c>
      <c r="BQ23" s="4" t="str">
        <f t="shared" ca="1" si="9"/>
        <v>Cumplido</v>
      </c>
      <c r="BR23" s="48"/>
      <c r="BZ23" s="8"/>
    </row>
    <row r="24" spans="1:78" ht="71.25">
      <c r="A24" s="89">
        <v>2024</v>
      </c>
      <c r="B24" s="90" t="s">
        <v>1045</v>
      </c>
      <c r="C24" s="91" t="s">
        <v>1046</v>
      </c>
      <c r="D24" s="92">
        <v>6899</v>
      </c>
      <c r="E24" s="92">
        <v>2910907369</v>
      </c>
      <c r="F24" s="44" t="s">
        <v>168</v>
      </c>
      <c r="G24" s="155" t="s">
        <v>1224</v>
      </c>
      <c r="H24" s="4" t="s">
        <v>139</v>
      </c>
      <c r="I24" s="35" t="s">
        <v>104</v>
      </c>
      <c r="J24" s="4" t="s">
        <v>14</v>
      </c>
      <c r="K24" s="4">
        <f t="shared" si="0"/>
        <v>3</v>
      </c>
      <c r="L24" s="4">
        <f t="shared" si="1"/>
        <v>3</v>
      </c>
      <c r="M24" s="4">
        <f t="shared" si="2"/>
        <v>6</v>
      </c>
      <c r="N24" s="10"/>
      <c r="O24" s="107">
        <v>45656</v>
      </c>
      <c r="P24" s="98">
        <v>45679</v>
      </c>
      <c r="Q24" s="99">
        <f t="shared" si="3"/>
        <v>8.2520547945205482</v>
      </c>
      <c r="R24" s="44">
        <v>181</v>
      </c>
      <c r="S24" s="44">
        <v>0</v>
      </c>
      <c r="T24" s="92">
        <v>70</v>
      </c>
      <c r="U24" s="92">
        <f t="shared" ca="1" si="4"/>
        <v>261</v>
      </c>
      <c r="V24" s="98">
        <f t="shared" si="5"/>
        <v>45930</v>
      </c>
      <c r="W24" s="89" t="s">
        <v>97</v>
      </c>
      <c r="X24" s="44" t="str">
        <f t="shared" ca="1" si="10"/>
        <v>EN EJECUCIÓN</v>
      </c>
      <c r="Y24" s="100" t="s">
        <v>93</v>
      </c>
      <c r="Z24" s="101">
        <v>2326000000</v>
      </c>
      <c r="AA24" s="101">
        <v>0</v>
      </c>
      <c r="AB24" s="101">
        <v>0</v>
      </c>
      <c r="AC24" s="101">
        <v>0</v>
      </c>
      <c r="AD24" s="102">
        <f t="shared" si="7"/>
        <v>2326000000</v>
      </c>
      <c r="AE24" s="103">
        <f t="shared" si="11"/>
        <v>249214285.7142857</v>
      </c>
      <c r="AF24" s="44" t="s">
        <v>1047</v>
      </c>
      <c r="AG24" s="29" t="s">
        <v>1048</v>
      </c>
      <c r="AH24" s="44" t="s">
        <v>22</v>
      </c>
      <c r="AI24" s="29" t="s">
        <v>23</v>
      </c>
      <c r="AJ24" s="89" t="s">
        <v>17</v>
      </c>
      <c r="AK24" s="44" t="s">
        <v>24</v>
      </c>
      <c r="AL24" s="44" t="s">
        <v>17</v>
      </c>
      <c r="AM24" s="44" t="s">
        <v>17</v>
      </c>
      <c r="AN24" s="44" t="s">
        <v>17</v>
      </c>
      <c r="AO24" s="44" t="s">
        <v>24</v>
      </c>
      <c r="AP24" s="44" t="s">
        <v>24</v>
      </c>
      <c r="AQ24" s="44" t="s">
        <v>24</v>
      </c>
      <c r="AR24" s="44" t="s">
        <v>24</v>
      </c>
      <c r="AS24" s="44" t="s">
        <v>24</v>
      </c>
      <c r="AT24" s="44" t="s">
        <v>24</v>
      </c>
      <c r="AU24" s="105" t="s">
        <v>1225</v>
      </c>
      <c r="AV24" s="44" cm="1">
        <f t="array" ref="AV24">SUMPRODUCT((AJ24:AT24&lt;&gt;"Pendiente")*(AJ24:AT24&lt;&gt;""))</f>
        <v>11</v>
      </c>
      <c r="AW24" s="44">
        <f>COUNTA(Tabla25[[#This Row],[INVITACIÓN]:[ACTA DE INICIO]])</f>
        <v>11</v>
      </c>
      <c r="AX24" s="106">
        <f t="shared" si="8"/>
        <v>1</v>
      </c>
      <c r="AY24" s="47">
        <v>45666</v>
      </c>
      <c r="AZ24" s="10">
        <v>45667</v>
      </c>
      <c r="BA24" s="10">
        <v>45667</v>
      </c>
      <c r="BB24" s="10">
        <v>45695</v>
      </c>
      <c r="BC24" s="4" t="s">
        <v>1049</v>
      </c>
      <c r="BD24" s="4" t="s">
        <v>1050</v>
      </c>
      <c r="BE24" s="4" t="s">
        <v>1051</v>
      </c>
      <c r="BF24" s="10">
        <v>45720</v>
      </c>
      <c r="BG24" s="10">
        <v>45720</v>
      </c>
      <c r="BH24" s="4" t="s">
        <v>1052</v>
      </c>
      <c r="BI24" s="10">
        <v>45707</v>
      </c>
      <c r="BJ24" s="10">
        <v>45707</v>
      </c>
      <c r="BK24" s="10">
        <v>45712</v>
      </c>
      <c r="BL24" s="10">
        <v>45719</v>
      </c>
      <c r="BM24" s="10">
        <v>45721</v>
      </c>
      <c r="BN24" s="4" t="s">
        <v>1221</v>
      </c>
      <c r="BO24" s="4">
        <f>COUNTA(Tabla25[[#This Row],[(1)SOLICITUD DE  APERTURA FIRNANCIERA Y PRESUPUESTO 1 (FECHA) ]:[(15) FECHA DE CONTRATACIÓN ADMINISTRATIVO]])</f>
        <v>15</v>
      </c>
      <c r="BP24" s="26">
        <f>Tabla25[[#This Row],[NUMERO OK]]/15</f>
        <v>1</v>
      </c>
      <c r="BQ24" s="4" t="str">
        <f t="shared" ca="1" si="9"/>
        <v>Cumplido</v>
      </c>
      <c r="BR24" s="48"/>
      <c r="BZ24" s="8"/>
    </row>
    <row r="25" spans="1:78" s="55" customFormat="1" ht="71.25">
      <c r="A25" s="89">
        <v>2024</v>
      </c>
      <c r="B25" s="90" t="s">
        <v>1062</v>
      </c>
      <c r="C25" s="91" t="s">
        <v>1063</v>
      </c>
      <c r="D25" s="92">
        <v>6898</v>
      </c>
      <c r="E25" s="92">
        <v>2453018371</v>
      </c>
      <c r="F25" s="44" t="s">
        <v>168</v>
      </c>
      <c r="G25" s="155" t="s">
        <v>1226</v>
      </c>
      <c r="H25" s="4" t="s">
        <v>145</v>
      </c>
      <c r="I25" s="35" t="s">
        <v>1004</v>
      </c>
      <c r="J25" s="4" t="s">
        <v>64</v>
      </c>
      <c r="K25" s="4">
        <f t="shared" si="0"/>
        <v>5</v>
      </c>
      <c r="L25" s="4">
        <f t="shared" si="1"/>
        <v>3</v>
      </c>
      <c r="M25" s="4">
        <f t="shared" si="2"/>
        <v>8</v>
      </c>
      <c r="N25" s="10"/>
      <c r="O25" s="107">
        <v>45656</v>
      </c>
      <c r="P25" s="98">
        <v>45685</v>
      </c>
      <c r="Q25" s="99">
        <f t="shared" si="3"/>
        <v>5.9506849315068493</v>
      </c>
      <c r="R25" s="44">
        <v>181</v>
      </c>
      <c r="S25" s="44">
        <v>0</v>
      </c>
      <c r="T25" s="92">
        <v>0</v>
      </c>
      <c r="U25" s="92">
        <f t="shared" ca="1" si="4"/>
        <v>185</v>
      </c>
      <c r="V25" s="98">
        <f t="shared" si="5"/>
        <v>45866</v>
      </c>
      <c r="W25" s="89" t="s">
        <v>97</v>
      </c>
      <c r="X25" s="44" t="str">
        <f t="shared" ca="1" si="10"/>
        <v>FINALIZADO</v>
      </c>
      <c r="Y25" s="100" t="s">
        <v>54</v>
      </c>
      <c r="Z25" s="101">
        <v>2206796261</v>
      </c>
      <c r="AA25" s="101">
        <v>0</v>
      </c>
      <c r="AB25" s="101">
        <v>220000000</v>
      </c>
      <c r="AC25" s="101">
        <v>0</v>
      </c>
      <c r="AD25" s="102">
        <f t="shared" si="7"/>
        <v>2426796261</v>
      </c>
      <c r="AE25" s="103">
        <f t="shared" si="11"/>
        <v>236442456.53571427</v>
      </c>
      <c r="AF25" s="44" t="s">
        <v>1064</v>
      </c>
      <c r="AG25" s="29" t="s">
        <v>1065</v>
      </c>
      <c r="AH25" s="44" t="s">
        <v>34</v>
      </c>
      <c r="AI25" s="29" t="s">
        <v>23</v>
      </c>
      <c r="AJ25" s="89" t="s">
        <v>17</v>
      </c>
      <c r="AK25" s="44" t="s">
        <v>24</v>
      </c>
      <c r="AL25" s="44" t="s">
        <v>24</v>
      </c>
      <c r="AM25" s="44" t="s">
        <v>17</v>
      </c>
      <c r="AN25" s="44" t="s">
        <v>17</v>
      </c>
      <c r="AO25" s="44" t="s">
        <v>24</v>
      </c>
      <c r="AP25" s="44" t="s">
        <v>24</v>
      </c>
      <c r="AQ25" s="44" t="s">
        <v>24</v>
      </c>
      <c r="AR25" s="44" t="s">
        <v>24</v>
      </c>
      <c r="AS25" s="44" t="s">
        <v>24</v>
      </c>
      <c r="AT25" s="44" t="s">
        <v>24</v>
      </c>
      <c r="AU25" s="105" t="s">
        <v>1009</v>
      </c>
      <c r="AV25" s="44" cm="1">
        <f t="array" ref="AV25">SUMPRODUCT((AJ25:AT25&lt;&gt;"Pendiente")*(AJ25:AT25&lt;&gt;""))</f>
        <v>11</v>
      </c>
      <c r="AW25" s="44">
        <f>COUNTA(Tabla25[[#This Row],[INVITACIÓN]:[ACTA DE INICIO]])</f>
        <v>11</v>
      </c>
      <c r="AX25" s="106">
        <f t="shared" si="8"/>
        <v>1</v>
      </c>
      <c r="AY25" s="47">
        <v>45666</v>
      </c>
      <c r="AZ25" s="10">
        <v>45680</v>
      </c>
      <c r="BA25" s="10">
        <v>45670</v>
      </c>
      <c r="BB25" s="10">
        <v>45709</v>
      </c>
      <c r="BC25" s="10" t="s">
        <v>1066</v>
      </c>
      <c r="BD25" s="10" t="s">
        <v>1067</v>
      </c>
      <c r="BE25" s="10" t="s">
        <v>1068</v>
      </c>
      <c r="BF25" s="10">
        <v>45674</v>
      </c>
      <c r="BG25" s="10">
        <v>45674</v>
      </c>
      <c r="BH25" s="10" t="s">
        <v>1069</v>
      </c>
      <c r="BI25" s="10">
        <v>45686</v>
      </c>
      <c r="BJ25" s="10">
        <v>45710</v>
      </c>
      <c r="BK25" s="10">
        <v>45710</v>
      </c>
      <c r="BL25" s="10">
        <v>45713</v>
      </c>
      <c r="BM25" s="10">
        <v>45713</v>
      </c>
      <c r="BN25" s="4" t="s">
        <v>976</v>
      </c>
      <c r="BO25" s="4">
        <f>COUNTA(Tabla25[[#This Row],[(1)SOLICITUD DE  APERTURA FIRNANCIERA Y PRESUPUESTO 1 (FECHA) ]:[(15) FECHA DE CONTRATACIÓN ADMINISTRATIVO]])</f>
        <v>15</v>
      </c>
      <c r="BP25" s="26">
        <f>Tabla25[[#This Row],[NUMERO OK]]/15</f>
        <v>1</v>
      </c>
      <c r="BQ25" s="4" t="str">
        <f t="shared" ca="1" si="9"/>
        <v>Cumplido</v>
      </c>
      <c r="BR25" s="48"/>
      <c r="BS25" s="4"/>
      <c r="BT25" s="4"/>
      <c r="BU25" s="4"/>
      <c r="BV25" s="4"/>
      <c r="BW25" s="4"/>
      <c r="BX25" s="4"/>
      <c r="BY25" s="4"/>
      <c r="BZ25" s="8"/>
    </row>
    <row r="26" spans="1:78" ht="99.75">
      <c r="A26" s="89">
        <v>2024</v>
      </c>
      <c r="B26" s="90" t="s">
        <v>1079</v>
      </c>
      <c r="C26" s="91" t="s">
        <v>1023</v>
      </c>
      <c r="D26" s="92">
        <v>6900</v>
      </c>
      <c r="E26" s="92">
        <v>2910907374</v>
      </c>
      <c r="F26" s="44" t="s">
        <v>168</v>
      </c>
      <c r="G26" s="155" t="s">
        <v>1227</v>
      </c>
      <c r="H26" s="4" t="s">
        <v>131</v>
      </c>
      <c r="I26" s="35" t="s">
        <v>958</v>
      </c>
      <c r="J26" s="4" t="s">
        <v>14</v>
      </c>
      <c r="K26" s="4">
        <f t="shared" si="0"/>
        <v>3</v>
      </c>
      <c r="L26" s="4">
        <f t="shared" si="1"/>
        <v>3</v>
      </c>
      <c r="M26" s="4">
        <f t="shared" si="2"/>
        <v>6</v>
      </c>
      <c r="N26" s="10"/>
      <c r="O26" s="107">
        <v>45656</v>
      </c>
      <c r="P26" s="98">
        <v>45714</v>
      </c>
      <c r="Q26" s="99">
        <f t="shared" si="3"/>
        <v>8.9424657534246563</v>
      </c>
      <c r="R26" s="44">
        <v>272</v>
      </c>
      <c r="S26" s="44">
        <v>0</v>
      </c>
      <c r="T26" s="92">
        <v>0</v>
      </c>
      <c r="U26" s="92">
        <f t="shared" ca="1" si="4"/>
        <v>156</v>
      </c>
      <c r="V26" s="98">
        <f t="shared" si="5"/>
        <v>45986</v>
      </c>
      <c r="W26" s="89" t="s">
        <v>97</v>
      </c>
      <c r="X26" s="44" t="str">
        <f t="shared" ca="1" si="10"/>
        <v>EN EJECUCIÓN</v>
      </c>
      <c r="Y26" s="100" t="s">
        <v>93</v>
      </c>
      <c r="Z26" s="113">
        <v>1711670240</v>
      </c>
      <c r="AA26" s="113">
        <v>0</v>
      </c>
      <c r="AB26" s="113">
        <v>0</v>
      </c>
      <c r="AC26" s="113">
        <v>0</v>
      </c>
      <c r="AD26" s="102">
        <f t="shared" si="7"/>
        <v>1711670240</v>
      </c>
      <c r="AE26" s="103">
        <f t="shared" si="11"/>
        <v>183393239.99999997</v>
      </c>
      <c r="AF26" s="44" t="s">
        <v>1080</v>
      </c>
      <c r="AG26" s="29" t="s">
        <v>1081</v>
      </c>
      <c r="AH26" s="44" t="s">
        <v>22</v>
      </c>
      <c r="AI26" s="29" t="s">
        <v>23</v>
      </c>
      <c r="AJ26" s="89" t="s">
        <v>24</v>
      </c>
      <c r="AK26" s="44" t="s">
        <v>24</v>
      </c>
      <c r="AL26" s="44" t="s">
        <v>24</v>
      </c>
      <c r="AM26" s="44" t="s">
        <v>17</v>
      </c>
      <c r="AN26" s="44" t="s">
        <v>17</v>
      </c>
      <c r="AO26" s="44" t="s">
        <v>24</v>
      </c>
      <c r="AP26" s="44" t="s">
        <v>24</v>
      </c>
      <c r="AQ26" s="44" t="s">
        <v>24</v>
      </c>
      <c r="AR26" s="44" t="s">
        <v>24</v>
      </c>
      <c r="AS26" s="44" t="s">
        <v>24</v>
      </c>
      <c r="AT26" s="44" t="s">
        <v>24</v>
      </c>
      <c r="AU26" s="105" t="s">
        <v>192</v>
      </c>
      <c r="AV26" s="44" cm="1">
        <f t="array" ref="AV26">SUMPRODUCT((AJ26:AT26&lt;&gt;"Pendiente")*(AJ26:AT26&lt;&gt;""))</f>
        <v>11</v>
      </c>
      <c r="AW26" s="44">
        <f>COUNTA(Tabla25[[#This Row],[INVITACIÓN]:[ACTA DE INICIO]])</f>
        <v>11</v>
      </c>
      <c r="AX26" s="106">
        <f t="shared" si="8"/>
        <v>1</v>
      </c>
      <c r="AY26" s="47">
        <v>45666</v>
      </c>
      <c r="AZ26" s="10">
        <v>45693</v>
      </c>
      <c r="BA26" s="10">
        <v>45723</v>
      </c>
      <c r="BB26" s="10">
        <v>45705</v>
      </c>
      <c r="BC26" s="4" t="s">
        <v>1082</v>
      </c>
      <c r="BD26" s="4" t="s">
        <v>1083</v>
      </c>
      <c r="BE26" s="4" t="s">
        <v>1084</v>
      </c>
      <c r="BF26" s="10">
        <v>45713</v>
      </c>
      <c r="BG26" s="50">
        <v>45713</v>
      </c>
      <c r="BH26" s="51" t="s">
        <v>1085</v>
      </c>
      <c r="BI26" s="50">
        <v>45726</v>
      </c>
      <c r="BJ26" s="50">
        <v>45726</v>
      </c>
      <c r="BK26" s="10">
        <v>45726</v>
      </c>
      <c r="BL26" s="60">
        <v>45735</v>
      </c>
      <c r="BM26" s="60">
        <v>45735</v>
      </c>
      <c r="BN26" s="59">
        <v>45742</v>
      </c>
      <c r="BO26" s="4">
        <f>COUNTA(Tabla25[[#This Row],[(1)SOLICITUD DE  APERTURA FIRNANCIERA Y PRESUPUESTO 1 (FECHA) ]:[(15) FECHA DE CONTRATACIÓN ADMINISTRATIVO]])</f>
        <v>15</v>
      </c>
      <c r="BP26" s="26">
        <f>Tabla25[[#This Row],[NUMERO OK]]/15</f>
        <v>1</v>
      </c>
      <c r="BQ26" s="4" t="str">
        <f t="shared" ca="1" si="9"/>
        <v>Cumplido</v>
      </c>
      <c r="BR26" s="48"/>
      <c r="BZ26" s="8"/>
    </row>
    <row r="27" spans="1:78" ht="71.25">
      <c r="A27" s="89">
        <v>2024</v>
      </c>
      <c r="B27" s="90" t="s">
        <v>1053</v>
      </c>
      <c r="C27" s="91" t="s">
        <v>1054</v>
      </c>
      <c r="D27" s="92">
        <v>6896</v>
      </c>
      <c r="E27" s="92">
        <v>2453018370</v>
      </c>
      <c r="F27" s="44" t="s">
        <v>168</v>
      </c>
      <c r="G27" s="155" t="s">
        <v>1228</v>
      </c>
      <c r="H27" s="4" t="s">
        <v>145</v>
      </c>
      <c r="I27" s="4" t="s">
        <v>100</v>
      </c>
      <c r="K27" s="4">
        <f t="shared" si="0"/>
        <v>5</v>
      </c>
      <c r="L27" s="4">
        <f t="shared" si="1"/>
        <v>1</v>
      </c>
      <c r="M27" s="4">
        <f t="shared" si="2"/>
        <v>6</v>
      </c>
      <c r="N27" s="10"/>
      <c r="O27" s="107">
        <v>45656</v>
      </c>
      <c r="P27" s="98">
        <v>45678</v>
      </c>
      <c r="Q27" s="99">
        <f t="shared" si="3"/>
        <v>5.9835616438356158</v>
      </c>
      <c r="R27" s="44">
        <v>182</v>
      </c>
      <c r="S27" s="44">
        <v>0</v>
      </c>
      <c r="T27" s="92">
        <v>0</v>
      </c>
      <c r="U27" s="92">
        <f t="shared" ca="1" si="4"/>
        <v>192</v>
      </c>
      <c r="V27" s="98">
        <f t="shared" si="5"/>
        <v>45860</v>
      </c>
      <c r="W27" s="89" t="s">
        <v>97</v>
      </c>
      <c r="X27" s="44" t="str">
        <f t="shared" ca="1" si="10"/>
        <v>FINALIZADO</v>
      </c>
      <c r="Y27" s="100" t="s">
        <v>93</v>
      </c>
      <c r="Z27" s="101">
        <v>455000000</v>
      </c>
      <c r="AA27" s="101">
        <v>0</v>
      </c>
      <c r="AB27" s="101">
        <v>45000000</v>
      </c>
      <c r="AC27" s="101">
        <v>0</v>
      </c>
      <c r="AD27" s="102">
        <f t="shared" si="7"/>
        <v>500000000</v>
      </c>
      <c r="AE27" s="103">
        <f t="shared" si="11"/>
        <v>48749999.999999993</v>
      </c>
      <c r="AF27" s="44" t="s">
        <v>1055</v>
      </c>
      <c r="AG27" s="29" t="s">
        <v>1056</v>
      </c>
      <c r="AH27" s="44" t="s">
        <v>34</v>
      </c>
      <c r="AI27" s="29" t="s">
        <v>23</v>
      </c>
      <c r="AJ27" s="89" t="s">
        <v>17</v>
      </c>
      <c r="AK27" s="44" t="s">
        <v>24</v>
      </c>
      <c r="AL27" s="44" t="s">
        <v>24</v>
      </c>
      <c r="AM27" s="44" t="s">
        <v>17</v>
      </c>
      <c r="AN27" s="44" t="s">
        <v>17</v>
      </c>
      <c r="AO27" s="44" t="s">
        <v>24</v>
      </c>
      <c r="AP27" s="44" t="s">
        <v>24</v>
      </c>
      <c r="AQ27" s="44" t="s">
        <v>24</v>
      </c>
      <c r="AR27" s="44" t="s">
        <v>24</v>
      </c>
      <c r="AS27" s="44" t="s">
        <v>24</v>
      </c>
      <c r="AT27" s="44" t="s">
        <v>24</v>
      </c>
      <c r="AU27" s="105" t="s">
        <v>1057</v>
      </c>
      <c r="AV27" s="44" cm="1">
        <f t="array" ref="AV27">SUMPRODUCT((AJ27:AT27&lt;&gt;"Pendiente")*(AJ27:AT27&lt;&gt;""))</f>
        <v>11</v>
      </c>
      <c r="AW27" s="44">
        <f>COUNTA(Tabla25[[#This Row],[INVITACIÓN]:[ACTA DE INICIO]])</f>
        <v>11</v>
      </c>
      <c r="AX27" s="106">
        <f t="shared" si="8"/>
        <v>1</v>
      </c>
      <c r="AY27" s="47">
        <v>45666</v>
      </c>
      <c r="AZ27" s="10">
        <v>45680</v>
      </c>
      <c r="BA27" s="10">
        <v>45670</v>
      </c>
      <c r="BB27" s="10">
        <v>45687</v>
      </c>
      <c r="BC27" s="4" t="s">
        <v>1058</v>
      </c>
      <c r="BD27" s="4" t="s">
        <v>1059</v>
      </c>
      <c r="BE27" s="4" t="s">
        <v>1060</v>
      </c>
      <c r="BF27" s="10">
        <v>45674</v>
      </c>
      <c r="BG27" s="10">
        <v>45674</v>
      </c>
      <c r="BH27" s="4" t="s">
        <v>1061</v>
      </c>
      <c r="BI27" s="10">
        <v>45685</v>
      </c>
      <c r="BJ27" s="10">
        <v>45688</v>
      </c>
      <c r="BK27" s="10">
        <v>45688</v>
      </c>
      <c r="BL27" s="10">
        <v>45695</v>
      </c>
      <c r="BM27" s="10">
        <v>45695</v>
      </c>
      <c r="BN27" s="4" t="s">
        <v>976</v>
      </c>
      <c r="BO27" s="4">
        <f>COUNTA(Tabla25[[#This Row],[(1)SOLICITUD DE  APERTURA FIRNANCIERA Y PRESUPUESTO 1 (FECHA) ]:[(15) FECHA DE CONTRATACIÓN ADMINISTRATIVO]])</f>
        <v>15</v>
      </c>
      <c r="BP27" s="26">
        <f>Tabla25[[#This Row],[NUMERO OK]]/15</f>
        <v>1</v>
      </c>
      <c r="BQ27" s="4" t="str">
        <f t="shared" ca="1" si="9"/>
        <v>Cumplido</v>
      </c>
      <c r="BR27" s="48"/>
      <c r="BZ27" s="8"/>
    </row>
    <row r="28" spans="1:78" ht="85.5">
      <c r="A28" s="89">
        <v>2024</v>
      </c>
      <c r="B28" s="90" t="s">
        <v>869</v>
      </c>
      <c r="C28" s="91" t="s">
        <v>574</v>
      </c>
      <c r="D28" s="92">
        <v>6835</v>
      </c>
      <c r="E28" s="92">
        <v>2910908204</v>
      </c>
      <c r="F28" s="44" t="s">
        <v>17</v>
      </c>
      <c r="G28" s="44"/>
      <c r="H28" s="4" t="s">
        <v>145</v>
      </c>
      <c r="I28" s="35" t="s">
        <v>17</v>
      </c>
      <c r="J28" s="4" t="s">
        <v>17</v>
      </c>
      <c r="K28" s="4">
        <f t="shared" si="0"/>
        <v>5</v>
      </c>
      <c r="L28" s="4">
        <f t="shared" si="1"/>
        <v>1</v>
      </c>
      <c r="M28" s="4">
        <f t="shared" si="2"/>
        <v>6</v>
      </c>
      <c r="N28" s="10"/>
      <c r="O28" s="107">
        <v>45372</v>
      </c>
      <c r="P28" s="98">
        <v>45490</v>
      </c>
      <c r="Q28" s="99">
        <f t="shared" si="3"/>
        <v>6.0164383561643833</v>
      </c>
      <c r="R28" s="44">
        <v>183</v>
      </c>
      <c r="S28" s="44">
        <v>0</v>
      </c>
      <c r="T28" s="92">
        <v>0</v>
      </c>
      <c r="U28" s="92">
        <f t="shared" ca="1" si="4"/>
        <v>380</v>
      </c>
      <c r="V28" s="98">
        <f t="shared" si="5"/>
        <v>45673</v>
      </c>
      <c r="W28" s="89" t="s">
        <v>86</v>
      </c>
      <c r="X28" s="44" t="str">
        <f t="shared" ca="1" si="10"/>
        <v>FINALIZADO</v>
      </c>
      <c r="Y28" s="100" t="s">
        <v>93</v>
      </c>
      <c r="Z28" s="101">
        <v>142450000</v>
      </c>
      <c r="AA28" s="101">
        <v>0</v>
      </c>
      <c r="AB28" s="101">
        <v>0</v>
      </c>
      <c r="AC28" s="101">
        <v>0</v>
      </c>
      <c r="AD28" s="102">
        <f t="shared" si="7"/>
        <v>142450000</v>
      </c>
      <c r="AE28" s="103">
        <f t="shared" si="11"/>
        <v>15262499.999999998</v>
      </c>
      <c r="AF28" s="44" t="s">
        <v>871</v>
      </c>
      <c r="AG28" s="29" t="s">
        <v>872</v>
      </c>
      <c r="AH28" s="44" t="s">
        <v>55</v>
      </c>
      <c r="AI28" s="29" t="s">
        <v>93</v>
      </c>
      <c r="AJ28" s="89" t="s">
        <v>17</v>
      </c>
      <c r="AK28" s="44" t="s">
        <v>17</v>
      </c>
      <c r="AL28" s="44" t="s">
        <v>17</v>
      </c>
      <c r="AM28" s="44" t="s">
        <v>17</v>
      </c>
      <c r="AN28" s="44" t="s">
        <v>24</v>
      </c>
      <c r="AO28" s="44" t="s">
        <v>24</v>
      </c>
      <c r="AP28" s="44" t="s">
        <v>17</v>
      </c>
      <c r="AQ28" s="44" t="s">
        <v>17</v>
      </c>
      <c r="AR28" s="44" t="s">
        <v>24</v>
      </c>
      <c r="AS28" s="44" t="s">
        <v>24</v>
      </c>
      <c r="AT28" s="44" t="s">
        <v>24</v>
      </c>
      <c r="AU28" s="105" t="s">
        <v>192</v>
      </c>
      <c r="AV28" s="44" cm="1">
        <f t="array" ref="AV28">SUMPRODUCT((AJ28:AT28&lt;&gt;"Pendiente")*(AJ28:AT28&lt;&gt;""))</f>
        <v>11</v>
      </c>
      <c r="AW28" s="44">
        <f>COUNTA(Tabla25[[#This Row],[INVITACIÓN]:[ACTA DE INICIO]])</f>
        <v>11</v>
      </c>
      <c r="AX28" s="106">
        <f t="shared" si="8"/>
        <v>1</v>
      </c>
      <c r="AY28" s="148">
        <v>45378</v>
      </c>
      <c r="BA28" s="10">
        <v>45637</v>
      </c>
      <c r="BB28" s="10" t="s">
        <v>832</v>
      </c>
      <c r="BC28" s="4" t="s">
        <v>1229</v>
      </c>
      <c r="BD28" s="4" t="s">
        <v>1230</v>
      </c>
      <c r="BE28" s="4" t="s">
        <v>1231</v>
      </c>
      <c r="BG28" s="10">
        <v>45375</v>
      </c>
      <c r="BH28" s="4" t="s">
        <v>1232</v>
      </c>
      <c r="BI28" s="10">
        <v>45638</v>
      </c>
      <c r="BJ28" s="10">
        <v>45638</v>
      </c>
      <c r="BK28" s="10">
        <v>45505</v>
      </c>
      <c r="BL28" s="10">
        <v>45643</v>
      </c>
      <c r="BM28" s="10">
        <v>45539</v>
      </c>
      <c r="BN28" s="4" t="s">
        <v>832</v>
      </c>
      <c r="BO28" s="4">
        <f>COUNTA(Tabla25[[#This Row],[(1)SOLICITUD DE  APERTURA FIRNANCIERA Y PRESUPUESTO 1 (FECHA) ]:[(15) FECHA DE CONTRATACIÓN ADMINISTRATIVO]])</f>
        <v>13</v>
      </c>
      <c r="BP28" s="26">
        <f>Tabla25[[#This Row],[NUMERO OK]]/15</f>
        <v>0.8666666666666667</v>
      </c>
      <c r="BQ28" s="4" t="str">
        <f t="shared" ca="1" si="9"/>
        <v>RiesgoMedio</v>
      </c>
      <c r="BR28" s="48"/>
      <c r="BZ28" s="8"/>
    </row>
    <row r="29" spans="1:78" ht="99.75">
      <c r="A29" s="93">
        <v>2024</v>
      </c>
      <c r="B29" s="94" t="s">
        <v>873</v>
      </c>
      <c r="C29" s="91" t="s">
        <v>875</v>
      </c>
      <c r="D29" s="92">
        <v>6822</v>
      </c>
      <c r="E29" s="92">
        <v>2453018363</v>
      </c>
      <c r="F29" s="44" t="s">
        <v>17</v>
      </c>
      <c r="G29" s="44"/>
      <c r="H29" s="4" t="s">
        <v>145</v>
      </c>
      <c r="I29" s="35" t="s">
        <v>17</v>
      </c>
      <c r="J29" s="55" t="s">
        <v>17</v>
      </c>
      <c r="K29" s="4">
        <f t="shared" si="0"/>
        <v>3</v>
      </c>
      <c r="L29" s="4">
        <f t="shared" si="1"/>
        <v>3</v>
      </c>
      <c r="M29" s="4">
        <f t="shared" si="2"/>
        <v>6</v>
      </c>
      <c r="N29" s="55"/>
      <c r="O29" s="107">
        <v>45409</v>
      </c>
      <c r="P29" s="98">
        <v>45418</v>
      </c>
      <c r="Q29" s="99">
        <f t="shared" si="3"/>
        <v>10.027397260273972</v>
      </c>
      <c r="R29" s="44">
        <v>184</v>
      </c>
      <c r="S29" s="44">
        <v>0</v>
      </c>
      <c r="T29" s="92">
        <v>121</v>
      </c>
      <c r="U29" s="92">
        <f t="shared" ca="1" si="4"/>
        <v>573</v>
      </c>
      <c r="V29" s="98">
        <f t="shared" si="5"/>
        <v>45723</v>
      </c>
      <c r="W29" s="89" t="s">
        <v>86</v>
      </c>
      <c r="X29" s="109" t="str">
        <f t="shared" ca="1" si="10"/>
        <v>FINALIZADO</v>
      </c>
      <c r="Y29" s="110" t="s">
        <v>874</v>
      </c>
      <c r="Z29" s="101">
        <f>1394276563+494794990</f>
        <v>1889071553</v>
      </c>
      <c r="AA29" s="101">
        <v>0</v>
      </c>
      <c r="AB29" s="101">
        <f>139427656+49479499</f>
        <v>188907155</v>
      </c>
      <c r="AC29" s="101">
        <v>0</v>
      </c>
      <c r="AD29" s="102">
        <f t="shared" si="7"/>
        <v>2077978708</v>
      </c>
      <c r="AE29" s="103">
        <f t="shared" si="11"/>
        <v>202400523.53571424</v>
      </c>
      <c r="AF29" s="109" t="s">
        <v>876</v>
      </c>
      <c r="AG29" s="29" t="s">
        <v>877</v>
      </c>
      <c r="AH29" s="44" t="s">
        <v>34</v>
      </c>
      <c r="AI29" s="29" t="s">
        <v>21</v>
      </c>
      <c r="AJ29" s="93" t="s">
        <v>17</v>
      </c>
      <c r="AK29" s="109" t="s">
        <v>24</v>
      </c>
      <c r="AL29" s="109" t="s">
        <v>24</v>
      </c>
      <c r="AM29" s="109" t="s">
        <v>17</v>
      </c>
      <c r="AN29" s="109" t="s">
        <v>24</v>
      </c>
      <c r="AO29" s="109" t="s">
        <v>24</v>
      </c>
      <c r="AP29" s="109" t="s">
        <v>24</v>
      </c>
      <c r="AQ29" s="109" t="s">
        <v>24</v>
      </c>
      <c r="AR29" s="109" t="s">
        <v>24</v>
      </c>
      <c r="AS29" s="109" t="s">
        <v>24</v>
      </c>
      <c r="AT29" s="109" t="s">
        <v>24</v>
      </c>
      <c r="AU29" s="122" t="s">
        <v>192</v>
      </c>
      <c r="AV29" s="109" cm="1">
        <f t="array" ref="AV29">SUMPRODUCT((AJ29:AT29&lt;&gt;"Pendiente")*(AJ29:AT29&lt;&gt;""))</f>
        <v>11</v>
      </c>
      <c r="AW29" s="109">
        <f>COUNTA(Tabla25[[#This Row],[INVITACIÓN]:[ACTA DE INICIO]])</f>
        <v>11</v>
      </c>
      <c r="AX29" s="106">
        <f t="shared" si="8"/>
        <v>1</v>
      </c>
      <c r="AY29" s="148">
        <v>45414</v>
      </c>
      <c r="AZ29" s="55"/>
      <c r="BA29" s="10">
        <v>45419</v>
      </c>
      <c r="BB29" s="55" t="s">
        <v>832</v>
      </c>
      <c r="BC29" s="55" t="s">
        <v>832</v>
      </c>
      <c r="BD29" s="55" t="s">
        <v>1233</v>
      </c>
      <c r="BE29" s="55" t="s">
        <v>1234</v>
      </c>
      <c r="BF29" s="55"/>
      <c r="BG29" s="55" t="s">
        <v>1235</v>
      </c>
      <c r="BH29" s="55" t="s">
        <v>1232</v>
      </c>
      <c r="BI29" s="55" t="s">
        <v>1236</v>
      </c>
      <c r="BJ29" s="55" t="s">
        <v>832</v>
      </c>
      <c r="BK29" s="55" t="s">
        <v>1236</v>
      </c>
      <c r="BL29" s="55" t="s">
        <v>832</v>
      </c>
      <c r="BM29" s="55" t="s">
        <v>1237</v>
      </c>
      <c r="BN29" s="55" t="s">
        <v>832</v>
      </c>
      <c r="BO29" s="55">
        <f>COUNTA(Tabla25[[#This Row],[(1)SOLICITUD DE  APERTURA FIRNANCIERA Y PRESUPUESTO 1 (FECHA) ]:[(15) FECHA DE CONTRATACIÓN ADMINISTRATIVO]])</f>
        <v>13</v>
      </c>
      <c r="BP29" s="55">
        <f>Tabla25[[#This Row],[NUMERO OK]]/15</f>
        <v>0.8666666666666667</v>
      </c>
      <c r="BQ29" s="55" t="str">
        <f t="shared" ca="1" si="9"/>
        <v>RiesgoMedio</v>
      </c>
      <c r="BR29" s="58"/>
      <c r="BS29" s="55"/>
      <c r="BT29" s="55"/>
      <c r="BU29" s="55"/>
      <c r="BV29" s="55"/>
      <c r="BW29" s="55"/>
      <c r="BX29" s="55"/>
      <c r="BY29" s="55"/>
      <c r="BZ29" s="56"/>
    </row>
    <row r="30" spans="1:78" ht="85.5">
      <c r="A30" s="89">
        <v>2024</v>
      </c>
      <c r="B30" s="90" t="s">
        <v>878</v>
      </c>
      <c r="C30" s="91" t="s">
        <v>1238</v>
      </c>
      <c r="D30" s="92">
        <v>6829</v>
      </c>
      <c r="E30" s="92">
        <v>2910907320</v>
      </c>
      <c r="F30" s="44" t="s">
        <v>17</v>
      </c>
      <c r="G30" s="44"/>
      <c r="H30" s="4" t="s">
        <v>145</v>
      </c>
      <c r="I30" s="35" t="s">
        <v>17</v>
      </c>
      <c r="J30" s="4" t="s">
        <v>17</v>
      </c>
      <c r="K30" s="4">
        <f t="shared" si="0"/>
        <v>3</v>
      </c>
      <c r="L30" s="4">
        <f t="shared" si="1"/>
        <v>3</v>
      </c>
      <c r="M30" s="4">
        <f t="shared" si="2"/>
        <v>6</v>
      </c>
      <c r="N30" s="10"/>
      <c r="O30" s="107">
        <v>45442</v>
      </c>
      <c r="P30" s="98">
        <v>45455</v>
      </c>
      <c r="Q30" s="99">
        <f t="shared" si="3"/>
        <v>9.6</v>
      </c>
      <c r="R30" s="44">
        <v>201</v>
      </c>
      <c r="S30" s="44">
        <v>0</v>
      </c>
      <c r="T30" s="92">
        <v>91</v>
      </c>
      <c r="U30" s="92">
        <f t="shared" ca="1" si="4"/>
        <v>506</v>
      </c>
      <c r="V30" s="98">
        <f t="shared" si="5"/>
        <v>45747</v>
      </c>
      <c r="W30" s="89" t="s">
        <v>97</v>
      </c>
      <c r="X30" s="44" t="str">
        <f t="shared" ca="1" si="10"/>
        <v>FINALIZADO</v>
      </c>
      <c r="Y30" s="100" t="s">
        <v>93</v>
      </c>
      <c r="Z30" s="101">
        <f>1657000000+240000000+60000000</f>
        <v>1957000000</v>
      </c>
      <c r="AA30" s="101">
        <v>0</v>
      </c>
      <c r="AB30" s="101">
        <v>0</v>
      </c>
      <c r="AC30" s="101">
        <v>0</v>
      </c>
      <c r="AD30" s="102">
        <f t="shared" si="7"/>
        <v>1957000000</v>
      </c>
      <c r="AE30" s="103">
        <f t="shared" si="11"/>
        <v>209678571.4285714</v>
      </c>
      <c r="AF30" s="44" t="s">
        <v>880</v>
      </c>
      <c r="AG30" s="29" t="s">
        <v>881</v>
      </c>
      <c r="AH30" s="44" t="s">
        <v>22</v>
      </c>
      <c r="AI30" s="29" t="s">
        <v>93</v>
      </c>
      <c r="AJ30" s="89" t="s">
        <v>17</v>
      </c>
      <c r="AK30" s="44" t="s">
        <v>17</v>
      </c>
      <c r="AL30" s="44" t="s">
        <v>24</v>
      </c>
      <c r="AM30" s="44" t="s">
        <v>17</v>
      </c>
      <c r="AN30" s="44" t="s">
        <v>17</v>
      </c>
      <c r="AO30" s="44" t="s">
        <v>24</v>
      </c>
      <c r="AP30" s="44" t="s">
        <v>24</v>
      </c>
      <c r="AQ30" s="44" t="s">
        <v>24</v>
      </c>
      <c r="AR30" s="44" t="s">
        <v>24</v>
      </c>
      <c r="AS30" s="44" t="s">
        <v>24</v>
      </c>
      <c r="AT30" s="44" t="s">
        <v>24</v>
      </c>
      <c r="AU30" s="105" t="s">
        <v>1239</v>
      </c>
      <c r="AV30" s="44" cm="1">
        <f t="array" ref="AV30">SUMPRODUCT((AJ30:AT30&lt;&gt;"Pendiente")*(AJ30:AT30&lt;&gt;""))</f>
        <v>11</v>
      </c>
      <c r="AW30" s="44">
        <f>COUNTA(Tabla25[[#This Row],[INVITACIÓN]:[ACTA DE INICIO]])</f>
        <v>11</v>
      </c>
      <c r="AX30" s="106">
        <f t="shared" si="8"/>
        <v>1</v>
      </c>
      <c r="AY30" s="47">
        <v>45448</v>
      </c>
      <c r="BA30" s="10">
        <v>45477</v>
      </c>
      <c r="BB30" s="10" t="s">
        <v>832</v>
      </c>
      <c r="BC30" s="4" t="s">
        <v>1240</v>
      </c>
      <c r="BD30" s="4" t="s">
        <v>1241</v>
      </c>
      <c r="BE30" s="4" t="s">
        <v>1242</v>
      </c>
      <c r="BG30" s="10">
        <v>45475</v>
      </c>
      <c r="BH30" s="4" t="s">
        <v>1243</v>
      </c>
      <c r="BI30" s="10">
        <v>45478</v>
      </c>
      <c r="BJ30" s="10">
        <v>45477</v>
      </c>
      <c r="BK30" s="10">
        <v>45478</v>
      </c>
      <c r="BL30" s="10">
        <v>45497</v>
      </c>
      <c r="BM30" s="10">
        <v>45497</v>
      </c>
      <c r="BN30" s="4" t="s">
        <v>832</v>
      </c>
      <c r="BO30" s="4">
        <f>COUNTA(Tabla25[[#This Row],[(1)SOLICITUD DE  APERTURA FIRNANCIERA Y PRESUPUESTO 1 (FECHA) ]:[(15) FECHA DE CONTRATACIÓN ADMINISTRATIVO]])</f>
        <v>13</v>
      </c>
      <c r="BP30" s="26">
        <f>Tabla25[[#This Row],[NUMERO OK]]/15</f>
        <v>0.8666666666666667</v>
      </c>
      <c r="BQ30" s="4" t="str">
        <f t="shared" ca="1" si="9"/>
        <v>RiesgoMedio</v>
      </c>
      <c r="BR30" s="48"/>
      <c r="BZ30" s="8"/>
    </row>
    <row r="31" spans="1:78" ht="60">
      <c r="A31" s="89">
        <v>2024</v>
      </c>
      <c r="B31" s="90" t="s">
        <v>884</v>
      </c>
      <c r="C31" s="91" t="s">
        <v>574</v>
      </c>
      <c r="D31" s="92">
        <v>6841</v>
      </c>
      <c r="E31" s="92">
        <v>2910908211</v>
      </c>
      <c r="F31" s="44" t="s">
        <v>17</v>
      </c>
      <c r="G31" s="44"/>
      <c r="H31" s="4" t="s">
        <v>135</v>
      </c>
      <c r="I31" s="35" t="s">
        <v>17</v>
      </c>
      <c r="J31" s="4" t="s">
        <v>17</v>
      </c>
      <c r="K31" s="4">
        <f t="shared" si="0"/>
        <v>5</v>
      </c>
      <c r="L31" s="4">
        <f t="shared" si="1"/>
        <v>1</v>
      </c>
      <c r="M31" s="4">
        <f t="shared" si="2"/>
        <v>6</v>
      </c>
      <c r="N31" s="10"/>
      <c r="O31" s="107">
        <v>45506</v>
      </c>
      <c r="P31" s="98">
        <v>45525</v>
      </c>
      <c r="Q31" s="99">
        <f t="shared" si="3"/>
        <v>6.0164383561643833</v>
      </c>
      <c r="R31" s="44">
        <v>183</v>
      </c>
      <c r="S31" s="44">
        <v>0</v>
      </c>
      <c r="T31" s="92">
        <v>0</v>
      </c>
      <c r="U31" s="92">
        <f t="shared" ca="1" si="4"/>
        <v>345</v>
      </c>
      <c r="V31" s="98">
        <f t="shared" si="5"/>
        <v>45708</v>
      </c>
      <c r="W31" s="89" t="s">
        <v>52</v>
      </c>
      <c r="X31" s="44" t="str">
        <f t="shared" ca="1" si="10"/>
        <v>FINALIZADO</v>
      </c>
      <c r="Y31" s="100" t="s">
        <v>93</v>
      </c>
      <c r="Z31" s="101">
        <v>25168000</v>
      </c>
      <c r="AA31" s="101">
        <v>0</v>
      </c>
      <c r="AB31" s="101">
        <v>0</v>
      </c>
      <c r="AC31" s="101">
        <v>0</v>
      </c>
      <c r="AD31" s="102">
        <f t="shared" si="7"/>
        <v>25168000</v>
      </c>
      <c r="AE31" s="103">
        <f t="shared" si="11"/>
        <v>2696571.4285714282</v>
      </c>
      <c r="AF31" s="44" t="s">
        <v>885</v>
      </c>
      <c r="AG31" s="29" t="s">
        <v>872</v>
      </c>
      <c r="AH31" s="44" t="s">
        <v>55</v>
      </c>
      <c r="AI31" s="29" t="s">
        <v>93</v>
      </c>
      <c r="AJ31" s="89" t="s">
        <v>17</v>
      </c>
      <c r="AK31" s="44" t="s">
        <v>17</v>
      </c>
      <c r="AL31" s="44" t="s">
        <v>17</v>
      </c>
      <c r="AM31" s="44" t="s">
        <v>17</v>
      </c>
      <c r="AN31" s="44" t="s">
        <v>24</v>
      </c>
      <c r="AO31" s="44" t="s">
        <v>24</v>
      </c>
      <c r="AP31" s="44" t="s">
        <v>17</v>
      </c>
      <c r="AQ31" s="44" t="s">
        <v>17</v>
      </c>
      <c r="AR31" s="44" t="s">
        <v>24</v>
      </c>
      <c r="AS31" s="44" t="s">
        <v>24</v>
      </c>
      <c r="AT31" s="44" t="s">
        <v>24</v>
      </c>
      <c r="AU31" s="105" t="s">
        <v>192</v>
      </c>
      <c r="AV31" s="44" cm="1">
        <f t="array" ref="AV31">SUMPRODUCT((AJ31:AT31&lt;&gt;"Pendiente")*(AJ31:AT31&lt;&gt;""))</f>
        <v>11</v>
      </c>
      <c r="AW31" s="44">
        <f>COUNTA(Tabla25[[#This Row],[INVITACIÓN]:[ACTA DE INICIO]])</f>
        <v>11</v>
      </c>
      <c r="AX31" s="106">
        <f t="shared" si="8"/>
        <v>1</v>
      </c>
      <c r="AY31" s="47">
        <v>45447</v>
      </c>
      <c r="BA31" s="10">
        <v>45526</v>
      </c>
      <c r="BB31" s="10" t="s">
        <v>832</v>
      </c>
      <c r="BC31" s="4" t="s">
        <v>832</v>
      </c>
      <c r="BD31" s="4" t="s">
        <v>982</v>
      </c>
      <c r="BE31" s="4" t="s">
        <v>832</v>
      </c>
      <c r="BG31" s="10" t="s">
        <v>832</v>
      </c>
      <c r="BH31" s="4" t="s">
        <v>1244</v>
      </c>
      <c r="BI31" s="4" t="s">
        <v>832</v>
      </c>
      <c r="BJ31" s="4" t="s">
        <v>832</v>
      </c>
      <c r="BK31" s="4" t="s">
        <v>832</v>
      </c>
      <c r="BL31" s="4" t="s">
        <v>832</v>
      </c>
      <c r="BM31" s="4" t="s">
        <v>832</v>
      </c>
      <c r="BN31" s="4" t="s">
        <v>832</v>
      </c>
      <c r="BO31" s="4">
        <f>COUNTA(Tabla25[[#This Row],[(1)SOLICITUD DE  APERTURA FIRNANCIERA Y PRESUPUESTO 1 (FECHA) ]:[(15) FECHA DE CONTRATACIÓN ADMINISTRATIVO]])</f>
        <v>13</v>
      </c>
      <c r="BP31" s="26">
        <f>Tabla25[[#This Row],[NUMERO OK]]/15</f>
        <v>0.8666666666666667</v>
      </c>
      <c r="BQ31" s="4" t="str">
        <f t="shared" ca="1" si="9"/>
        <v>RiesgoMedio</v>
      </c>
      <c r="BR31" s="48"/>
      <c r="BZ31" s="8"/>
    </row>
    <row r="32" spans="1:78" ht="99.75">
      <c r="A32" s="89">
        <v>2024</v>
      </c>
      <c r="B32" s="90" t="s">
        <v>886</v>
      </c>
      <c r="C32" s="91" t="s">
        <v>887</v>
      </c>
      <c r="D32" s="92">
        <v>6840</v>
      </c>
      <c r="E32" s="92">
        <v>2910907332</v>
      </c>
      <c r="F32" s="44" t="s">
        <v>17</v>
      </c>
      <c r="G32" s="44"/>
      <c r="H32" s="4" t="s">
        <v>123</v>
      </c>
      <c r="I32" s="35" t="s">
        <v>17</v>
      </c>
      <c r="K32" s="4">
        <f t="shared" si="0"/>
        <v>3</v>
      </c>
      <c r="L32" s="4">
        <f t="shared" si="1"/>
        <v>3</v>
      </c>
      <c r="M32" s="4">
        <f t="shared" si="2"/>
        <v>6</v>
      </c>
      <c r="N32" s="10"/>
      <c r="O32" s="107">
        <v>45509</v>
      </c>
      <c r="P32" s="98">
        <v>45509</v>
      </c>
      <c r="Q32" s="99">
        <f t="shared" si="3"/>
        <v>8.3178082191780813</v>
      </c>
      <c r="R32" s="44">
        <v>148</v>
      </c>
      <c r="S32" s="44">
        <v>0</v>
      </c>
      <c r="T32" s="92">
        <v>105</v>
      </c>
      <c r="U32" s="92">
        <f t="shared" ca="1" si="4"/>
        <v>466</v>
      </c>
      <c r="V32" s="98">
        <f t="shared" si="5"/>
        <v>45762</v>
      </c>
      <c r="W32" s="89" t="s">
        <v>97</v>
      </c>
      <c r="X32" s="44" t="str">
        <f t="shared" ca="1" si="10"/>
        <v>FINALIZADO</v>
      </c>
      <c r="Y32" s="100" t="s">
        <v>33</v>
      </c>
      <c r="Z32" s="101">
        <v>1712294814</v>
      </c>
      <c r="AA32" s="101">
        <v>0</v>
      </c>
      <c r="AB32" s="101">
        <v>0</v>
      </c>
      <c r="AC32" s="101">
        <v>0</v>
      </c>
      <c r="AD32" s="102">
        <f t="shared" si="7"/>
        <v>1712294814</v>
      </c>
      <c r="AE32" s="103">
        <f t="shared" si="11"/>
        <v>183460158.64285713</v>
      </c>
      <c r="AF32" s="44" t="s">
        <v>888</v>
      </c>
      <c r="AG32" s="29" t="s">
        <v>872</v>
      </c>
      <c r="AH32" s="44" t="s">
        <v>22</v>
      </c>
      <c r="AI32" s="29" t="s">
        <v>33</v>
      </c>
      <c r="AJ32" s="89" t="s">
        <v>17</v>
      </c>
      <c r="AK32" s="44" t="s">
        <v>24</v>
      </c>
      <c r="AL32" s="44" t="s">
        <v>24</v>
      </c>
      <c r="AM32" s="44" t="s">
        <v>17</v>
      </c>
      <c r="AN32" s="44" t="s">
        <v>17</v>
      </c>
      <c r="AO32" s="44" t="s">
        <v>24</v>
      </c>
      <c r="AP32" s="44" t="s">
        <v>24</v>
      </c>
      <c r="AQ32" s="44" t="s">
        <v>24</v>
      </c>
      <c r="AR32" s="44" t="s">
        <v>24</v>
      </c>
      <c r="AS32" s="44" t="s">
        <v>24</v>
      </c>
      <c r="AT32" s="44" t="s">
        <v>17</v>
      </c>
      <c r="AU32" s="105" t="s">
        <v>1245</v>
      </c>
      <c r="AV32" s="44" cm="1">
        <f t="array" ref="AV32">SUMPRODUCT((AJ32:AT32&lt;&gt;"Pendiente")*(AJ32:AT32&lt;&gt;""))</f>
        <v>11</v>
      </c>
      <c r="AW32" s="44">
        <f>COUNTA(Tabla25[[#This Row],[INVITACIÓN]:[ACTA DE INICIO]])</f>
        <v>11</v>
      </c>
      <c r="AX32" s="106">
        <f t="shared" si="8"/>
        <v>1</v>
      </c>
      <c r="AY32" s="47">
        <v>45513</v>
      </c>
      <c r="BA32" s="10">
        <v>45513</v>
      </c>
      <c r="BB32" s="10" t="s">
        <v>832</v>
      </c>
      <c r="BC32" s="4" t="s">
        <v>1246</v>
      </c>
      <c r="BD32" s="4" t="s">
        <v>1247</v>
      </c>
      <c r="BE32" s="4" t="s">
        <v>1248</v>
      </c>
      <c r="BG32" s="10">
        <v>45548</v>
      </c>
      <c r="BH32" s="4" t="s">
        <v>1249</v>
      </c>
      <c r="BI32" s="10">
        <v>45524</v>
      </c>
      <c r="BJ32" s="10">
        <v>45524</v>
      </c>
      <c r="BK32" s="10">
        <v>45601</v>
      </c>
      <c r="BL32" s="10">
        <v>45604</v>
      </c>
      <c r="BM32" s="10">
        <v>45611</v>
      </c>
      <c r="BN32" s="4" t="s">
        <v>832</v>
      </c>
      <c r="BO32" s="4">
        <f>COUNTA(Tabla25[[#This Row],[(1)SOLICITUD DE  APERTURA FIRNANCIERA Y PRESUPUESTO 1 (FECHA) ]:[(15) FECHA DE CONTRATACIÓN ADMINISTRATIVO]])</f>
        <v>13</v>
      </c>
      <c r="BP32" s="26">
        <f>Tabla25[[#This Row],[NUMERO OK]]/15</f>
        <v>0.8666666666666667</v>
      </c>
      <c r="BQ32" s="4" t="str">
        <f t="shared" ca="1" si="9"/>
        <v>RiesgoMedio</v>
      </c>
      <c r="BR32" s="48"/>
      <c r="BZ32" s="8"/>
    </row>
    <row r="33" spans="1:78" ht="60">
      <c r="A33" s="89">
        <v>2024</v>
      </c>
      <c r="B33" s="90" t="s">
        <v>890</v>
      </c>
      <c r="C33" s="91" t="s">
        <v>1479</v>
      </c>
      <c r="D33" s="92">
        <v>6844</v>
      </c>
      <c r="E33" s="92">
        <v>2910907335</v>
      </c>
      <c r="F33" s="44" t="s">
        <v>17</v>
      </c>
      <c r="G33" s="44"/>
      <c r="H33" s="4" t="s">
        <v>139</v>
      </c>
      <c r="I33" s="35" t="s">
        <v>17</v>
      </c>
      <c r="J33" s="4" t="s">
        <v>17</v>
      </c>
      <c r="K33" s="4">
        <f t="shared" si="0"/>
        <v>5</v>
      </c>
      <c r="L33" s="4">
        <f t="shared" si="1"/>
        <v>3</v>
      </c>
      <c r="M33" s="4">
        <f t="shared" si="2"/>
        <v>8</v>
      </c>
      <c r="N33" s="10"/>
      <c r="O33" s="107">
        <v>45513</v>
      </c>
      <c r="P33" s="98">
        <v>45554</v>
      </c>
      <c r="Q33" s="99">
        <f t="shared" si="3"/>
        <v>5.2931506849315069</v>
      </c>
      <c r="R33" s="44">
        <v>141</v>
      </c>
      <c r="S33" s="44">
        <v>0</v>
      </c>
      <c r="T33" s="92">
        <v>20</v>
      </c>
      <c r="U33" s="92">
        <f t="shared" ca="1" si="4"/>
        <v>336</v>
      </c>
      <c r="V33" s="98">
        <f t="shared" si="5"/>
        <v>45715</v>
      </c>
      <c r="W33" s="89" t="s">
        <v>97</v>
      </c>
      <c r="X33" s="44" t="str">
        <f t="shared" ca="1" si="10"/>
        <v>FINALIZADO</v>
      </c>
      <c r="Y33" s="100" t="s">
        <v>99</v>
      </c>
      <c r="Z33" s="101">
        <v>708000000</v>
      </c>
      <c r="AA33" s="101">
        <v>0</v>
      </c>
      <c r="AB33" s="101">
        <v>0</v>
      </c>
      <c r="AC33" s="101">
        <v>0</v>
      </c>
      <c r="AD33" s="102">
        <f t="shared" si="7"/>
        <v>708000000</v>
      </c>
      <c r="AE33" s="103">
        <f t="shared" si="11"/>
        <v>75857142.857142851</v>
      </c>
      <c r="AF33" s="44" t="s">
        <v>892</v>
      </c>
      <c r="AG33" s="29" t="s">
        <v>872</v>
      </c>
      <c r="AH33" s="44" t="s">
        <v>22</v>
      </c>
      <c r="AI33" s="29" t="s">
        <v>99</v>
      </c>
      <c r="AJ33" s="89" t="s">
        <v>17</v>
      </c>
      <c r="AK33" s="44" t="s">
        <v>17</v>
      </c>
      <c r="AL33" s="44" t="s">
        <v>24</v>
      </c>
      <c r="AM33" s="44" t="s">
        <v>17</v>
      </c>
      <c r="AN33" s="44" t="s">
        <v>17</v>
      </c>
      <c r="AO33" s="44" t="s">
        <v>24</v>
      </c>
      <c r="AP33" s="44" t="s">
        <v>24</v>
      </c>
      <c r="AQ33" s="44" t="s">
        <v>24</v>
      </c>
      <c r="AR33" s="44" t="s">
        <v>24</v>
      </c>
      <c r="AS33" s="44" t="s">
        <v>24</v>
      </c>
      <c r="AT33" s="44" t="s">
        <v>24</v>
      </c>
      <c r="AU33" s="105" t="s">
        <v>192</v>
      </c>
      <c r="AV33" s="44" cm="1">
        <f t="array" ref="AV33">SUMPRODUCT((AJ33:AT33&lt;&gt;"Pendiente")*(AJ33:AT33&lt;&gt;""))</f>
        <v>11</v>
      </c>
      <c r="AW33" s="44">
        <f>COUNTA(Tabla25[[#This Row],[INVITACIÓN]:[ACTA DE INICIO]])</f>
        <v>11</v>
      </c>
      <c r="AX33" s="106">
        <f t="shared" si="8"/>
        <v>1</v>
      </c>
      <c r="AY33" s="47">
        <v>45520</v>
      </c>
      <c r="BA33" s="10">
        <v>45623</v>
      </c>
      <c r="BB33" s="10" t="s">
        <v>832</v>
      </c>
      <c r="BC33" s="4" t="s">
        <v>973</v>
      </c>
      <c r="BD33" s="4" t="s">
        <v>990</v>
      </c>
      <c r="BE33" s="4" t="s">
        <v>1250</v>
      </c>
      <c r="BG33" s="10">
        <v>45513</v>
      </c>
      <c r="BH33" s="4" t="s">
        <v>1251</v>
      </c>
      <c r="BI33" s="10">
        <v>45618</v>
      </c>
      <c r="BJ33" s="10">
        <v>45618</v>
      </c>
      <c r="BK33" s="4" t="s">
        <v>832</v>
      </c>
      <c r="BL33" s="10">
        <v>45631</v>
      </c>
      <c r="BM33" s="10">
        <v>45687</v>
      </c>
      <c r="BN33" s="4" t="s">
        <v>832</v>
      </c>
      <c r="BO33" s="4">
        <f>COUNTA(Tabla25[[#This Row],[(1)SOLICITUD DE  APERTURA FIRNANCIERA Y PRESUPUESTO 1 (FECHA) ]:[(15) FECHA DE CONTRATACIÓN ADMINISTRATIVO]])</f>
        <v>13</v>
      </c>
      <c r="BP33" s="26">
        <f>Tabla25[[#This Row],[NUMERO OK]]/15</f>
        <v>0.8666666666666667</v>
      </c>
      <c r="BQ33" s="4" t="str">
        <f t="shared" ca="1" si="9"/>
        <v>RiesgoMedio</v>
      </c>
      <c r="BR33" s="48"/>
      <c r="BZ33" s="8"/>
    </row>
    <row r="34" spans="1:78" ht="60">
      <c r="A34" s="89">
        <v>2024</v>
      </c>
      <c r="B34" s="90" t="s">
        <v>897</v>
      </c>
      <c r="C34" s="91" t="s">
        <v>574</v>
      </c>
      <c r="D34" s="92">
        <v>6851</v>
      </c>
      <c r="E34" s="92">
        <v>2910908214</v>
      </c>
      <c r="F34" s="44" t="s">
        <v>17</v>
      </c>
      <c r="G34" s="44"/>
      <c r="H34" s="4" t="s">
        <v>135</v>
      </c>
      <c r="I34" s="35" t="s">
        <v>17</v>
      </c>
      <c r="K34" s="4">
        <f t="shared" si="0"/>
        <v>3</v>
      </c>
      <c r="L34" s="4">
        <f t="shared" si="1"/>
        <v>1</v>
      </c>
      <c r="M34" s="4">
        <f t="shared" si="2"/>
        <v>4</v>
      </c>
      <c r="N34" s="10"/>
      <c r="O34" s="107">
        <v>45520</v>
      </c>
      <c r="P34" s="98">
        <v>45539</v>
      </c>
      <c r="Q34" s="99">
        <f t="shared" si="3"/>
        <v>11.967123287671232</v>
      </c>
      <c r="R34" s="44">
        <v>364</v>
      </c>
      <c r="S34" s="44">
        <v>0</v>
      </c>
      <c r="T34" s="92">
        <v>0</v>
      </c>
      <c r="U34" s="92">
        <f t="shared" ca="1" si="4"/>
        <v>331</v>
      </c>
      <c r="V34" s="98">
        <f t="shared" si="5"/>
        <v>45903</v>
      </c>
      <c r="W34" s="89" t="s">
        <v>52</v>
      </c>
      <c r="X34" s="44" t="str">
        <f t="shared" ca="1" si="10"/>
        <v>EN EJECUCIÓN</v>
      </c>
      <c r="Y34" s="100" t="s">
        <v>93</v>
      </c>
      <c r="Z34" s="101">
        <v>219180000</v>
      </c>
      <c r="AA34" s="101">
        <f>256906000-600000</f>
        <v>256306000</v>
      </c>
      <c r="AB34" s="101">
        <v>0</v>
      </c>
      <c r="AC34" s="101">
        <v>0</v>
      </c>
      <c r="AD34" s="102">
        <f t="shared" si="7"/>
        <v>475486000</v>
      </c>
      <c r="AE34" s="103">
        <f t="shared" si="11"/>
        <v>50944928.571428567</v>
      </c>
      <c r="AF34" s="44" t="s">
        <v>898</v>
      </c>
      <c r="AG34" s="29" t="s">
        <v>872</v>
      </c>
      <c r="AH34" s="44" t="s">
        <v>55</v>
      </c>
      <c r="AI34" s="29" t="s">
        <v>93</v>
      </c>
      <c r="AJ34" s="89" t="s">
        <v>17</v>
      </c>
      <c r="AK34" s="44" t="s">
        <v>17</v>
      </c>
      <c r="AL34" s="44" t="s">
        <v>17</v>
      </c>
      <c r="AM34" s="44" t="s">
        <v>17</v>
      </c>
      <c r="AN34" s="44" t="s">
        <v>24</v>
      </c>
      <c r="AO34" s="44" t="s">
        <v>24</v>
      </c>
      <c r="AP34" s="44" t="s">
        <v>17</v>
      </c>
      <c r="AQ34" s="44" t="s">
        <v>17</v>
      </c>
      <c r="AR34" s="44" t="s">
        <v>24</v>
      </c>
      <c r="AS34" s="44" t="s">
        <v>24</v>
      </c>
      <c r="AT34" s="44" t="s">
        <v>24</v>
      </c>
      <c r="AU34" s="105" t="s">
        <v>192</v>
      </c>
      <c r="AV34" s="44" cm="1">
        <f t="array" ref="AV34">SUMPRODUCT((AJ34:AT34&lt;&gt;"Pendiente")*(AJ34:AT34&lt;&gt;""))</f>
        <v>11</v>
      </c>
      <c r="AW34" s="44">
        <f>COUNTA(Tabla25[[#This Row],[INVITACIÓN]:[ACTA DE INICIO]])</f>
        <v>11</v>
      </c>
      <c r="AX34" s="106">
        <f t="shared" si="8"/>
        <v>1</v>
      </c>
      <c r="AY34" s="47">
        <v>45447</v>
      </c>
      <c r="BA34" s="10">
        <v>45534</v>
      </c>
      <c r="BB34" s="10" t="s">
        <v>832</v>
      </c>
      <c r="BC34" s="4" t="s">
        <v>832</v>
      </c>
      <c r="BD34" s="4" t="s">
        <v>1252</v>
      </c>
      <c r="BE34" s="4" t="s">
        <v>832</v>
      </c>
      <c r="BG34" s="10" t="s">
        <v>832</v>
      </c>
      <c r="BH34" s="4" t="s">
        <v>1253</v>
      </c>
      <c r="BI34" s="4" t="s">
        <v>832</v>
      </c>
      <c r="BJ34" s="4" t="s">
        <v>832</v>
      </c>
      <c r="BK34" s="4" t="s">
        <v>832</v>
      </c>
      <c r="BL34" s="4" t="s">
        <v>832</v>
      </c>
      <c r="BM34" s="4" t="s">
        <v>832</v>
      </c>
      <c r="BN34" s="4" t="s">
        <v>832</v>
      </c>
      <c r="BO34" s="4">
        <f>COUNTA(Tabla25[[#This Row],[(1)SOLICITUD DE  APERTURA FIRNANCIERA Y PRESUPUESTO 1 (FECHA) ]:[(15) FECHA DE CONTRATACIÓN ADMINISTRATIVO]])</f>
        <v>13</v>
      </c>
      <c r="BP34" s="26">
        <f>Tabla25[[#This Row],[NUMERO OK]]/15</f>
        <v>0.8666666666666667</v>
      </c>
      <c r="BQ34" s="4" t="str">
        <f t="shared" ca="1" si="9"/>
        <v>RiesgoMedio</v>
      </c>
      <c r="BR34" s="48"/>
      <c r="BZ34" s="8"/>
    </row>
    <row r="35" spans="1:78" ht="90">
      <c r="A35" s="89">
        <v>2024</v>
      </c>
      <c r="B35" s="90" t="s">
        <v>894</v>
      </c>
      <c r="C35" s="91" t="s">
        <v>748</v>
      </c>
      <c r="D35" s="92">
        <v>6845</v>
      </c>
      <c r="E35" s="92">
        <v>2910907336</v>
      </c>
      <c r="F35" s="44" t="s">
        <v>17</v>
      </c>
      <c r="G35" s="44"/>
      <c r="H35" s="4" t="s">
        <v>139</v>
      </c>
      <c r="I35" s="35" t="s">
        <v>17</v>
      </c>
      <c r="K35" s="4">
        <f t="shared" ref="K35:K66" si="12">IF(Q35="","",(IF(Q35&lt;=7,5,IF(Q35&lt;=12,3,1))))</f>
        <v>3</v>
      </c>
      <c r="L35" s="4">
        <f t="shared" ref="L35:L66" si="13">IF(AD35=0,"",IF(AD35&lt;=500000000,1,IF(AD35&lt;=2847000000,3,5)))</f>
        <v>1</v>
      </c>
      <c r="M35" s="4">
        <f t="shared" ref="M35:M66" si="14">IF(K35="","",IF(Q35&lt;=7,5,IF(Q35&lt;=12,3,1))+IF(AD35&lt;=500000000,1,IF(AD35&lt;=2847000000,3,5)))</f>
        <v>4</v>
      </c>
      <c r="N35" s="10"/>
      <c r="O35" s="107">
        <v>45520</v>
      </c>
      <c r="P35" s="98">
        <v>45533</v>
      </c>
      <c r="Q35" s="99">
        <f t="shared" ref="Q35:Q66" si="15">IF(R35="", "",((R35+T35)/(365/12)))</f>
        <v>7.5287671232876709</v>
      </c>
      <c r="R35" s="44">
        <v>124</v>
      </c>
      <c r="S35" s="44">
        <v>0</v>
      </c>
      <c r="T35" s="92">
        <v>105</v>
      </c>
      <c r="U35" s="92">
        <f t="shared" ca="1" si="4"/>
        <v>442</v>
      </c>
      <c r="V35" s="98">
        <f t="shared" ref="V35:V66" si="16">IF(P35="", "",P35+R35+T35+S35)</f>
        <v>45762</v>
      </c>
      <c r="W35" s="89" t="s">
        <v>97</v>
      </c>
      <c r="X35" s="44" t="str">
        <f t="shared" ca="1" si="10"/>
        <v>FINALIZADO</v>
      </c>
      <c r="Y35" s="100" t="s">
        <v>33</v>
      </c>
      <c r="Z35" s="101">
        <v>400000000</v>
      </c>
      <c r="AA35" s="101">
        <v>0</v>
      </c>
      <c r="AB35" s="101">
        <v>0</v>
      </c>
      <c r="AC35" s="101">
        <v>0</v>
      </c>
      <c r="AD35" s="102">
        <f t="shared" ref="AD35:AD66" si="17">Z35+AB35+AA35+AC35</f>
        <v>400000000</v>
      </c>
      <c r="AE35" s="103">
        <f t="shared" si="11"/>
        <v>42857142.857142851</v>
      </c>
      <c r="AF35" s="44" t="s">
        <v>895</v>
      </c>
      <c r="AG35" s="29" t="s">
        <v>872</v>
      </c>
      <c r="AH35" s="44" t="s">
        <v>22</v>
      </c>
      <c r="AI35" s="29" t="s">
        <v>33</v>
      </c>
      <c r="AJ35" s="89" t="s">
        <v>17</v>
      </c>
      <c r="AK35" s="44" t="s">
        <v>17</v>
      </c>
      <c r="AL35" s="44" t="s">
        <v>17</v>
      </c>
      <c r="AM35" s="44" t="s">
        <v>17</v>
      </c>
      <c r="AN35" s="44" t="s">
        <v>17</v>
      </c>
      <c r="AO35" s="44" t="s">
        <v>24</v>
      </c>
      <c r="AP35" s="44" t="s">
        <v>24</v>
      </c>
      <c r="AQ35" s="44" t="s">
        <v>24</v>
      </c>
      <c r="AR35" s="44" t="s">
        <v>24</v>
      </c>
      <c r="AS35" s="44" t="s">
        <v>24</v>
      </c>
      <c r="AT35" s="44" t="s">
        <v>24</v>
      </c>
      <c r="AU35" s="105" t="s">
        <v>192</v>
      </c>
      <c r="AV35" s="44" cm="1">
        <f t="array" ref="AV35">SUMPRODUCT((AJ35:AT35&lt;&gt;"Pendiente")*(AJ35:AT35&lt;&gt;""))</f>
        <v>11</v>
      </c>
      <c r="AW35" s="44">
        <f>COUNTA(Tabla25[[#This Row],[INVITACIÓN]:[ACTA DE INICIO]])</f>
        <v>11</v>
      </c>
      <c r="AX35" s="106">
        <f t="shared" ref="AX35:AX66" si="18">AV35/AW35</f>
        <v>1</v>
      </c>
      <c r="AY35" s="47">
        <v>45527</v>
      </c>
      <c r="BA35" s="10">
        <v>45527</v>
      </c>
      <c r="BB35" s="10" t="s">
        <v>832</v>
      </c>
      <c r="BC35" s="4" t="s">
        <v>973</v>
      </c>
      <c r="BD35" s="4" t="s">
        <v>1247</v>
      </c>
      <c r="BE35" s="4" t="s">
        <v>1254</v>
      </c>
      <c r="BG35" s="10">
        <v>45525</v>
      </c>
      <c r="BH35" s="4" t="s">
        <v>1255</v>
      </c>
      <c r="BI35" s="10">
        <v>45563</v>
      </c>
      <c r="BJ35" s="10">
        <v>45589</v>
      </c>
      <c r="BK35" s="10">
        <v>45563</v>
      </c>
      <c r="BL35" s="10">
        <v>45602</v>
      </c>
      <c r="BM35" s="10">
        <v>45609</v>
      </c>
      <c r="BN35" s="4" t="s">
        <v>832</v>
      </c>
      <c r="BO35" s="4">
        <f>COUNTA(Tabla25[[#This Row],[(1)SOLICITUD DE  APERTURA FIRNANCIERA Y PRESUPUESTO 1 (FECHA) ]:[(15) FECHA DE CONTRATACIÓN ADMINISTRATIVO]])</f>
        <v>13</v>
      </c>
      <c r="BP35" s="26">
        <f>Tabla25[[#This Row],[NUMERO OK]]/15</f>
        <v>0.8666666666666667</v>
      </c>
      <c r="BQ35" s="4" t="str">
        <f t="shared" ref="BQ35:BQ66" ca="1" si="19">IF(ISBLANK(P35),"N/A",
   IF(TODAY()-P35&lt;=15,
      IF(BP35=100%,"EnTiempos","EnProceso"),
      IF(BP35&lt;80%,"RiesgoAlto",
         IF(BP35&lt;100%,"RiesgoMedio","Cumplido")
      )
   )
)</f>
        <v>RiesgoMedio</v>
      </c>
      <c r="BR35" s="48"/>
      <c r="BZ35" s="8"/>
    </row>
    <row r="36" spans="1:78" ht="71.25">
      <c r="A36" s="89">
        <v>2024</v>
      </c>
      <c r="B36" s="90" t="s">
        <v>906</v>
      </c>
      <c r="C36" s="91" t="s">
        <v>574</v>
      </c>
      <c r="D36" s="92">
        <v>6848</v>
      </c>
      <c r="E36" s="92">
        <v>2910908210</v>
      </c>
      <c r="F36" s="44" t="s">
        <v>17</v>
      </c>
      <c r="G36" s="44"/>
      <c r="H36" s="4" t="s">
        <v>135</v>
      </c>
      <c r="I36" s="35" t="s">
        <v>17</v>
      </c>
      <c r="K36" s="4">
        <f t="shared" si="12"/>
        <v>3</v>
      </c>
      <c r="L36" s="4">
        <f t="shared" si="13"/>
        <v>1</v>
      </c>
      <c r="M36" s="4">
        <f t="shared" si="14"/>
        <v>4</v>
      </c>
      <c r="N36" s="10"/>
      <c r="O36" s="107">
        <v>45525</v>
      </c>
      <c r="P36" s="98">
        <v>45558</v>
      </c>
      <c r="Q36" s="99">
        <f t="shared" si="15"/>
        <v>11.967123287671232</v>
      </c>
      <c r="R36" s="44">
        <v>364</v>
      </c>
      <c r="S36" s="44">
        <v>0</v>
      </c>
      <c r="T36" s="92">
        <v>0</v>
      </c>
      <c r="U36" s="92">
        <f t="shared" ca="1" si="4"/>
        <v>312</v>
      </c>
      <c r="V36" s="98">
        <f t="shared" si="16"/>
        <v>45922</v>
      </c>
      <c r="W36" s="89" t="s">
        <v>52</v>
      </c>
      <c r="X36" s="44" t="str">
        <f t="shared" ca="1" si="10"/>
        <v>EN EJECUCIÓN</v>
      </c>
      <c r="Y36" s="100" t="s">
        <v>93</v>
      </c>
      <c r="Z36" s="101">
        <v>218701000</v>
      </c>
      <c r="AA36" s="101">
        <f>461996781-218701000</f>
        <v>243295781</v>
      </c>
      <c r="AB36" s="101">
        <v>0</v>
      </c>
      <c r="AC36" s="101">
        <v>0</v>
      </c>
      <c r="AD36" s="102">
        <f t="shared" si="17"/>
        <v>461996781</v>
      </c>
      <c r="AE36" s="103">
        <f t="shared" si="11"/>
        <v>49499655.107142851</v>
      </c>
      <c r="AF36" s="44" t="s">
        <v>907</v>
      </c>
      <c r="AG36" s="29" t="s">
        <v>872</v>
      </c>
      <c r="AH36" s="44" t="s">
        <v>55</v>
      </c>
      <c r="AI36" s="29" t="s">
        <v>93</v>
      </c>
      <c r="AJ36" s="89" t="s">
        <v>17</v>
      </c>
      <c r="AK36" s="44" t="s">
        <v>17</v>
      </c>
      <c r="AL36" s="44" t="s">
        <v>17</v>
      </c>
      <c r="AM36" s="44" t="s">
        <v>17</v>
      </c>
      <c r="AN36" s="44" t="s">
        <v>24</v>
      </c>
      <c r="AO36" s="44" t="s">
        <v>24</v>
      </c>
      <c r="AP36" s="44" t="s">
        <v>17</v>
      </c>
      <c r="AQ36" s="44" t="s">
        <v>17</v>
      </c>
      <c r="AR36" s="44" t="s">
        <v>24</v>
      </c>
      <c r="AS36" s="44" t="s">
        <v>24</v>
      </c>
      <c r="AT36" s="44" t="s">
        <v>24</v>
      </c>
      <c r="AU36" s="105" t="s">
        <v>192</v>
      </c>
      <c r="AV36" s="44" cm="1">
        <f t="array" ref="AV36">SUMPRODUCT((AJ36:AT36&lt;&gt;"Pendiente")*(AJ36:AT36&lt;&gt;""))</f>
        <v>11</v>
      </c>
      <c r="AW36" s="44">
        <f>COUNTA(Tabla25[[#This Row],[INVITACIÓN]:[ACTA DE INICIO]])</f>
        <v>11</v>
      </c>
      <c r="AX36" s="106">
        <f t="shared" si="18"/>
        <v>1</v>
      </c>
      <c r="AY36" s="47">
        <v>45447</v>
      </c>
      <c r="BA36" s="10">
        <v>45526</v>
      </c>
      <c r="BB36" s="10" t="s">
        <v>832</v>
      </c>
      <c r="BC36" s="4" t="s">
        <v>832</v>
      </c>
      <c r="BD36" s="4" t="s">
        <v>982</v>
      </c>
      <c r="BE36" s="4" t="s">
        <v>832</v>
      </c>
      <c r="BG36" s="10" t="s">
        <v>832</v>
      </c>
      <c r="BH36" s="4" t="s">
        <v>1244</v>
      </c>
      <c r="BI36" s="4" t="s">
        <v>832</v>
      </c>
      <c r="BJ36" s="4" t="s">
        <v>832</v>
      </c>
      <c r="BK36" s="4" t="s">
        <v>832</v>
      </c>
      <c r="BL36" s="4" t="s">
        <v>832</v>
      </c>
      <c r="BM36" s="4" t="s">
        <v>832</v>
      </c>
      <c r="BN36" s="4" t="s">
        <v>832</v>
      </c>
      <c r="BO36" s="4">
        <f>COUNTA(Tabla25[[#This Row],[(1)SOLICITUD DE  APERTURA FIRNANCIERA Y PRESUPUESTO 1 (FECHA) ]:[(15) FECHA DE CONTRATACIÓN ADMINISTRATIVO]])</f>
        <v>13</v>
      </c>
      <c r="BP36" s="26">
        <f>Tabla25[[#This Row],[NUMERO OK]]/15</f>
        <v>0.8666666666666667</v>
      </c>
      <c r="BQ36" s="4" t="str">
        <f t="shared" ca="1" si="19"/>
        <v>RiesgoMedio</v>
      </c>
      <c r="BR36" s="48"/>
      <c r="BZ36" s="8"/>
    </row>
    <row r="37" spans="1:78" ht="99.75">
      <c r="A37" s="89">
        <v>2024</v>
      </c>
      <c r="B37" s="90" t="s">
        <v>904</v>
      </c>
      <c r="C37" s="91" t="s">
        <v>574</v>
      </c>
      <c r="D37" s="92">
        <v>6850</v>
      </c>
      <c r="E37" s="92">
        <v>2910908213</v>
      </c>
      <c r="F37" s="44" t="s">
        <v>17</v>
      </c>
      <c r="G37" s="44"/>
      <c r="H37" s="4" t="s">
        <v>135</v>
      </c>
      <c r="I37" s="35" t="s">
        <v>17</v>
      </c>
      <c r="K37" s="4">
        <f t="shared" si="12"/>
        <v>3</v>
      </c>
      <c r="L37" s="4">
        <f t="shared" si="13"/>
        <v>1</v>
      </c>
      <c r="M37" s="4">
        <f t="shared" si="14"/>
        <v>4</v>
      </c>
      <c r="N37" s="10"/>
      <c r="O37" s="107">
        <v>45525</v>
      </c>
      <c r="P37" s="98">
        <v>45530</v>
      </c>
      <c r="Q37" s="99">
        <f t="shared" si="15"/>
        <v>11.967123287671232</v>
      </c>
      <c r="R37" s="44">
        <v>364</v>
      </c>
      <c r="S37" s="44">
        <v>0</v>
      </c>
      <c r="T37" s="92">
        <v>0</v>
      </c>
      <c r="U37" s="92">
        <f t="shared" ca="1" si="4"/>
        <v>340</v>
      </c>
      <c r="V37" s="98">
        <f t="shared" si="16"/>
        <v>45894</v>
      </c>
      <c r="W37" s="89" t="s">
        <v>52</v>
      </c>
      <c r="X37" s="44" t="str">
        <f t="shared" ca="1" si="10"/>
        <v>EN EJECUCIÓN</v>
      </c>
      <c r="Y37" s="100" t="s">
        <v>93</v>
      </c>
      <c r="Z37" s="101">
        <v>40950000</v>
      </c>
      <c r="AA37" s="101">
        <v>82594350</v>
      </c>
      <c r="AB37" s="101">
        <v>0</v>
      </c>
      <c r="AC37" s="101">
        <v>0</v>
      </c>
      <c r="AD37" s="102">
        <f t="shared" si="17"/>
        <v>123544350</v>
      </c>
      <c r="AE37" s="103">
        <f t="shared" si="11"/>
        <v>13236894.642857142</v>
      </c>
      <c r="AF37" s="44" t="s">
        <v>905</v>
      </c>
      <c r="AG37" s="29" t="s">
        <v>872</v>
      </c>
      <c r="AH37" s="44" t="s">
        <v>55</v>
      </c>
      <c r="AI37" s="29" t="s">
        <v>93</v>
      </c>
      <c r="AJ37" s="89" t="s">
        <v>17</v>
      </c>
      <c r="AK37" s="44" t="s">
        <v>17</v>
      </c>
      <c r="AL37" s="44" t="s">
        <v>17</v>
      </c>
      <c r="AM37" s="44" t="s">
        <v>17</v>
      </c>
      <c r="AN37" s="44" t="s">
        <v>24</v>
      </c>
      <c r="AO37" s="44" t="s">
        <v>24</v>
      </c>
      <c r="AP37" s="44" t="s">
        <v>17</v>
      </c>
      <c r="AQ37" s="44" t="s">
        <v>17</v>
      </c>
      <c r="AR37" s="44" t="s">
        <v>24</v>
      </c>
      <c r="AS37" s="44" t="s">
        <v>24</v>
      </c>
      <c r="AT37" s="44" t="s">
        <v>24</v>
      </c>
      <c r="AU37" s="105" t="s">
        <v>192</v>
      </c>
      <c r="AV37" s="44" cm="1">
        <f t="array" ref="AV37">SUMPRODUCT((AJ37:AT37&lt;&gt;"Pendiente")*(AJ37:AT37&lt;&gt;""))</f>
        <v>11</v>
      </c>
      <c r="AW37" s="44">
        <f>COUNTA(Tabla25[[#This Row],[INVITACIÓN]:[ACTA DE INICIO]])</f>
        <v>11</v>
      </c>
      <c r="AX37" s="106">
        <f t="shared" si="18"/>
        <v>1</v>
      </c>
      <c r="AY37" s="47">
        <v>45447</v>
      </c>
      <c r="BA37" s="10">
        <v>45527</v>
      </c>
      <c r="BB37" s="10" t="s">
        <v>832</v>
      </c>
      <c r="BC37" s="4" t="s">
        <v>832</v>
      </c>
      <c r="BD37" s="4" t="s">
        <v>1256</v>
      </c>
      <c r="BE37" s="4" t="s">
        <v>832</v>
      </c>
      <c r="BG37" s="10" t="s">
        <v>832</v>
      </c>
      <c r="BH37" s="4" t="s">
        <v>1257</v>
      </c>
      <c r="BI37" s="4" t="s">
        <v>832</v>
      </c>
      <c r="BJ37" s="4" t="s">
        <v>832</v>
      </c>
      <c r="BK37" s="4" t="s">
        <v>832</v>
      </c>
      <c r="BL37" s="4" t="s">
        <v>832</v>
      </c>
      <c r="BM37" s="4" t="s">
        <v>832</v>
      </c>
      <c r="BN37" s="4" t="s">
        <v>832</v>
      </c>
      <c r="BO37" s="4">
        <f>COUNTA(Tabla25[[#This Row],[(1)SOLICITUD DE  APERTURA FIRNANCIERA Y PRESUPUESTO 1 (FECHA) ]:[(15) FECHA DE CONTRATACIÓN ADMINISTRATIVO]])</f>
        <v>13</v>
      </c>
      <c r="BP37" s="26">
        <f>Tabla25[[#This Row],[NUMERO OK]]/15</f>
        <v>0.8666666666666667</v>
      </c>
      <c r="BQ37" s="4" t="str">
        <f t="shared" ca="1" si="19"/>
        <v>RiesgoMedio</v>
      </c>
      <c r="BR37" s="48"/>
      <c r="BZ37" s="8"/>
    </row>
    <row r="38" spans="1:78" ht="60">
      <c r="A38" s="89">
        <v>2024</v>
      </c>
      <c r="B38" s="90" t="s">
        <v>902</v>
      </c>
      <c r="C38" s="91" t="s">
        <v>574</v>
      </c>
      <c r="D38" s="92">
        <v>6849</v>
      </c>
      <c r="E38" s="92">
        <v>2910908212</v>
      </c>
      <c r="F38" s="44" t="s">
        <v>17</v>
      </c>
      <c r="G38" s="44"/>
      <c r="H38" s="4" t="s">
        <v>135</v>
      </c>
      <c r="I38" s="35" t="s">
        <v>17</v>
      </c>
      <c r="K38" s="4">
        <f t="shared" si="12"/>
        <v>3</v>
      </c>
      <c r="L38" s="4">
        <f t="shared" si="13"/>
        <v>1</v>
      </c>
      <c r="M38" s="4">
        <f t="shared" si="14"/>
        <v>4</v>
      </c>
      <c r="N38" s="10"/>
      <c r="O38" s="107">
        <v>45525</v>
      </c>
      <c r="P38" s="98">
        <v>45527</v>
      </c>
      <c r="Q38" s="99">
        <f t="shared" si="15"/>
        <v>11.967123287671232</v>
      </c>
      <c r="R38" s="44">
        <v>364</v>
      </c>
      <c r="S38" s="44">
        <v>0</v>
      </c>
      <c r="T38" s="92">
        <v>0</v>
      </c>
      <c r="U38" s="92">
        <f t="shared" ca="1" si="4"/>
        <v>343</v>
      </c>
      <c r="V38" s="98">
        <f t="shared" si="16"/>
        <v>45891</v>
      </c>
      <c r="W38" s="89" t="s">
        <v>52</v>
      </c>
      <c r="X38" s="44" t="str">
        <f t="shared" ca="1" si="10"/>
        <v>EN EJECUCIÓN</v>
      </c>
      <c r="Y38" s="100" t="s">
        <v>93</v>
      </c>
      <c r="Z38" s="101">
        <v>40170000</v>
      </c>
      <c r="AA38" s="101">
        <f>62439200+2569868.34</f>
        <v>65009068.340000004</v>
      </c>
      <c r="AB38" s="101">
        <v>0</v>
      </c>
      <c r="AC38" s="101">
        <v>0</v>
      </c>
      <c r="AD38" s="102">
        <f t="shared" si="17"/>
        <v>105179068.34</v>
      </c>
      <c r="AE38" s="103">
        <f t="shared" si="11"/>
        <v>11269185.893571427</v>
      </c>
      <c r="AF38" s="44" t="s">
        <v>903</v>
      </c>
      <c r="AG38" s="29" t="s">
        <v>872</v>
      </c>
      <c r="AH38" s="44" t="s">
        <v>55</v>
      </c>
      <c r="AI38" s="29" t="s">
        <v>93</v>
      </c>
      <c r="AJ38" s="89" t="s">
        <v>17</v>
      </c>
      <c r="AK38" s="44" t="s">
        <v>17</v>
      </c>
      <c r="AL38" s="44" t="s">
        <v>17</v>
      </c>
      <c r="AM38" s="44" t="s">
        <v>17</v>
      </c>
      <c r="AN38" s="44" t="s">
        <v>24</v>
      </c>
      <c r="AO38" s="44" t="s">
        <v>24</v>
      </c>
      <c r="AP38" s="44" t="s">
        <v>17</v>
      </c>
      <c r="AQ38" s="44" t="s">
        <v>17</v>
      </c>
      <c r="AR38" s="44" t="s">
        <v>24</v>
      </c>
      <c r="AS38" s="44" t="s">
        <v>24</v>
      </c>
      <c r="AT38" s="44" t="s">
        <v>24</v>
      </c>
      <c r="AU38" s="105" t="s">
        <v>192</v>
      </c>
      <c r="AV38" s="44" cm="1">
        <f t="array" ref="AV38">SUMPRODUCT((AJ38:AT38&lt;&gt;"Pendiente")*(AJ38:AT38&lt;&gt;""))</f>
        <v>11</v>
      </c>
      <c r="AW38" s="44">
        <f>COUNTA(Tabla25[[#This Row],[INVITACIÓN]:[ACTA DE INICIO]])</f>
        <v>11</v>
      </c>
      <c r="AX38" s="106">
        <f t="shared" si="18"/>
        <v>1</v>
      </c>
      <c r="AY38" s="47">
        <v>45447</v>
      </c>
      <c r="BA38" s="10">
        <v>45527</v>
      </c>
      <c r="BB38" s="10" t="s">
        <v>832</v>
      </c>
      <c r="BC38" s="4" t="s">
        <v>832</v>
      </c>
      <c r="BD38" s="4" t="s">
        <v>1258</v>
      </c>
      <c r="BE38" s="4" t="s">
        <v>832</v>
      </c>
      <c r="BG38" s="10" t="s">
        <v>832</v>
      </c>
      <c r="BH38" s="4" t="s">
        <v>1259</v>
      </c>
      <c r="BI38" s="4" t="s">
        <v>832</v>
      </c>
      <c r="BJ38" s="4" t="s">
        <v>832</v>
      </c>
      <c r="BK38" s="4" t="s">
        <v>832</v>
      </c>
      <c r="BL38" s="4" t="s">
        <v>832</v>
      </c>
      <c r="BM38" s="4" t="s">
        <v>832</v>
      </c>
      <c r="BN38" s="4" t="s">
        <v>832</v>
      </c>
      <c r="BO38" s="4">
        <f>COUNTA(Tabla25[[#This Row],[(1)SOLICITUD DE  APERTURA FIRNANCIERA Y PRESUPUESTO 1 (FECHA) ]:[(15) FECHA DE CONTRATACIÓN ADMINISTRATIVO]])</f>
        <v>13</v>
      </c>
      <c r="BP38" s="26">
        <f>Tabla25[[#This Row],[NUMERO OK]]/15</f>
        <v>0.8666666666666667</v>
      </c>
      <c r="BQ38" s="4" t="str">
        <f t="shared" ca="1" si="19"/>
        <v>RiesgoMedio</v>
      </c>
      <c r="BR38" s="48"/>
      <c r="BZ38" s="8"/>
    </row>
    <row r="39" spans="1:78" ht="99.75">
      <c r="A39" s="89">
        <v>2024</v>
      </c>
      <c r="B39" s="90" t="s">
        <v>899</v>
      </c>
      <c r="C39" s="91" t="s">
        <v>574</v>
      </c>
      <c r="D39" s="92">
        <v>6847</v>
      </c>
      <c r="E39" s="92">
        <v>2910908203</v>
      </c>
      <c r="F39" s="44" t="s">
        <v>17</v>
      </c>
      <c r="G39" s="44"/>
      <c r="H39" s="4" t="s">
        <v>145</v>
      </c>
      <c r="I39" s="35" t="s">
        <v>17</v>
      </c>
      <c r="J39" s="4" t="s">
        <v>17</v>
      </c>
      <c r="K39" s="4">
        <f t="shared" si="12"/>
        <v>5</v>
      </c>
      <c r="L39" s="4">
        <f t="shared" si="13"/>
        <v>1</v>
      </c>
      <c r="M39" s="4">
        <f t="shared" si="14"/>
        <v>6</v>
      </c>
      <c r="N39" s="10"/>
      <c r="O39" s="107">
        <v>45525</v>
      </c>
      <c r="P39" s="98">
        <v>45567</v>
      </c>
      <c r="Q39" s="99">
        <f t="shared" si="15"/>
        <v>5.9178082191780819</v>
      </c>
      <c r="R39" s="44">
        <v>120</v>
      </c>
      <c r="S39" s="44">
        <v>0</v>
      </c>
      <c r="T39" s="92">
        <v>60</v>
      </c>
      <c r="U39" s="92">
        <f t="shared" ca="1" si="4"/>
        <v>363</v>
      </c>
      <c r="V39" s="98">
        <f t="shared" si="16"/>
        <v>45747</v>
      </c>
      <c r="W39" s="89" t="s">
        <v>74</v>
      </c>
      <c r="X39" s="44" t="str">
        <f t="shared" ca="1" si="10"/>
        <v>FINALIZADO</v>
      </c>
      <c r="Y39" s="100" t="s">
        <v>93</v>
      </c>
      <c r="Z39" s="101">
        <v>50750000</v>
      </c>
      <c r="AA39" s="101">
        <v>14130000</v>
      </c>
      <c r="AB39" s="101">
        <v>0</v>
      </c>
      <c r="AC39" s="101">
        <v>0</v>
      </c>
      <c r="AD39" s="102">
        <f t="shared" si="17"/>
        <v>64880000</v>
      </c>
      <c r="AE39" s="103">
        <f t="shared" si="11"/>
        <v>6951428.5714285709</v>
      </c>
      <c r="AF39" s="44" t="s">
        <v>900</v>
      </c>
      <c r="AG39" s="29" t="s">
        <v>872</v>
      </c>
      <c r="AH39" s="44" t="s">
        <v>55</v>
      </c>
      <c r="AI39" s="29" t="s">
        <v>93</v>
      </c>
      <c r="AJ39" s="89" t="s">
        <v>17</v>
      </c>
      <c r="AK39" s="44" t="s">
        <v>17</v>
      </c>
      <c r="AL39" s="44" t="s">
        <v>17</v>
      </c>
      <c r="AM39" s="44" t="s">
        <v>17</v>
      </c>
      <c r="AN39" s="44" t="s">
        <v>24</v>
      </c>
      <c r="AO39" s="44" t="s">
        <v>24</v>
      </c>
      <c r="AP39" s="44" t="s">
        <v>17</v>
      </c>
      <c r="AQ39" s="44" t="s">
        <v>17</v>
      </c>
      <c r="AR39" s="44" t="s">
        <v>24</v>
      </c>
      <c r="AS39" s="44" t="s">
        <v>24</v>
      </c>
      <c r="AT39" s="44" t="s">
        <v>24</v>
      </c>
      <c r="AU39" s="105" t="s">
        <v>192</v>
      </c>
      <c r="AV39" s="44" cm="1">
        <f t="array" ref="AV39">SUMPRODUCT((AJ39:AT39&lt;&gt;"Pendiente")*(AJ39:AT39&lt;&gt;""))</f>
        <v>11</v>
      </c>
      <c r="AW39" s="44">
        <f>COUNTA(Tabla25[[#This Row],[INVITACIÓN]:[ACTA DE INICIO]])</f>
        <v>11</v>
      </c>
      <c r="AX39" s="106">
        <f t="shared" si="18"/>
        <v>1</v>
      </c>
      <c r="AY39" s="47">
        <v>45378</v>
      </c>
      <c r="BA39" s="10">
        <v>45538</v>
      </c>
      <c r="BB39" s="10" t="s">
        <v>832</v>
      </c>
      <c r="BD39" s="4" t="s">
        <v>1260</v>
      </c>
      <c r="BE39" s="149" t="s">
        <v>1261</v>
      </c>
      <c r="BG39" s="10" t="s">
        <v>832</v>
      </c>
      <c r="BH39" s="4" t="s">
        <v>1262</v>
      </c>
      <c r="BI39" s="10">
        <v>45552</v>
      </c>
      <c r="BJ39" s="4" t="s">
        <v>1263</v>
      </c>
      <c r="BK39" s="10">
        <v>45552</v>
      </c>
      <c r="BL39" s="4" t="s">
        <v>1263</v>
      </c>
      <c r="BM39" s="10">
        <v>45572</v>
      </c>
      <c r="BN39" s="4" t="s">
        <v>832</v>
      </c>
      <c r="BO39" s="4">
        <f>COUNTA(Tabla25[[#This Row],[(1)SOLICITUD DE  APERTURA FIRNANCIERA Y PRESUPUESTO 1 (FECHA) ]:[(15) FECHA DE CONTRATACIÓN ADMINISTRATIVO]])</f>
        <v>12</v>
      </c>
      <c r="BP39" s="26">
        <f>Tabla25[[#This Row],[NUMERO OK]]/15</f>
        <v>0.8</v>
      </c>
      <c r="BQ39" s="4" t="str">
        <f t="shared" ca="1" si="19"/>
        <v>RiesgoMedio</v>
      </c>
      <c r="BR39" s="48"/>
      <c r="BZ39" s="8"/>
    </row>
    <row r="40" spans="1:78" ht="85.5">
      <c r="A40" s="89">
        <v>2024</v>
      </c>
      <c r="B40" s="90" t="s">
        <v>908</v>
      </c>
      <c r="C40" s="91" t="s">
        <v>909</v>
      </c>
      <c r="D40" s="44">
        <v>6856</v>
      </c>
      <c r="E40" s="44">
        <v>2910907339</v>
      </c>
      <c r="F40" s="44" t="s">
        <v>17</v>
      </c>
      <c r="G40" s="44"/>
      <c r="H40" s="4" t="s">
        <v>142</v>
      </c>
      <c r="K40" s="4">
        <f t="shared" si="12"/>
        <v>5</v>
      </c>
      <c r="L40" s="4">
        <f t="shared" si="13"/>
        <v>1</v>
      </c>
      <c r="M40" s="4">
        <f t="shared" si="14"/>
        <v>6</v>
      </c>
      <c r="N40" s="10"/>
      <c r="O40" s="97">
        <v>45547</v>
      </c>
      <c r="P40" s="98">
        <v>45558</v>
      </c>
      <c r="Q40" s="99">
        <f t="shared" si="15"/>
        <v>3.9780821917808216</v>
      </c>
      <c r="R40" s="44">
        <v>121</v>
      </c>
      <c r="S40" s="44">
        <v>0</v>
      </c>
      <c r="T40" s="92">
        <v>0</v>
      </c>
      <c r="U40" s="92">
        <f t="shared" ca="1" si="4"/>
        <v>312</v>
      </c>
      <c r="V40" s="98">
        <f t="shared" si="16"/>
        <v>45679</v>
      </c>
      <c r="W40" s="89" t="s">
        <v>97</v>
      </c>
      <c r="X40" s="44" t="str">
        <f t="shared" ca="1" si="10"/>
        <v>FINALIZADO</v>
      </c>
      <c r="Y40" s="100" t="s">
        <v>93</v>
      </c>
      <c r="Z40" s="101">
        <v>111464444</v>
      </c>
      <c r="AA40" s="101">
        <v>0</v>
      </c>
      <c r="AB40" s="101">
        <v>0</v>
      </c>
      <c r="AC40" s="101">
        <v>0</v>
      </c>
      <c r="AD40" s="102">
        <f t="shared" si="17"/>
        <v>111464444</v>
      </c>
      <c r="AE40" s="103">
        <f t="shared" si="11"/>
        <v>11942618.999999998</v>
      </c>
      <c r="AF40" s="44" t="s">
        <v>910</v>
      </c>
      <c r="AG40" s="44" t="s">
        <v>911</v>
      </c>
      <c r="AH40" s="44" t="s">
        <v>22</v>
      </c>
      <c r="AI40" s="29" t="s">
        <v>23</v>
      </c>
      <c r="AJ40" s="89" t="s">
        <v>24</v>
      </c>
      <c r="AK40" s="44" t="s">
        <v>24</v>
      </c>
      <c r="AL40" s="44" t="s">
        <v>17</v>
      </c>
      <c r="AM40" s="44" t="s">
        <v>17</v>
      </c>
      <c r="AN40" s="44" t="s">
        <v>17</v>
      </c>
      <c r="AO40" s="44" t="s">
        <v>24</v>
      </c>
      <c r="AP40" s="44" t="s">
        <v>24</v>
      </c>
      <c r="AQ40" s="44" t="s">
        <v>24</v>
      </c>
      <c r="AR40" s="44" t="s">
        <v>24</v>
      </c>
      <c r="AS40" s="44" t="s">
        <v>24</v>
      </c>
      <c r="AT40" s="44" t="s">
        <v>24</v>
      </c>
      <c r="AU40" s="105" t="s">
        <v>192</v>
      </c>
      <c r="AV40" s="44" cm="1">
        <f t="array" ref="AV40">SUMPRODUCT((AJ40:AT40&lt;&gt;"Pendiente")*(AJ40:AT40&lt;&gt;""))</f>
        <v>11</v>
      </c>
      <c r="AW40" s="44">
        <f>COUNTA(Tabla25[[#This Row],[INVITACIÓN]:[ACTA DE INICIO]])</f>
        <v>11</v>
      </c>
      <c r="AX40" s="106">
        <f t="shared" si="18"/>
        <v>1</v>
      </c>
      <c r="AY40" s="47">
        <v>45553</v>
      </c>
      <c r="BA40" s="10">
        <v>45565</v>
      </c>
      <c r="BB40" s="4" t="s">
        <v>832</v>
      </c>
      <c r="BC40" s="4" t="s">
        <v>1264</v>
      </c>
      <c r="BD40" s="4" t="s">
        <v>1265</v>
      </c>
      <c r="BE40" s="4" t="s">
        <v>1266</v>
      </c>
      <c r="BG40" s="10">
        <v>45551</v>
      </c>
      <c r="BH40" s="4" t="s">
        <v>1267</v>
      </c>
      <c r="BI40" s="10">
        <v>45580</v>
      </c>
      <c r="BJ40" s="10">
        <v>45580</v>
      </c>
      <c r="BK40" s="10">
        <v>45581</v>
      </c>
      <c r="BL40" s="10">
        <v>45608</v>
      </c>
      <c r="BM40" s="10">
        <v>45608</v>
      </c>
      <c r="BN40" s="4" t="s">
        <v>832</v>
      </c>
      <c r="BO40" s="4">
        <f>COUNTA(Tabla25[[#This Row],[(1)SOLICITUD DE  APERTURA FIRNANCIERA Y PRESUPUESTO 1 (FECHA) ]:[(15) FECHA DE CONTRATACIÓN ADMINISTRATIVO]])</f>
        <v>13</v>
      </c>
      <c r="BP40" s="26">
        <f>Tabla25[[#This Row],[NUMERO OK]]/15</f>
        <v>0.8666666666666667</v>
      </c>
      <c r="BQ40" s="4" t="str">
        <f t="shared" ca="1" si="19"/>
        <v>RiesgoMedio</v>
      </c>
      <c r="BR40" s="48"/>
      <c r="BZ40" s="8"/>
    </row>
    <row r="41" spans="1:78" ht="71.25">
      <c r="A41" s="89">
        <v>2024</v>
      </c>
      <c r="B41" s="90" t="s">
        <v>912</v>
      </c>
      <c r="C41" s="91" t="s">
        <v>913</v>
      </c>
      <c r="D41" s="92">
        <v>6857</v>
      </c>
      <c r="E41" s="92">
        <v>2910907342</v>
      </c>
      <c r="F41" s="44" t="s">
        <v>17</v>
      </c>
      <c r="G41" s="44"/>
      <c r="H41" s="4" t="s">
        <v>145</v>
      </c>
      <c r="I41" s="35" t="s">
        <v>17</v>
      </c>
      <c r="K41" s="4">
        <f t="shared" si="12"/>
        <v>5</v>
      </c>
      <c r="L41" s="4">
        <f t="shared" si="13"/>
        <v>1</v>
      </c>
      <c r="M41" s="4">
        <f t="shared" si="14"/>
        <v>6</v>
      </c>
      <c r="N41" s="10"/>
      <c r="O41" s="107">
        <v>45560</v>
      </c>
      <c r="P41" s="98">
        <v>45568</v>
      </c>
      <c r="Q41" s="99">
        <f t="shared" si="15"/>
        <v>6.8712328767123285</v>
      </c>
      <c r="R41" s="44">
        <v>209</v>
      </c>
      <c r="S41" s="44">
        <v>0</v>
      </c>
      <c r="T41" s="92">
        <v>0</v>
      </c>
      <c r="U41" s="92">
        <f t="shared" ca="1" si="4"/>
        <v>302</v>
      </c>
      <c r="V41" s="98">
        <f t="shared" si="16"/>
        <v>45777</v>
      </c>
      <c r="W41" s="89" t="s">
        <v>97</v>
      </c>
      <c r="X41" s="44" t="str">
        <f t="shared" ca="1" si="10"/>
        <v>FINALIZADO</v>
      </c>
      <c r="Y41" s="100" t="s">
        <v>93</v>
      </c>
      <c r="Z41" s="101">
        <v>300600000</v>
      </c>
      <c r="AA41" s="101">
        <v>0</v>
      </c>
      <c r="AB41" s="101">
        <v>0</v>
      </c>
      <c r="AC41" s="101">
        <v>0</v>
      </c>
      <c r="AD41" s="102">
        <f t="shared" si="17"/>
        <v>300600000</v>
      </c>
      <c r="AE41" s="103">
        <f t="shared" si="11"/>
        <v>32207142.857142854</v>
      </c>
      <c r="AF41" s="44" t="s">
        <v>914</v>
      </c>
      <c r="AG41" s="29" t="s">
        <v>200</v>
      </c>
      <c r="AH41" s="44" t="s">
        <v>22</v>
      </c>
      <c r="AI41" s="29" t="s">
        <v>93</v>
      </c>
      <c r="AJ41" s="89" t="s">
        <v>17</v>
      </c>
      <c r="AK41" s="44" t="s">
        <v>24</v>
      </c>
      <c r="AL41" s="44" t="s">
        <v>24</v>
      </c>
      <c r="AM41" s="44" t="s">
        <v>17</v>
      </c>
      <c r="AN41" s="44" t="s">
        <v>17</v>
      </c>
      <c r="AO41" s="44" t="s">
        <v>24</v>
      </c>
      <c r="AP41" s="44" t="s">
        <v>24</v>
      </c>
      <c r="AQ41" s="44" t="s">
        <v>24</v>
      </c>
      <c r="AR41" s="44" t="s">
        <v>24</v>
      </c>
      <c r="AS41" s="44" t="s">
        <v>24</v>
      </c>
      <c r="AT41" s="44" t="s">
        <v>24</v>
      </c>
      <c r="AU41" s="105" t="s">
        <v>1268</v>
      </c>
      <c r="AV41" s="44" cm="1">
        <f t="array" ref="AV41">SUMPRODUCT((AJ41:AT41&lt;&gt;"Pendiente")*(AJ41:AT41&lt;&gt;""))</f>
        <v>11</v>
      </c>
      <c r="AW41" s="44">
        <f>COUNTA(Tabla25[[#This Row],[INVITACIÓN]:[ACTA DE INICIO]])</f>
        <v>11</v>
      </c>
      <c r="AX41" s="106">
        <f t="shared" si="18"/>
        <v>1</v>
      </c>
      <c r="AY41" s="47">
        <v>45567</v>
      </c>
      <c r="BA41" s="10">
        <v>45573</v>
      </c>
      <c r="BB41" s="10" t="s">
        <v>832</v>
      </c>
      <c r="BD41" s="4" t="s">
        <v>1269</v>
      </c>
      <c r="BE41" s="4" t="s">
        <v>1270</v>
      </c>
      <c r="BG41" s="10">
        <v>45561</v>
      </c>
      <c r="BH41" s="4" t="s">
        <v>1271</v>
      </c>
      <c r="BI41" s="10">
        <v>45583</v>
      </c>
      <c r="BJ41" s="4" t="s">
        <v>1263</v>
      </c>
      <c r="BK41" s="10">
        <v>45583</v>
      </c>
      <c r="BL41" s="4" t="s">
        <v>1263</v>
      </c>
      <c r="BM41" s="10">
        <v>45588</v>
      </c>
      <c r="BN41" s="4" t="s">
        <v>832</v>
      </c>
      <c r="BO41" s="4">
        <f>COUNTA(Tabla25[[#This Row],[(1)SOLICITUD DE  APERTURA FIRNANCIERA Y PRESUPUESTO 1 (FECHA) ]:[(15) FECHA DE CONTRATACIÓN ADMINISTRATIVO]])</f>
        <v>12</v>
      </c>
      <c r="BP41" s="26">
        <f>Tabla25[[#This Row],[NUMERO OK]]/15</f>
        <v>0.8</v>
      </c>
      <c r="BQ41" s="4" t="str">
        <f t="shared" ca="1" si="19"/>
        <v>RiesgoMedio</v>
      </c>
      <c r="BR41" s="48"/>
      <c r="BZ41" s="8"/>
    </row>
    <row r="42" spans="1:78" ht="242.25">
      <c r="A42" s="89">
        <v>2024</v>
      </c>
      <c r="B42" s="90" t="s">
        <v>1272</v>
      </c>
      <c r="C42" s="91" t="s">
        <v>917</v>
      </c>
      <c r="D42" s="44">
        <v>6878</v>
      </c>
      <c r="E42" s="44">
        <v>2910907347</v>
      </c>
      <c r="F42" s="44" t="s">
        <v>17</v>
      </c>
      <c r="G42" s="44"/>
      <c r="H42" s="4" t="s">
        <v>135</v>
      </c>
      <c r="K42" s="4">
        <f t="shared" si="12"/>
        <v>5</v>
      </c>
      <c r="L42" s="4">
        <f t="shared" si="13"/>
        <v>1</v>
      </c>
      <c r="M42" s="4">
        <f t="shared" si="14"/>
        <v>6</v>
      </c>
      <c r="N42" s="10"/>
      <c r="O42" s="97">
        <v>45594</v>
      </c>
      <c r="P42" s="111">
        <v>45595</v>
      </c>
      <c r="Q42" s="112">
        <f t="shared" si="15"/>
        <v>2.5315068493150683</v>
      </c>
      <c r="R42" s="44">
        <v>77</v>
      </c>
      <c r="S42" s="44">
        <v>0</v>
      </c>
      <c r="T42" s="92">
        <v>0</v>
      </c>
      <c r="U42" s="92">
        <f t="shared" ca="1" si="4"/>
        <v>275</v>
      </c>
      <c r="V42" s="98">
        <f t="shared" si="16"/>
        <v>45672</v>
      </c>
      <c r="W42" s="89" t="s">
        <v>68</v>
      </c>
      <c r="X42" s="44" t="str">
        <f t="shared" ca="1" si="10"/>
        <v>FINALIZADO</v>
      </c>
      <c r="Y42" s="100" t="s">
        <v>93</v>
      </c>
      <c r="Z42" s="101">
        <v>65000000</v>
      </c>
      <c r="AA42" s="101">
        <v>0</v>
      </c>
      <c r="AB42" s="101">
        <v>0</v>
      </c>
      <c r="AC42" s="101">
        <v>0</v>
      </c>
      <c r="AD42" s="102">
        <f t="shared" si="17"/>
        <v>65000000</v>
      </c>
      <c r="AE42" s="103">
        <f t="shared" si="11"/>
        <v>6964285.7142857136</v>
      </c>
      <c r="AF42" s="44" t="s">
        <v>918</v>
      </c>
      <c r="AG42" s="44" t="s">
        <v>919</v>
      </c>
      <c r="AH42" s="44" t="s">
        <v>22</v>
      </c>
      <c r="AI42" s="29" t="s">
        <v>23</v>
      </c>
      <c r="AJ42" s="89" t="s">
        <v>24</v>
      </c>
      <c r="AK42" s="44" t="s">
        <v>17</v>
      </c>
      <c r="AL42" s="44" t="s">
        <v>24</v>
      </c>
      <c r="AM42" s="44" t="s">
        <v>17</v>
      </c>
      <c r="AN42" s="44" t="s">
        <v>24</v>
      </c>
      <c r="AO42" s="44" t="s">
        <v>24</v>
      </c>
      <c r="AP42" s="44" t="s">
        <v>24</v>
      </c>
      <c r="AQ42" s="44" t="s">
        <v>24</v>
      </c>
      <c r="AR42" s="44" t="s">
        <v>24</v>
      </c>
      <c r="AS42" s="44" t="s">
        <v>24</v>
      </c>
      <c r="AT42" s="44" t="s">
        <v>24</v>
      </c>
      <c r="AU42" s="105" t="s">
        <v>192</v>
      </c>
      <c r="AV42" s="44" cm="1">
        <f t="array" ref="AV42">SUMPRODUCT((AJ42:AT42&lt;&gt;"Pendiente")*(AJ42:AT42&lt;&gt;""))</f>
        <v>11</v>
      </c>
      <c r="AW42" s="44">
        <f>COUNTA(Tabla25[[#This Row],[INVITACIÓN]:[ACTA DE INICIO]])</f>
        <v>11</v>
      </c>
      <c r="AX42" s="106">
        <f t="shared" si="18"/>
        <v>1</v>
      </c>
      <c r="AY42" s="47">
        <v>45595</v>
      </c>
      <c r="BB42" s="4" t="s">
        <v>832</v>
      </c>
      <c r="BC42" s="4" t="s">
        <v>1273</v>
      </c>
      <c r="BD42" s="4" t="s">
        <v>1274</v>
      </c>
      <c r="BE42" s="4" t="s">
        <v>1275</v>
      </c>
      <c r="BH42" s="4" t="s">
        <v>1276</v>
      </c>
      <c r="BN42" s="4" t="s">
        <v>832</v>
      </c>
      <c r="BO42" s="4">
        <f>COUNTA(Tabla25[[#This Row],[(1)SOLICITUD DE  APERTURA FIRNANCIERA Y PRESUPUESTO 1 (FECHA) ]:[(15) FECHA DE CONTRATACIÓN ADMINISTRATIVO]])</f>
        <v>6</v>
      </c>
      <c r="BP42" s="26">
        <f>Tabla25[[#This Row],[NUMERO OK]]/15</f>
        <v>0.4</v>
      </c>
      <c r="BQ42" s="4" t="str">
        <f t="shared" ca="1" si="19"/>
        <v>RiesgoAlto</v>
      </c>
      <c r="BR42" s="48"/>
      <c r="BZ42" s="8"/>
    </row>
    <row r="43" spans="1:78" ht="156.75">
      <c r="A43" s="89">
        <v>2024</v>
      </c>
      <c r="B43" s="90" t="s">
        <v>921</v>
      </c>
      <c r="C43" s="91" t="s">
        <v>574</v>
      </c>
      <c r="D43" s="92">
        <v>6866</v>
      </c>
      <c r="E43" s="92">
        <v>2910908217</v>
      </c>
      <c r="F43" s="44" t="s">
        <v>17</v>
      </c>
      <c r="G43" s="44"/>
      <c r="H43" s="4" t="s">
        <v>135</v>
      </c>
      <c r="I43" s="35" t="s">
        <v>17</v>
      </c>
      <c r="K43" s="4">
        <f t="shared" si="12"/>
        <v>5</v>
      </c>
      <c r="L43" s="4">
        <f t="shared" si="13"/>
        <v>1</v>
      </c>
      <c r="M43" s="4">
        <f t="shared" si="14"/>
        <v>6</v>
      </c>
      <c r="N43" s="10"/>
      <c r="O43" s="107">
        <v>45602</v>
      </c>
      <c r="P43" s="98">
        <v>45614</v>
      </c>
      <c r="Q43" s="99">
        <f t="shared" si="15"/>
        <v>4.4712328767123282</v>
      </c>
      <c r="R43" s="44">
        <v>136</v>
      </c>
      <c r="S43" s="44">
        <v>0</v>
      </c>
      <c r="T43" s="92">
        <v>0</v>
      </c>
      <c r="U43" s="92">
        <f t="shared" ca="1" si="4"/>
        <v>256</v>
      </c>
      <c r="V43" s="98">
        <f t="shared" si="16"/>
        <v>45750</v>
      </c>
      <c r="W43" s="89" t="s">
        <v>68</v>
      </c>
      <c r="X43" s="44" t="str">
        <f t="shared" ca="1" si="10"/>
        <v>FINALIZADO</v>
      </c>
      <c r="Y43" s="100" t="s">
        <v>93</v>
      </c>
      <c r="Z43" s="101">
        <v>15525000</v>
      </c>
      <c r="AA43" s="101">
        <v>0</v>
      </c>
      <c r="AB43" s="101">
        <v>0</v>
      </c>
      <c r="AC43" s="101">
        <v>0</v>
      </c>
      <c r="AD43" s="102">
        <f t="shared" si="17"/>
        <v>15525000</v>
      </c>
      <c r="AE43" s="103">
        <f t="shared" si="11"/>
        <v>1663392.857142857</v>
      </c>
      <c r="AF43" s="44" t="s">
        <v>922</v>
      </c>
      <c r="AG43" s="29" t="s">
        <v>923</v>
      </c>
      <c r="AH43" s="44" t="s">
        <v>55</v>
      </c>
      <c r="AI43" s="29" t="s">
        <v>93</v>
      </c>
      <c r="AJ43" s="89" t="s">
        <v>17</v>
      </c>
      <c r="AK43" s="44" t="s">
        <v>17</v>
      </c>
      <c r="AL43" s="44" t="s">
        <v>17</v>
      </c>
      <c r="AM43" s="44" t="s">
        <v>17</v>
      </c>
      <c r="AN43" s="44" t="s">
        <v>24</v>
      </c>
      <c r="AO43" s="44" t="s">
        <v>24</v>
      </c>
      <c r="AP43" s="44" t="s">
        <v>17</v>
      </c>
      <c r="AQ43" s="44" t="s">
        <v>17</v>
      </c>
      <c r="AR43" s="44" t="s">
        <v>24</v>
      </c>
      <c r="AS43" s="44" t="s">
        <v>24</v>
      </c>
      <c r="AT43" s="44" t="s">
        <v>24</v>
      </c>
      <c r="AU43" s="105" t="s">
        <v>192</v>
      </c>
      <c r="AV43" s="44" cm="1">
        <f t="array" ref="AV43">SUMPRODUCT((AJ43:AT43&lt;&gt;"Pendiente")*(AJ43:AT43&lt;&gt;""))</f>
        <v>11</v>
      </c>
      <c r="AW43" s="44">
        <f>COUNTA(Tabla25[[#This Row],[INVITACIÓN]:[ACTA DE INICIO]])</f>
        <v>11</v>
      </c>
      <c r="AX43" s="106">
        <f t="shared" si="18"/>
        <v>1</v>
      </c>
      <c r="AY43" s="47">
        <v>45602</v>
      </c>
      <c r="BA43" s="10">
        <v>45614</v>
      </c>
      <c r="BB43" s="10" t="s">
        <v>832</v>
      </c>
      <c r="BC43" s="4" t="s">
        <v>1277</v>
      </c>
      <c r="BD43" s="4" t="s">
        <v>1278</v>
      </c>
      <c r="BE43" s="4" t="s">
        <v>1279</v>
      </c>
      <c r="BG43" s="10"/>
      <c r="BH43" s="4" t="s">
        <v>1280</v>
      </c>
      <c r="BI43" s="10">
        <v>45632</v>
      </c>
      <c r="BJ43" s="10">
        <v>45632</v>
      </c>
      <c r="BK43" s="10">
        <v>45638</v>
      </c>
      <c r="BL43" s="10">
        <v>45639</v>
      </c>
      <c r="BM43" s="10">
        <v>45639</v>
      </c>
      <c r="BN43" s="4" t="s">
        <v>832</v>
      </c>
      <c r="BO43" s="4">
        <f>COUNTA(Tabla25[[#This Row],[(1)SOLICITUD DE  APERTURA FIRNANCIERA Y PRESUPUESTO 1 (FECHA) ]:[(15) FECHA DE CONTRATACIÓN ADMINISTRATIVO]])</f>
        <v>12</v>
      </c>
      <c r="BP43" s="26">
        <f>Tabla25[[#This Row],[NUMERO OK]]/15</f>
        <v>0.8</v>
      </c>
      <c r="BQ43" s="4" t="str">
        <f t="shared" ca="1" si="19"/>
        <v>RiesgoMedio</v>
      </c>
      <c r="BR43" s="48"/>
      <c r="BZ43" s="8"/>
    </row>
    <row r="44" spans="1:78" ht="71.25">
      <c r="A44" s="89">
        <v>2024</v>
      </c>
      <c r="B44" s="90" t="s">
        <v>925</v>
      </c>
      <c r="C44" s="91" t="s">
        <v>926</v>
      </c>
      <c r="D44" s="92">
        <v>6870</v>
      </c>
      <c r="E44" s="92">
        <v>2910907355</v>
      </c>
      <c r="F44" s="44" t="s">
        <v>17</v>
      </c>
      <c r="G44" s="44"/>
      <c r="H44" s="4" t="s">
        <v>145</v>
      </c>
      <c r="I44" s="35" t="s">
        <v>17</v>
      </c>
      <c r="K44" s="4">
        <f t="shared" si="12"/>
        <v>5</v>
      </c>
      <c r="L44" s="4">
        <f t="shared" si="13"/>
        <v>3</v>
      </c>
      <c r="M44" s="4">
        <f t="shared" si="14"/>
        <v>8</v>
      </c>
      <c r="N44" s="10"/>
      <c r="O44" s="107">
        <v>45609</v>
      </c>
      <c r="P44" s="98">
        <v>45618</v>
      </c>
      <c r="Q44" s="99">
        <f t="shared" si="15"/>
        <v>5.9178082191780819</v>
      </c>
      <c r="R44" s="44">
        <v>180</v>
      </c>
      <c r="S44" s="44">
        <v>0</v>
      </c>
      <c r="T44" s="92">
        <v>0</v>
      </c>
      <c r="U44" s="92">
        <f t="shared" ca="1" si="4"/>
        <v>252</v>
      </c>
      <c r="V44" s="98">
        <f t="shared" si="16"/>
        <v>45798</v>
      </c>
      <c r="W44" s="89" t="s">
        <v>97</v>
      </c>
      <c r="X44" s="44" t="str">
        <f t="shared" ca="1" si="10"/>
        <v>FINALIZADO</v>
      </c>
      <c r="Y44" s="100" t="s">
        <v>33</v>
      </c>
      <c r="Z44" s="101">
        <v>1500000000</v>
      </c>
      <c r="AA44" s="101">
        <v>0</v>
      </c>
      <c r="AB44" s="101">
        <v>0</v>
      </c>
      <c r="AC44" s="101">
        <v>0</v>
      </c>
      <c r="AD44" s="102">
        <f t="shared" si="17"/>
        <v>1500000000</v>
      </c>
      <c r="AE44" s="103">
        <f t="shared" si="11"/>
        <v>160714285.7142857</v>
      </c>
      <c r="AF44" s="44" t="s">
        <v>927</v>
      </c>
      <c r="AG44" s="29" t="s">
        <v>928</v>
      </c>
      <c r="AH44" s="44" t="s">
        <v>22</v>
      </c>
      <c r="AI44" s="29" t="s">
        <v>33</v>
      </c>
      <c r="AJ44" s="89" t="s">
        <v>24</v>
      </c>
      <c r="AK44" s="44" t="s">
        <v>17</v>
      </c>
      <c r="AL44" s="44" t="s">
        <v>24</v>
      </c>
      <c r="AM44" s="44" t="s">
        <v>17</v>
      </c>
      <c r="AN44" s="44" t="s">
        <v>17</v>
      </c>
      <c r="AO44" s="44" t="s">
        <v>24</v>
      </c>
      <c r="AP44" s="44" t="s">
        <v>24</v>
      </c>
      <c r="AQ44" s="44" t="s">
        <v>17</v>
      </c>
      <c r="AR44" s="44" t="s">
        <v>24</v>
      </c>
      <c r="AS44" s="44" t="s">
        <v>24</v>
      </c>
      <c r="AT44" s="44" t="s">
        <v>24</v>
      </c>
      <c r="AU44" s="105" t="s">
        <v>929</v>
      </c>
      <c r="AV44" s="44" cm="1">
        <f t="array" ref="AV44">SUMPRODUCT((AJ44:AT44&lt;&gt;"Pendiente")*(AJ44:AT44&lt;&gt;""))</f>
        <v>11</v>
      </c>
      <c r="AW44" s="44">
        <f>COUNTA(Tabla25[[#This Row],[INVITACIÓN]:[ACTA DE INICIO]])</f>
        <v>11</v>
      </c>
      <c r="AX44" s="106">
        <f t="shared" si="18"/>
        <v>1</v>
      </c>
      <c r="AY44" s="47">
        <v>45609</v>
      </c>
      <c r="BA44" s="10"/>
      <c r="BB44" s="10" t="s">
        <v>832</v>
      </c>
      <c r="BC44" s="4" t="s">
        <v>1281</v>
      </c>
      <c r="BD44" s="4" t="s">
        <v>1282</v>
      </c>
      <c r="BE44" s="4" t="s">
        <v>1283</v>
      </c>
      <c r="BG44" s="10"/>
      <c r="BL44" s="10">
        <v>45625</v>
      </c>
      <c r="BO44" s="4">
        <f>COUNTA(Tabla25[[#This Row],[(1)SOLICITUD DE  APERTURA FIRNANCIERA Y PRESUPUESTO 1 (FECHA) ]:[(15) FECHA DE CONTRATACIÓN ADMINISTRATIVO]])</f>
        <v>6</v>
      </c>
      <c r="BP44" s="26">
        <f>Tabla25[[#This Row],[NUMERO OK]]/15</f>
        <v>0.4</v>
      </c>
      <c r="BQ44" s="4" t="str">
        <f t="shared" ca="1" si="19"/>
        <v>RiesgoAlto</v>
      </c>
      <c r="BR44" s="48"/>
      <c r="BZ44" s="8"/>
    </row>
    <row r="45" spans="1:78" ht="71.25">
      <c r="A45" s="89">
        <v>2024</v>
      </c>
      <c r="B45" s="90" t="s">
        <v>1160</v>
      </c>
      <c r="C45" s="91" t="s">
        <v>1161</v>
      </c>
      <c r="D45" s="44">
        <v>6880</v>
      </c>
      <c r="E45" s="44">
        <v>2910907359</v>
      </c>
      <c r="F45" s="44" t="s">
        <v>17</v>
      </c>
      <c r="G45" s="44"/>
      <c r="H45" s="4" t="s">
        <v>139</v>
      </c>
      <c r="K45" s="4">
        <f t="shared" si="12"/>
        <v>5</v>
      </c>
      <c r="L45" s="4">
        <f t="shared" si="13"/>
        <v>1</v>
      </c>
      <c r="M45" s="4">
        <f t="shared" si="14"/>
        <v>6</v>
      </c>
      <c r="N45" s="10"/>
      <c r="O45" s="97">
        <v>45615</v>
      </c>
      <c r="P45" s="98">
        <v>45624</v>
      </c>
      <c r="Q45" s="99">
        <f t="shared" si="15"/>
        <v>3.0246575342465754</v>
      </c>
      <c r="R45" s="44">
        <v>29</v>
      </c>
      <c r="S45" s="44">
        <v>0</v>
      </c>
      <c r="T45" s="92">
        <v>63</v>
      </c>
      <c r="U45" s="92">
        <f t="shared" ca="1" si="4"/>
        <v>309</v>
      </c>
      <c r="V45" s="98">
        <f t="shared" si="16"/>
        <v>45716</v>
      </c>
      <c r="W45" s="89" t="s">
        <v>97</v>
      </c>
      <c r="X45" s="44" t="str">
        <f t="shared" ca="1" si="10"/>
        <v>FINALIZADO</v>
      </c>
      <c r="Y45" s="100" t="s">
        <v>21</v>
      </c>
      <c r="Z45" s="101">
        <v>9600000</v>
      </c>
      <c r="AA45" s="101">
        <v>0</v>
      </c>
      <c r="AB45" s="101">
        <v>0</v>
      </c>
      <c r="AC45" s="101">
        <v>0</v>
      </c>
      <c r="AD45" s="102">
        <f t="shared" si="17"/>
        <v>9600000</v>
      </c>
      <c r="AE45" s="103">
        <f t="shared" si="11"/>
        <v>1028571.4285714285</v>
      </c>
      <c r="AF45" s="44" t="s">
        <v>1284</v>
      </c>
      <c r="AG45" s="44" t="s">
        <v>1162</v>
      </c>
      <c r="AH45" s="44" t="s">
        <v>22</v>
      </c>
      <c r="AI45" s="44" t="s">
        <v>23</v>
      </c>
      <c r="AJ45" s="89" t="s">
        <v>24</v>
      </c>
      <c r="AK45" s="44" t="s">
        <v>24</v>
      </c>
      <c r="AL45" s="44" t="s">
        <v>17</v>
      </c>
      <c r="AM45" s="44" t="s">
        <v>17</v>
      </c>
      <c r="AN45" s="44" t="s">
        <v>17</v>
      </c>
      <c r="AO45" s="44" t="s">
        <v>24</v>
      </c>
      <c r="AP45" s="44" t="s">
        <v>24</v>
      </c>
      <c r="AQ45" s="44" t="s">
        <v>17</v>
      </c>
      <c r="AR45" s="44" t="s">
        <v>24</v>
      </c>
      <c r="AS45" s="44" t="s">
        <v>24</v>
      </c>
      <c r="AT45" s="44" t="s">
        <v>24</v>
      </c>
      <c r="AU45" s="105" t="s">
        <v>1163</v>
      </c>
      <c r="AV45" s="44" cm="1">
        <f t="array" ref="AV45">SUMPRODUCT((AJ45:AT45&lt;&gt;"Pendiente")*(AJ45:AT45&lt;&gt;""))</f>
        <v>11</v>
      </c>
      <c r="AW45" s="44">
        <f>COUNTA(Tabla25[[#This Row],[INVITACIÓN]:[ACTA DE INICIO]])</f>
        <v>11</v>
      </c>
      <c r="AX45" s="106">
        <f t="shared" si="18"/>
        <v>1</v>
      </c>
      <c r="AY45" s="47">
        <v>45629</v>
      </c>
      <c r="BA45" s="10">
        <v>45631</v>
      </c>
      <c r="BB45" s="4" t="s">
        <v>832</v>
      </c>
      <c r="BC45" s="4" t="s">
        <v>1124</v>
      </c>
      <c r="BD45" s="4" t="s">
        <v>943</v>
      </c>
      <c r="BE45" s="4" t="s">
        <v>832</v>
      </c>
      <c r="BG45" s="4" t="s">
        <v>832</v>
      </c>
      <c r="BH45" s="4" t="s">
        <v>1197</v>
      </c>
      <c r="BI45" s="10">
        <v>45637</v>
      </c>
      <c r="BJ45" s="10">
        <v>45637</v>
      </c>
      <c r="BK45" s="4" t="s">
        <v>832</v>
      </c>
      <c r="BL45" s="10">
        <v>45669</v>
      </c>
      <c r="BM45" s="4" t="s">
        <v>832</v>
      </c>
      <c r="BN45" s="4" t="s">
        <v>832</v>
      </c>
      <c r="BO45" s="4">
        <f>COUNTA(Tabla25[[#This Row],[(1)SOLICITUD DE  APERTURA FIRNANCIERA Y PRESUPUESTO 1 (FECHA) ]:[(15) FECHA DE CONTRATACIÓN ADMINISTRATIVO]])</f>
        <v>13</v>
      </c>
      <c r="BP45" s="26">
        <f>Tabla25[[#This Row],[NUMERO OK]]/15</f>
        <v>0.8666666666666667</v>
      </c>
      <c r="BQ45" s="4" t="str">
        <f t="shared" ca="1" si="19"/>
        <v>RiesgoMedio</v>
      </c>
      <c r="BS45" s="9"/>
      <c r="BZ45" s="8"/>
    </row>
    <row r="46" spans="1:78" ht="57">
      <c r="A46" s="89">
        <v>2024</v>
      </c>
      <c r="B46" s="90" t="s">
        <v>954</v>
      </c>
      <c r="C46" s="91" t="s">
        <v>463</v>
      </c>
      <c r="D46" s="92">
        <v>6877</v>
      </c>
      <c r="E46" s="92">
        <v>2910907361</v>
      </c>
      <c r="F46" s="44" t="s">
        <v>17</v>
      </c>
      <c r="G46" s="44"/>
      <c r="H46" s="4" t="s">
        <v>139</v>
      </c>
      <c r="I46" s="35" t="s">
        <v>17</v>
      </c>
      <c r="K46" s="4">
        <f t="shared" si="12"/>
        <v>3</v>
      </c>
      <c r="L46" s="4">
        <f t="shared" si="13"/>
        <v>3</v>
      </c>
      <c r="M46" s="4">
        <f t="shared" si="14"/>
        <v>6</v>
      </c>
      <c r="N46" s="10"/>
      <c r="O46" s="107">
        <v>45630</v>
      </c>
      <c r="P46" s="98">
        <v>45632</v>
      </c>
      <c r="Q46" s="99">
        <f t="shared" si="15"/>
        <v>11.802739726027397</v>
      </c>
      <c r="R46" s="44">
        <v>359</v>
      </c>
      <c r="S46" s="44">
        <v>0</v>
      </c>
      <c r="T46" s="92">
        <v>0</v>
      </c>
      <c r="U46" s="92">
        <f t="shared" ca="1" si="4"/>
        <v>238</v>
      </c>
      <c r="V46" s="98">
        <f t="shared" si="16"/>
        <v>45991</v>
      </c>
      <c r="W46" s="89" t="s">
        <v>97</v>
      </c>
      <c r="X46" s="44" t="str">
        <f t="shared" ca="1" si="10"/>
        <v>EN EJECUCIÓN</v>
      </c>
      <c r="Y46" s="100" t="s">
        <v>874</v>
      </c>
      <c r="Z46" s="101">
        <v>845530500</v>
      </c>
      <c r="AA46" s="101">
        <v>0</v>
      </c>
      <c r="AB46" s="101">
        <v>0</v>
      </c>
      <c r="AC46" s="101">
        <v>0</v>
      </c>
      <c r="AD46" s="102">
        <f t="shared" si="17"/>
        <v>845530500</v>
      </c>
      <c r="AE46" s="103">
        <f t="shared" ref="AE46:AE67" si="20">((Z46+AA46)*12%)/112%</f>
        <v>90592553.571428567</v>
      </c>
      <c r="AF46" s="44" t="s">
        <v>955</v>
      </c>
      <c r="AG46" s="29" t="s">
        <v>956</v>
      </c>
      <c r="AH46" s="44" t="s">
        <v>22</v>
      </c>
      <c r="AI46" s="29" t="s">
        <v>21</v>
      </c>
      <c r="AJ46" s="89" t="s">
        <v>24</v>
      </c>
      <c r="AK46" s="44" t="s">
        <v>24</v>
      </c>
      <c r="AL46" s="44" t="s">
        <v>17</v>
      </c>
      <c r="AM46" s="44" t="s">
        <v>17</v>
      </c>
      <c r="AN46" s="44" t="s">
        <v>17</v>
      </c>
      <c r="AO46" s="44" t="s">
        <v>24</v>
      </c>
      <c r="AP46" s="44" t="s">
        <v>24</v>
      </c>
      <c r="AQ46" s="44" t="s">
        <v>24</v>
      </c>
      <c r="AR46" s="44" t="s">
        <v>24</v>
      </c>
      <c r="AS46" s="44" t="s">
        <v>24</v>
      </c>
      <c r="AT46" s="44" t="s">
        <v>24</v>
      </c>
      <c r="AU46" s="105" t="s">
        <v>957</v>
      </c>
      <c r="AV46" s="44" cm="1">
        <f t="array" ref="AV46">SUMPRODUCT((AJ46:AT46&lt;&gt;"Pendiente")*(AJ46:AT46&lt;&gt;""))</f>
        <v>11</v>
      </c>
      <c r="AW46" s="44">
        <f>COUNTA(Tabla25[[#This Row],[INVITACIÓN]:[ACTA DE INICIO]])</f>
        <v>11</v>
      </c>
      <c r="AX46" s="106">
        <f t="shared" si="18"/>
        <v>1</v>
      </c>
      <c r="AY46" s="47">
        <v>45631</v>
      </c>
      <c r="BA46" s="10">
        <v>45673</v>
      </c>
      <c r="BB46" s="10" t="s">
        <v>832</v>
      </c>
      <c r="BC46" s="4" t="s">
        <v>1285</v>
      </c>
      <c r="BD46" s="4" t="s">
        <v>943</v>
      </c>
      <c r="BE46" s="4" t="s">
        <v>1286</v>
      </c>
      <c r="BG46" s="10" t="s">
        <v>832</v>
      </c>
      <c r="BH46" s="4" t="s">
        <v>1197</v>
      </c>
      <c r="BI46" s="10">
        <v>45701</v>
      </c>
      <c r="BJ46" s="10">
        <v>45701</v>
      </c>
      <c r="BK46" s="10">
        <v>45701</v>
      </c>
      <c r="BL46" s="10">
        <v>45707</v>
      </c>
      <c r="BM46" s="10">
        <v>45706</v>
      </c>
      <c r="BN46" s="4" t="s">
        <v>832</v>
      </c>
      <c r="BO46" s="4">
        <f>COUNTA(Tabla25[[#This Row],[(1)SOLICITUD DE  APERTURA FIRNANCIERA Y PRESUPUESTO 1 (FECHA) ]:[(15) FECHA DE CONTRATACIÓN ADMINISTRATIVO]])</f>
        <v>13</v>
      </c>
      <c r="BP46" s="26">
        <f>Tabla25[[#This Row],[NUMERO OK]]/15</f>
        <v>0.8666666666666667</v>
      </c>
      <c r="BQ46" s="4" t="str">
        <f t="shared" ca="1" si="19"/>
        <v>RiesgoMedio</v>
      </c>
      <c r="BS46" s="9"/>
      <c r="BZ46" s="8"/>
    </row>
    <row r="47" spans="1:78" ht="90">
      <c r="A47" s="89">
        <v>2024</v>
      </c>
      <c r="B47" s="90" t="s">
        <v>1000</v>
      </c>
      <c r="C47" s="91" t="s">
        <v>1001</v>
      </c>
      <c r="D47" s="92">
        <v>6887</v>
      </c>
      <c r="E47" s="92">
        <v>2453018374</v>
      </c>
      <c r="F47" s="44" t="s">
        <v>17</v>
      </c>
      <c r="G47" s="44"/>
      <c r="H47" s="4" t="s">
        <v>123</v>
      </c>
      <c r="I47" s="35" t="s">
        <v>17</v>
      </c>
      <c r="J47" s="4" t="s">
        <v>17</v>
      </c>
      <c r="K47" s="4">
        <f t="shared" si="12"/>
        <v>5</v>
      </c>
      <c r="L47" s="4">
        <f t="shared" si="13"/>
        <v>1</v>
      </c>
      <c r="M47" s="4">
        <f t="shared" si="14"/>
        <v>6</v>
      </c>
      <c r="N47" s="10"/>
      <c r="O47" s="107">
        <v>45649</v>
      </c>
      <c r="P47" s="98">
        <v>45653</v>
      </c>
      <c r="Q47" s="99">
        <f t="shared" si="15"/>
        <v>2.9260273972602739</v>
      </c>
      <c r="R47" s="44">
        <v>89</v>
      </c>
      <c r="S47" s="44">
        <v>0</v>
      </c>
      <c r="T47" s="92">
        <v>0</v>
      </c>
      <c r="U47" s="92">
        <f t="shared" ca="1" si="4"/>
        <v>217</v>
      </c>
      <c r="V47" s="98">
        <f t="shared" si="16"/>
        <v>45742</v>
      </c>
      <c r="W47" s="89" t="s">
        <v>18</v>
      </c>
      <c r="X47" s="44" t="str">
        <f t="shared" ca="1" si="10"/>
        <v>FINALIZADO</v>
      </c>
      <c r="Y47" s="100" t="s">
        <v>93</v>
      </c>
      <c r="Z47" s="101">
        <v>259168000</v>
      </c>
      <c r="AA47" s="101">
        <v>0</v>
      </c>
      <c r="AB47" s="101">
        <v>23140000</v>
      </c>
      <c r="AC47" s="101">
        <v>0</v>
      </c>
      <c r="AD47" s="102">
        <f t="shared" si="17"/>
        <v>282308000</v>
      </c>
      <c r="AE47" s="103">
        <f t="shared" si="20"/>
        <v>27767999.999999996</v>
      </c>
      <c r="AF47" s="44" t="s">
        <v>1002</v>
      </c>
      <c r="AG47" s="29" t="s">
        <v>1003</v>
      </c>
      <c r="AH47" s="44" t="s">
        <v>34</v>
      </c>
      <c r="AI47" s="29" t="s">
        <v>93</v>
      </c>
      <c r="AJ47" s="89" t="s">
        <v>17</v>
      </c>
      <c r="AK47" s="44" t="s">
        <v>17</v>
      </c>
      <c r="AL47" s="44" t="s">
        <v>24</v>
      </c>
      <c r="AM47" s="44" t="s">
        <v>17</v>
      </c>
      <c r="AN47" s="44" t="s">
        <v>17</v>
      </c>
      <c r="AO47" s="44" t="s">
        <v>24</v>
      </c>
      <c r="AP47" s="44" t="s">
        <v>24</v>
      </c>
      <c r="AQ47" s="44" t="s">
        <v>24</v>
      </c>
      <c r="AR47" s="44" t="s">
        <v>24</v>
      </c>
      <c r="AS47" s="44" t="s">
        <v>24</v>
      </c>
      <c r="AT47" s="44" t="s">
        <v>24</v>
      </c>
      <c r="AU47" s="105" t="s">
        <v>192</v>
      </c>
      <c r="AV47" s="44" cm="1">
        <f t="array" ref="AV47">SUMPRODUCT((AJ47:AT47&lt;&gt;"Pendiente")*(AJ47:AT47&lt;&gt;""))</f>
        <v>11</v>
      </c>
      <c r="AW47" s="44">
        <f>COUNTA(Tabla25[[#This Row],[INVITACIÓN]:[ACTA DE INICIO]])</f>
        <v>11</v>
      </c>
      <c r="AX47" s="106">
        <f t="shared" si="18"/>
        <v>1</v>
      </c>
      <c r="AY47" s="47">
        <v>45684</v>
      </c>
      <c r="BA47" s="10"/>
      <c r="BB47" s="10"/>
      <c r="BD47" s="4" t="s">
        <v>1287</v>
      </c>
      <c r="BF47" s="10">
        <v>45684</v>
      </c>
      <c r="BG47" s="10">
        <v>45684</v>
      </c>
      <c r="BH47" s="4" t="s">
        <v>1288</v>
      </c>
      <c r="BO47" s="4">
        <f>COUNTA(Tabla25[[#This Row],[(1)SOLICITUD DE  APERTURA FIRNANCIERA Y PRESUPUESTO 1 (FECHA) ]:[(15) FECHA DE CONTRATACIÓN ADMINISTRATIVO]])</f>
        <v>5</v>
      </c>
      <c r="BP47" s="26">
        <f>Tabla25[[#This Row],[NUMERO OK]]/15</f>
        <v>0.33333333333333331</v>
      </c>
      <c r="BQ47" s="4" t="str">
        <f t="shared" ca="1" si="19"/>
        <v>RiesgoAlto</v>
      </c>
      <c r="BS47" s="9"/>
      <c r="BZ47" s="8"/>
    </row>
    <row r="48" spans="1:78" ht="185.25">
      <c r="A48" s="89">
        <v>2024</v>
      </c>
      <c r="B48" s="90" t="s">
        <v>930</v>
      </c>
      <c r="C48" s="91" t="s">
        <v>333</v>
      </c>
      <c r="D48" s="92">
        <v>6871</v>
      </c>
      <c r="E48" s="92">
        <v>2910907356</v>
      </c>
      <c r="F48" s="44" t="s">
        <v>163</v>
      </c>
      <c r="G48" s="44"/>
      <c r="H48" s="4" t="s">
        <v>142</v>
      </c>
      <c r="I48" s="35"/>
      <c r="K48" s="4">
        <f t="shared" si="12"/>
        <v>5</v>
      </c>
      <c r="L48" s="4">
        <f t="shared" si="13"/>
        <v>3</v>
      </c>
      <c r="M48" s="4">
        <f t="shared" si="14"/>
        <v>8</v>
      </c>
      <c r="N48" s="10"/>
      <c r="O48" s="107">
        <v>45609</v>
      </c>
      <c r="P48" s="98">
        <v>45616</v>
      </c>
      <c r="Q48" s="99">
        <f t="shared" si="15"/>
        <v>6.2136986301369861</v>
      </c>
      <c r="R48" s="44">
        <v>129</v>
      </c>
      <c r="S48" s="44">
        <v>0</v>
      </c>
      <c r="T48" s="92">
        <v>60</v>
      </c>
      <c r="U48" s="92">
        <f t="shared" ca="1" si="4"/>
        <v>314</v>
      </c>
      <c r="V48" s="98">
        <f t="shared" si="16"/>
        <v>45805</v>
      </c>
      <c r="W48" s="89" t="s">
        <v>97</v>
      </c>
      <c r="X48" s="44" t="str">
        <f t="shared" ca="1" si="10"/>
        <v>FINALIZADO</v>
      </c>
      <c r="Y48" s="100" t="s">
        <v>21</v>
      </c>
      <c r="Z48" s="101">
        <v>1078997482</v>
      </c>
      <c r="AA48" s="101">
        <v>0</v>
      </c>
      <c r="AB48" s="101">
        <v>0</v>
      </c>
      <c r="AC48" s="101">
        <v>0</v>
      </c>
      <c r="AD48" s="102">
        <f t="shared" si="17"/>
        <v>1078997482</v>
      </c>
      <c r="AE48" s="103">
        <f t="shared" si="20"/>
        <v>115606873.07142855</v>
      </c>
      <c r="AF48" s="44" t="s">
        <v>932</v>
      </c>
      <c r="AG48" s="29" t="s">
        <v>192</v>
      </c>
      <c r="AH48" s="44" t="s">
        <v>22</v>
      </c>
      <c r="AI48" s="29" t="s">
        <v>23</v>
      </c>
      <c r="AJ48" s="89" t="s">
        <v>17</v>
      </c>
      <c r="AK48" s="44" t="s">
        <v>24</v>
      </c>
      <c r="AL48" s="44" t="s">
        <v>17</v>
      </c>
      <c r="AM48" s="44" t="s">
        <v>17</v>
      </c>
      <c r="AN48" s="44" t="s">
        <v>17</v>
      </c>
      <c r="AO48" s="44" t="s">
        <v>934</v>
      </c>
      <c r="AP48" s="44" t="s">
        <v>24</v>
      </c>
      <c r="AQ48" s="44" t="s">
        <v>24</v>
      </c>
      <c r="AR48" s="44" t="s">
        <v>24</v>
      </c>
      <c r="AS48" s="44" t="s">
        <v>24</v>
      </c>
      <c r="AT48" s="44" t="s">
        <v>24</v>
      </c>
      <c r="AU48" s="105" t="s">
        <v>935</v>
      </c>
      <c r="AV48" s="44" cm="1">
        <f t="array" ref="AV48">SUMPRODUCT((AJ48:AT48&lt;&gt;"Pendiente")*(AJ48:AT48&lt;&gt;""))</f>
        <v>11</v>
      </c>
      <c r="AW48" s="44">
        <f>COUNTA(Tabla25[[#This Row],[INVITACIÓN]:[ACTA DE INICIO]])</f>
        <v>11</v>
      </c>
      <c r="AX48" s="106">
        <f t="shared" si="18"/>
        <v>1</v>
      </c>
      <c r="AY48" s="47">
        <v>45608</v>
      </c>
      <c r="AZ48" s="10">
        <v>45693</v>
      </c>
      <c r="BA48" s="65"/>
      <c r="BB48" s="4" t="s">
        <v>832</v>
      </c>
      <c r="BO48" s="4">
        <f>COUNTA(Tabla25[[#This Row],[(1)SOLICITUD DE  APERTURA FIRNANCIERA Y PRESUPUESTO 1 (FECHA) ]:[(15) FECHA DE CONTRATACIÓN ADMINISTRATIVO]])</f>
        <v>3</v>
      </c>
      <c r="BP48" s="26">
        <f>Tabla25[[#This Row],[NUMERO OK]]/15</f>
        <v>0.2</v>
      </c>
      <c r="BQ48" s="4" t="str">
        <f t="shared" ca="1" si="19"/>
        <v>RiesgoAlto</v>
      </c>
      <c r="BS48" s="9"/>
      <c r="BZ48" s="8"/>
    </row>
    <row r="49" spans="1:78" ht="90">
      <c r="A49" s="89">
        <v>2024</v>
      </c>
      <c r="B49" s="90" t="s">
        <v>937</v>
      </c>
      <c r="C49" s="162" t="s">
        <v>938</v>
      </c>
      <c r="D49" s="92">
        <v>6881</v>
      </c>
      <c r="E49" s="92">
        <v>2910907364</v>
      </c>
      <c r="F49" s="44" t="s">
        <v>163</v>
      </c>
      <c r="G49" s="44"/>
      <c r="H49" s="4" t="s">
        <v>145</v>
      </c>
      <c r="I49" s="35" t="s">
        <v>936</v>
      </c>
      <c r="J49" s="4" t="s">
        <v>77</v>
      </c>
      <c r="K49" s="4">
        <f t="shared" si="12"/>
        <v>5</v>
      </c>
      <c r="L49" s="4">
        <f t="shared" si="13"/>
        <v>3</v>
      </c>
      <c r="M49" s="4">
        <f t="shared" si="14"/>
        <v>8</v>
      </c>
      <c r="N49" s="10"/>
      <c r="O49" s="107">
        <v>45623</v>
      </c>
      <c r="P49" s="98">
        <v>45653</v>
      </c>
      <c r="Q49" s="99">
        <f t="shared" si="15"/>
        <v>6.9369863013698625</v>
      </c>
      <c r="R49" s="44">
        <v>211</v>
      </c>
      <c r="S49" s="44">
        <v>0</v>
      </c>
      <c r="T49" s="92">
        <v>0</v>
      </c>
      <c r="U49" s="92">
        <f t="shared" ca="1" si="4"/>
        <v>217</v>
      </c>
      <c r="V49" s="98">
        <f t="shared" si="16"/>
        <v>45864</v>
      </c>
      <c r="W49" s="89" t="s">
        <v>97</v>
      </c>
      <c r="X49" s="44" t="str">
        <f t="shared" ca="1" si="10"/>
        <v>FINALIZADO</v>
      </c>
      <c r="Y49" s="100" t="s">
        <v>44</v>
      </c>
      <c r="Z49" s="101">
        <v>1418446006</v>
      </c>
      <c r="AA49" s="101">
        <v>0</v>
      </c>
      <c r="AB49" s="101">
        <v>0</v>
      </c>
      <c r="AC49" s="101">
        <v>0</v>
      </c>
      <c r="AD49" s="102">
        <f t="shared" si="17"/>
        <v>1418446006</v>
      </c>
      <c r="AE49" s="103">
        <f t="shared" si="20"/>
        <v>151976357.78571427</v>
      </c>
      <c r="AF49" s="44" t="s">
        <v>939</v>
      </c>
      <c r="AG49" s="29" t="s">
        <v>940</v>
      </c>
      <c r="AH49" s="44" t="s">
        <v>941</v>
      </c>
      <c r="AI49" s="29" t="s">
        <v>23</v>
      </c>
      <c r="AJ49" s="89" t="s">
        <v>17</v>
      </c>
      <c r="AK49" s="44" t="s">
        <v>24</v>
      </c>
      <c r="AL49" s="44" t="s">
        <v>24</v>
      </c>
      <c r="AM49" s="44" t="s">
        <v>17</v>
      </c>
      <c r="AN49" s="44" t="s">
        <v>17</v>
      </c>
      <c r="AO49" s="44" t="s">
        <v>24</v>
      </c>
      <c r="AP49" s="44" t="s">
        <v>24</v>
      </c>
      <c r="AQ49" s="44" t="s">
        <v>17</v>
      </c>
      <c r="AR49" s="44" t="s">
        <v>24</v>
      </c>
      <c r="AS49" s="44" t="s">
        <v>24</v>
      </c>
      <c r="AT49" s="44" t="s">
        <v>24</v>
      </c>
      <c r="AU49" s="105" t="s">
        <v>1289</v>
      </c>
      <c r="AV49" s="44" cm="1">
        <f t="array" ref="AV49">SUMPRODUCT((AJ49:AT49&lt;&gt;"Pendiente")*(AJ49:AT49&lt;&gt;""))</f>
        <v>11</v>
      </c>
      <c r="AW49" s="44">
        <f>COUNTA(Tabla25[[#This Row],[INVITACIÓN]:[ACTA DE INICIO]])</f>
        <v>11</v>
      </c>
      <c r="AX49" s="106">
        <f t="shared" si="18"/>
        <v>1</v>
      </c>
      <c r="AY49" s="47">
        <v>45631</v>
      </c>
      <c r="AZ49" s="4" t="s">
        <v>832</v>
      </c>
      <c r="BA49" s="10">
        <v>45636</v>
      </c>
      <c r="BB49" s="10">
        <v>45642</v>
      </c>
      <c r="BC49" s="4" t="s">
        <v>942</v>
      </c>
      <c r="BD49" s="4" t="s">
        <v>943</v>
      </c>
      <c r="BE49" s="4" t="s">
        <v>944</v>
      </c>
      <c r="BF49" s="4" t="s">
        <v>832</v>
      </c>
      <c r="BG49" s="10">
        <v>45653</v>
      </c>
      <c r="BH49" s="4" t="s">
        <v>1197</v>
      </c>
      <c r="BI49" s="10">
        <v>45650</v>
      </c>
      <c r="BJ49" s="10">
        <v>45651</v>
      </c>
      <c r="BK49" s="10">
        <v>45651</v>
      </c>
      <c r="BL49" s="10">
        <v>45652</v>
      </c>
      <c r="BM49" s="10">
        <v>45652</v>
      </c>
      <c r="BN49" s="4" t="s">
        <v>945</v>
      </c>
      <c r="BO49" s="4">
        <f>COUNTA(Tabla25[[#This Row],[(1)SOLICITUD DE  APERTURA FIRNANCIERA Y PRESUPUESTO 1 (FECHA) ]:[(15) FECHA DE CONTRATACIÓN ADMINISTRATIVO]])</f>
        <v>15</v>
      </c>
      <c r="BP49" s="26">
        <f>Tabla25[[#This Row],[NUMERO OK]]/15</f>
        <v>1</v>
      </c>
      <c r="BQ49" s="4" t="str">
        <f t="shared" ca="1" si="19"/>
        <v>Cumplido</v>
      </c>
      <c r="BS49" s="9"/>
      <c r="BZ49" s="8"/>
    </row>
    <row r="50" spans="1:78" ht="85.5">
      <c r="A50" s="89">
        <v>2024</v>
      </c>
      <c r="B50" s="90" t="s">
        <v>1005</v>
      </c>
      <c r="C50" s="91" t="s">
        <v>1006</v>
      </c>
      <c r="D50" s="92">
        <v>6886</v>
      </c>
      <c r="E50" s="92">
        <v>2910907377</v>
      </c>
      <c r="F50" s="44" t="s">
        <v>163</v>
      </c>
      <c r="G50" s="155" t="s">
        <v>1290</v>
      </c>
      <c r="H50" s="4" t="s">
        <v>131</v>
      </c>
      <c r="I50" s="35" t="s">
        <v>100</v>
      </c>
      <c r="K50" s="4">
        <f t="shared" si="12"/>
        <v>3</v>
      </c>
      <c r="L50" s="4">
        <f t="shared" si="13"/>
        <v>3</v>
      </c>
      <c r="M50" s="4">
        <f t="shared" si="14"/>
        <v>6</v>
      </c>
      <c r="N50" s="10"/>
      <c r="O50" s="107">
        <v>45650</v>
      </c>
      <c r="P50" s="98">
        <v>45712</v>
      </c>
      <c r="Q50" s="99">
        <f t="shared" si="15"/>
        <v>9.9287671232876704</v>
      </c>
      <c r="R50" s="44">
        <v>302</v>
      </c>
      <c r="S50" s="44">
        <v>0</v>
      </c>
      <c r="T50" s="92">
        <v>0</v>
      </c>
      <c r="U50" s="92">
        <f t="shared" ca="1" si="4"/>
        <v>158</v>
      </c>
      <c r="V50" s="98">
        <f t="shared" si="16"/>
        <v>46014</v>
      </c>
      <c r="W50" s="89" t="s">
        <v>97</v>
      </c>
      <c r="X50" s="44" t="str">
        <f t="shared" ca="1" si="10"/>
        <v>EN EJECUCIÓN</v>
      </c>
      <c r="Y50" s="100" t="s">
        <v>93</v>
      </c>
      <c r="Z50" s="101">
        <v>2827080133</v>
      </c>
      <c r="AA50" s="101">
        <v>0</v>
      </c>
      <c r="AB50" s="101">
        <v>0</v>
      </c>
      <c r="AC50" s="101">
        <v>0</v>
      </c>
      <c r="AD50" s="102">
        <f t="shared" si="17"/>
        <v>2827080133</v>
      </c>
      <c r="AE50" s="103">
        <f t="shared" si="20"/>
        <v>302901442.82142854</v>
      </c>
      <c r="AF50" s="44" t="s">
        <v>1007</v>
      </c>
      <c r="AG50" s="29" t="s">
        <v>1008</v>
      </c>
      <c r="AH50" s="44" t="s">
        <v>22</v>
      </c>
      <c r="AI50" s="29" t="s">
        <v>23</v>
      </c>
      <c r="AJ50" s="89" t="s">
        <v>934</v>
      </c>
      <c r="AK50" s="44" t="s">
        <v>24</v>
      </c>
      <c r="AL50" s="44" t="s">
        <v>24</v>
      </c>
      <c r="AM50" s="44" t="s">
        <v>17</v>
      </c>
      <c r="AN50" s="44" t="s">
        <v>17</v>
      </c>
      <c r="AO50" s="44" t="s">
        <v>24</v>
      </c>
      <c r="AP50" s="44" t="s">
        <v>24</v>
      </c>
      <c r="AQ50" s="44" t="s">
        <v>24</v>
      </c>
      <c r="AR50" s="44" t="s">
        <v>24</v>
      </c>
      <c r="AS50" s="44" t="s">
        <v>24</v>
      </c>
      <c r="AT50" s="44" t="s">
        <v>24</v>
      </c>
      <c r="AU50" s="105" t="s">
        <v>1009</v>
      </c>
      <c r="AV50" s="44" cm="1">
        <f t="array" ref="AV50">SUMPRODUCT((AJ50:AT50&lt;&gt;"Pendiente")*(AJ50:AT50&lt;&gt;""))</f>
        <v>11</v>
      </c>
      <c r="AW50" s="44">
        <f>COUNTA(Tabla25[[#This Row],[INVITACIÓN]:[ACTA DE INICIO]])</f>
        <v>11</v>
      </c>
      <c r="AX50" s="106">
        <f t="shared" si="18"/>
        <v>1</v>
      </c>
      <c r="AY50" s="47">
        <v>45666</v>
      </c>
      <c r="AZ50" s="10">
        <v>45701</v>
      </c>
      <c r="BA50" s="10">
        <v>45720</v>
      </c>
      <c r="BB50" s="10">
        <v>45768</v>
      </c>
      <c r="BC50" s="4" t="s">
        <v>1291</v>
      </c>
      <c r="BD50" s="4" t="s">
        <v>1011</v>
      </c>
      <c r="BE50" s="4" t="s">
        <v>1292</v>
      </c>
      <c r="BF50" s="10">
        <v>45681</v>
      </c>
      <c r="BG50" s="10">
        <v>45695</v>
      </c>
      <c r="BH50" s="163" t="s">
        <v>1013</v>
      </c>
      <c r="BI50" s="10">
        <v>45769</v>
      </c>
      <c r="BJ50" s="10">
        <v>45772</v>
      </c>
      <c r="BK50" s="10">
        <v>45775</v>
      </c>
      <c r="BL50" s="10">
        <v>45777</v>
      </c>
      <c r="BM50" s="10">
        <v>45786</v>
      </c>
      <c r="BN50" s="4" t="s">
        <v>1293</v>
      </c>
      <c r="BO50" s="4">
        <f>COUNTA(Tabla25[[#This Row],[(1)SOLICITUD DE  APERTURA FIRNANCIERA Y PRESUPUESTO 1 (FECHA) ]:[(15) FECHA DE CONTRATACIÓN ADMINISTRATIVO]])</f>
        <v>15</v>
      </c>
      <c r="BP50" s="26">
        <f>Tabla25[[#This Row],[NUMERO OK]]/15</f>
        <v>1</v>
      </c>
      <c r="BQ50" s="4" t="str">
        <f t="shared" ca="1" si="19"/>
        <v>Cumplido</v>
      </c>
      <c r="BR50" s="4" t="s">
        <v>37</v>
      </c>
      <c r="BS50" s="9"/>
      <c r="BZ50" s="8"/>
    </row>
    <row r="51" spans="1:78" ht="199.5">
      <c r="A51" s="89">
        <v>2024</v>
      </c>
      <c r="B51" s="90" t="s">
        <v>959</v>
      </c>
      <c r="C51" s="153" t="s">
        <v>333</v>
      </c>
      <c r="D51" s="92">
        <v>6879</v>
      </c>
      <c r="E51" s="92">
        <v>2910907367</v>
      </c>
      <c r="F51" s="44" t="s">
        <v>167</v>
      </c>
      <c r="G51" s="155" t="s">
        <v>1294</v>
      </c>
      <c r="H51" s="4" t="s">
        <v>142</v>
      </c>
      <c r="I51" s="35" t="s">
        <v>958</v>
      </c>
      <c r="J51" s="4" t="s">
        <v>14</v>
      </c>
      <c r="K51" s="4">
        <f t="shared" si="12"/>
        <v>5</v>
      </c>
      <c r="L51" s="4" t="str">
        <f t="shared" si="13"/>
        <v/>
      </c>
      <c r="M51" s="4">
        <f t="shared" si="14"/>
        <v>6</v>
      </c>
      <c r="N51" s="10"/>
      <c r="O51" s="107">
        <v>45635</v>
      </c>
      <c r="P51" s="98">
        <v>45698</v>
      </c>
      <c r="Q51" s="99">
        <f t="shared" si="15"/>
        <v>4.5041095890410956</v>
      </c>
      <c r="R51" s="44">
        <v>107</v>
      </c>
      <c r="S51" s="44">
        <v>0</v>
      </c>
      <c r="T51" s="92">
        <v>30</v>
      </c>
      <c r="U51" s="92">
        <f t="shared" ca="1" si="4"/>
        <v>202</v>
      </c>
      <c r="V51" s="98">
        <f t="shared" si="16"/>
        <v>45835</v>
      </c>
      <c r="W51" s="89" t="s">
        <v>97</v>
      </c>
      <c r="X51" s="44" t="s">
        <v>1295</v>
      </c>
      <c r="Y51" s="100" t="s">
        <v>33</v>
      </c>
      <c r="Z51" s="101">
        <v>0</v>
      </c>
      <c r="AA51" s="101">
        <v>0</v>
      </c>
      <c r="AB51" s="101">
        <v>0</v>
      </c>
      <c r="AC51" s="101">
        <v>0</v>
      </c>
      <c r="AD51" s="102">
        <f t="shared" si="17"/>
        <v>0</v>
      </c>
      <c r="AE51" s="103">
        <f t="shared" si="20"/>
        <v>0</v>
      </c>
      <c r="AF51" s="44" t="s">
        <v>960</v>
      </c>
      <c r="AG51" s="29" t="s">
        <v>961</v>
      </c>
      <c r="AH51" s="44" t="s">
        <v>22</v>
      </c>
      <c r="AI51" s="29" t="s">
        <v>23</v>
      </c>
      <c r="AJ51" s="89" t="s">
        <v>17</v>
      </c>
      <c r="AK51" s="44" t="s">
        <v>24</v>
      </c>
      <c r="AL51" s="44" t="s">
        <v>24</v>
      </c>
      <c r="AM51" s="44" t="s">
        <v>17</v>
      </c>
      <c r="AN51" s="44" t="s">
        <v>17</v>
      </c>
      <c r="AO51" s="44" t="s">
        <v>24</v>
      </c>
      <c r="AP51" s="44" t="s">
        <v>24</v>
      </c>
      <c r="AQ51" s="44" t="s">
        <v>24</v>
      </c>
      <c r="AR51" s="44" t="s">
        <v>24</v>
      </c>
      <c r="AS51" s="44" t="s">
        <v>24</v>
      </c>
      <c r="AT51" s="44" t="s">
        <v>24</v>
      </c>
      <c r="AU51" s="105" t="s">
        <v>1296</v>
      </c>
      <c r="AV51" s="44" cm="1">
        <f t="array" ref="AV51">SUMPRODUCT((AJ51:AT51&lt;&gt;"Pendiente")*(AJ51:AT51&lt;&gt;""))</f>
        <v>11</v>
      </c>
      <c r="AW51" s="44">
        <f>COUNTA(Tabla25[[#This Row],[INVITACIÓN]:[ACTA DE INICIO]])</f>
        <v>11</v>
      </c>
      <c r="AX51" s="106">
        <f t="shared" si="18"/>
        <v>1</v>
      </c>
      <c r="AY51" s="47">
        <v>45644</v>
      </c>
      <c r="AZ51" s="10">
        <v>45693</v>
      </c>
      <c r="BA51" s="10">
        <v>45686</v>
      </c>
      <c r="BB51" s="10">
        <v>45681</v>
      </c>
      <c r="BC51" s="4" t="s">
        <v>963</v>
      </c>
      <c r="BD51" s="4" t="s">
        <v>964</v>
      </c>
      <c r="BE51" s="4" t="s">
        <v>965</v>
      </c>
      <c r="BF51" s="10">
        <v>45721</v>
      </c>
      <c r="BG51" s="73">
        <v>45749</v>
      </c>
      <c r="BH51" s="4" t="s">
        <v>966</v>
      </c>
      <c r="BI51" s="10">
        <v>45321</v>
      </c>
      <c r="BJ51" s="10">
        <v>45699</v>
      </c>
      <c r="BK51" s="10">
        <v>45745</v>
      </c>
      <c r="BL51" s="60">
        <v>45749</v>
      </c>
      <c r="BM51" s="60">
        <v>45749</v>
      </c>
      <c r="BN51" s="60">
        <v>45753</v>
      </c>
      <c r="BO51" s="4">
        <f>COUNTA(Tabla25[[#This Row],[(1)SOLICITUD DE  APERTURA FIRNANCIERA Y PRESUPUESTO 1 (FECHA) ]:[(15) FECHA DE CONTRATACIÓN ADMINISTRATIVO]])</f>
        <v>15</v>
      </c>
      <c r="BP51" s="26">
        <f>Tabla25[[#This Row],[NUMERO OK]]/15</f>
        <v>1</v>
      </c>
      <c r="BQ51" s="4" t="str">
        <f t="shared" ca="1" si="19"/>
        <v>Cumplido</v>
      </c>
      <c r="BS51" s="9"/>
      <c r="BZ51" s="8"/>
    </row>
    <row r="52" spans="1:78" ht="99.75">
      <c r="A52" s="89">
        <v>2024</v>
      </c>
      <c r="B52" s="90" t="s">
        <v>1014</v>
      </c>
      <c r="C52" s="91" t="s">
        <v>1006</v>
      </c>
      <c r="D52" s="92">
        <v>6891</v>
      </c>
      <c r="E52" s="92">
        <v>2910907371</v>
      </c>
      <c r="F52" s="44" t="s">
        <v>167</v>
      </c>
      <c r="G52" s="155" t="s">
        <v>1297</v>
      </c>
      <c r="H52" s="4" t="s">
        <v>131</v>
      </c>
      <c r="I52" s="35" t="s">
        <v>100</v>
      </c>
      <c r="J52" s="4" t="s">
        <v>14</v>
      </c>
      <c r="K52" s="4">
        <f t="shared" si="12"/>
        <v>3</v>
      </c>
      <c r="L52" s="4">
        <f t="shared" si="13"/>
        <v>3</v>
      </c>
      <c r="M52" s="4">
        <f t="shared" si="14"/>
        <v>6</v>
      </c>
      <c r="N52" s="10"/>
      <c r="O52" s="107">
        <v>45652</v>
      </c>
      <c r="P52" s="98">
        <v>45691</v>
      </c>
      <c r="Q52" s="99">
        <f t="shared" si="15"/>
        <v>7.9232876712328766</v>
      </c>
      <c r="R52" s="44">
        <v>241</v>
      </c>
      <c r="S52" s="44">
        <v>0</v>
      </c>
      <c r="T52" s="92">
        <v>0</v>
      </c>
      <c r="U52" s="92">
        <f t="shared" ca="1" si="4"/>
        <v>179</v>
      </c>
      <c r="V52" s="98">
        <f t="shared" si="16"/>
        <v>45932</v>
      </c>
      <c r="W52" s="89" t="s">
        <v>97</v>
      </c>
      <c r="X52" s="44" t="str">
        <f t="shared" ref="X52:X83" ca="1" si="21">IF(V52="", "SUSCRITO", IF(V52&lt;=TODAY(), "FINALIZADO", "EN EJECUCIÓN"))</f>
        <v>EN EJECUCIÓN</v>
      </c>
      <c r="Y52" s="100" t="s">
        <v>99</v>
      </c>
      <c r="Z52" s="101">
        <v>2438185998</v>
      </c>
      <c r="AA52" s="101">
        <v>0</v>
      </c>
      <c r="AB52" s="101">
        <v>0</v>
      </c>
      <c r="AC52" s="101">
        <v>0</v>
      </c>
      <c r="AD52" s="102">
        <f t="shared" si="17"/>
        <v>2438185998</v>
      </c>
      <c r="AE52" s="103">
        <f t="shared" si="20"/>
        <v>261234214.07142854</v>
      </c>
      <c r="AF52" s="44" t="s">
        <v>1015</v>
      </c>
      <c r="AG52" s="29" t="s">
        <v>1016</v>
      </c>
      <c r="AH52" s="44" t="s">
        <v>22</v>
      </c>
      <c r="AI52" s="29" t="s">
        <v>23</v>
      </c>
      <c r="AJ52" s="89" t="s">
        <v>17</v>
      </c>
      <c r="AK52" s="44" t="s">
        <v>24</v>
      </c>
      <c r="AL52" s="44" t="s">
        <v>24</v>
      </c>
      <c r="AM52" s="44" t="s">
        <v>17</v>
      </c>
      <c r="AN52" s="44" t="s">
        <v>17</v>
      </c>
      <c r="AO52" s="44" t="s">
        <v>24</v>
      </c>
      <c r="AP52" s="44" t="s">
        <v>24</v>
      </c>
      <c r="AQ52" s="44" t="s">
        <v>24</v>
      </c>
      <c r="AR52" s="44" t="s">
        <v>24</v>
      </c>
      <c r="AS52" s="44" t="s">
        <v>24</v>
      </c>
      <c r="AT52" s="44" t="s">
        <v>24</v>
      </c>
      <c r="AU52" s="105" t="s">
        <v>1009</v>
      </c>
      <c r="AV52" s="44" cm="1">
        <f t="array" ref="AV52">SUMPRODUCT((AJ52:AT52&lt;&gt;"Pendiente")*(AJ52:AT52&lt;&gt;""))</f>
        <v>11</v>
      </c>
      <c r="AW52" s="44">
        <f>COUNTA(Tabla25[[#This Row],[INVITACIÓN]:[ACTA DE INICIO]])</f>
        <v>11</v>
      </c>
      <c r="AX52" s="106">
        <f t="shared" si="18"/>
        <v>1</v>
      </c>
      <c r="AY52" s="47">
        <v>45667</v>
      </c>
      <c r="AZ52" s="10">
        <v>45701</v>
      </c>
      <c r="BA52" s="10">
        <v>45715</v>
      </c>
      <c r="BB52" s="10">
        <v>45705</v>
      </c>
      <c r="BC52" s="4" t="s">
        <v>1298</v>
      </c>
      <c r="BD52" s="4" t="s">
        <v>1018</v>
      </c>
      <c r="BE52" s="4" t="s">
        <v>1019</v>
      </c>
      <c r="BF52" s="10">
        <v>45693</v>
      </c>
      <c r="BG52" s="10">
        <v>45695</v>
      </c>
      <c r="BH52" s="4" t="s">
        <v>1020</v>
      </c>
      <c r="BI52" s="10">
        <v>45719</v>
      </c>
      <c r="BJ52" s="10">
        <v>45733</v>
      </c>
      <c r="BK52" s="10">
        <v>45736</v>
      </c>
      <c r="BL52" s="10">
        <v>45736</v>
      </c>
      <c r="BM52" s="10">
        <v>45736</v>
      </c>
      <c r="BN52" s="4" t="s">
        <v>1021</v>
      </c>
      <c r="BO52" s="4">
        <f>COUNTA(Tabla25[[#This Row],[(1)SOLICITUD DE  APERTURA FIRNANCIERA Y PRESUPUESTO 1 (FECHA) ]:[(15) FECHA DE CONTRATACIÓN ADMINISTRATIVO]])</f>
        <v>15</v>
      </c>
      <c r="BP52" s="26">
        <f>Tabla25[[#This Row],[NUMERO OK]]/15</f>
        <v>1</v>
      </c>
      <c r="BQ52" s="4" t="str">
        <f t="shared" ca="1" si="19"/>
        <v>Cumplido</v>
      </c>
      <c r="BR52" s="4" t="s">
        <v>25</v>
      </c>
      <c r="BS52" s="9"/>
      <c r="BZ52" s="8"/>
    </row>
    <row r="53" spans="1:78" ht="60">
      <c r="A53" s="89">
        <v>2024</v>
      </c>
      <c r="B53" s="90" t="s">
        <v>1030</v>
      </c>
      <c r="C53" s="91" t="s">
        <v>1023</v>
      </c>
      <c r="D53" s="92">
        <v>6888</v>
      </c>
      <c r="E53" s="92">
        <v>2910907370</v>
      </c>
      <c r="F53" s="44" t="s">
        <v>167</v>
      </c>
      <c r="G53" s="155" t="s">
        <v>1299</v>
      </c>
      <c r="H53" s="4" t="s">
        <v>131</v>
      </c>
      <c r="I53" s="35" t="s">
        <v>958</v>
      </c>
      <c r="K53" s="4">
        <f t="shared" si="12"/>
        <v>3</v>
      </c>
      <c r="L53" s="4">
        <f t="shared" si="13"/>
        <v>3</v>
      </c>
      <c r="M53" s="4">
        <f t="shared" si="14"/>
        <v>6</v>
      </c>
      <c r="N53" s="10"/>
      <c r="O53" s="107">
        <v>45652</v>
      </c>
      <c r="P53" s="98">
        <v>45693</v>
      </c>
      <c r="Q53" s="99">
        <f t="shared" si="15"/>
        <v>9.9287671232876704</v>
      </c>
      <c r="R53" s="44">
        <v>302</v>
      </c>
      <c r="S53" s="44">
        <v>0</v>
      </c>
      <c r="T53" s="92">
        <v>0</v>
      </c>
      <c r="U53" s="92">
        <f t="shared" ca="1" si="4"/>
        <v>177</v>
      </c>
      <c r="V53" s="98">
        <f t="shared" si="16"/>
        <v>45995</v>
      </c>
      <c r="W53" s="89" t="s">
        <v>97</v>
      </c>
      <c r="X53" s="44" t="str">
        <f t="shared" ca="1" si="21"/>
        <v>EN EJECUCIÓN</v>
      </c>
      <c r="Y53" s="100" t="s">
        <v>54</v>
      </c>
      <c r="Z53" s="101">
        <v>2400000000</v>
      </c>
      <c r="AA53" s="101">
        <v>0</v>
      </c>
      <c r="AB53" s="101">
        <v>0</v>
      </c>
      <c r="AC53" s="101">
        <v>0</v>
      </c>
      <c r="AD53" s="102">
        <f t="shared" si="17"/>
        <v>2400000000</v>
      </c>
      <c r="AE53" s="103">
        <f t="shared" si="20"/>
        <v>257142857.1428571</v>
      </c>
      <c r="AF53" s="44" t="s">
        <v>1031</v>
      </c>
      <c r="AG53" s="29" t="s">
        <v>1032</v>
      </c>
      <c r="AH53" s="44" t="s">
        <v>22</v>
      </c>
      <c r="AI53" s="29" t="s">
        <v>23</v>
      </c>
      <c r="AJ53" s="89" t="s">
        <v>24</v>
      </c>
      <c r="AK53" s="44" t="s">
        <v>24</v>
      </c>
      <c r="AL53" s="44" t="s">
        <v>24</v>
      </c>
      <c r="AM53" s="44" t="s">
        <v>17</v>
      </c>
      <c r="AN53" s="44" t="s">
        <v>17</v>
      </c>
      <c r="AO53" s="44" t="s">
        <v>24</v>
      </c>
      <c r="AP53" s="44" t="s">
        <v>24</v>
      </c>
      <c r="AQ53" s="44" t="s">
        <v>24</v>
      </c>
      <c r="AR53" s="44" t="s">
        <v>24</v>
      </c>
      <c r="AS53" s="44" t="s">
        <v>24</v>
      </c>
      <c r="AT53" s="44" t="s">
        <v>24</v>
      </c>
      <c r="AU53" s="105" t="s">
        <v>981</v>
      </c>
      <c r="AV53" s="44" cm="1">
        <f t="array" ref="AV53">SUMPRODUCT((AJ53:AT53&lt;&gt;"Pendiente")*(AJ53:AT53&lt;&gt;""))</f>
        <v>11</v>
      </c>
      <c r="AW53" s="44">
        <f>COUNTA(Tabla25[[#This Row],[INVITACIÓN]:[ACTA DE INICIO]])</f>
        <v>11</v>
      </c>
      <c r="AX53" s="106">
        <f t="shared" si="18"/>
        <v>1</v>
      </c>
      <c r="AY53" s="47">
        <v>45667</v>
      </c>
      <c r="AZ53" s="10">
        <v>45693</v>
      </c>
      <c r="BA53" s="10">
        <v>45715</v>
      </c>
      <c r="BB53" s="10">
        <v>45705</v>
      </c>
      <c r="BC53" s="4" t="s">
        <v>1033</v>
      </c>
      <c r="BD53" s="4" t="s">
        <v>1034</v>
      </c>
      <c r="BE53" s="4" t="s">
        <v>1035</v>
      </c>
      <c r="BF53" s="10">
        <v>45681</v>
      </c>
      <c r="BG53" s="10">
        <v>45692</v>
      </c>
      <c r="BH53" s="4" t="s">
        <v>1036</v>
      </c>
      <c r="BI53" s="10">
        <v>45721</v>
      </c>
      <c r="BJ53" s="10">
        <v>45356</v>
      </c>
      <c r="BK53" s="10">
        <v>45356</v>
      </c>
      <c r="BL53" s="59">
        <v>45362</v>
      </c>
      <c r="BM53" s="59">
        <v>45362</v>
      </c>
      <c r="BN53" s="4" t="s">
        <v>976</v>
      </c>
      <c r="BO53" s="4">
        <f>COUNTA(Tabla25[[#This Row],[(1)SOLICITUD DE  APERTURA FIRNANCIERA Y PRESUPUESTO 1 (FECHA) ]:[(15) FECHA DE CONTRATACIÓN ADMINISTRATIVO]])</f>
        <v>15</v>
      </c>
      <c r="BP53" s="26">
        <f>Tabla25[[#This Row],[NUMERO OK]]/15</f>
        <v>1</v>
      </c>
      <c r="BQ53" s="4" t="str">
        <f t="shared" ca="1" si="19"/>
        <v>Cumplido</v>
      </c>
      <c r="BS53" s="9"/>
      <c r="BZ53" s="8"/>
    </row>
    <row r="54" spans="1:78" ht="57">
      <c r="A54" s="89">
        <v>2025</v>
      </c>
      <c r="B54" s="90" t="s">
        <v>1120</v>
      </c>
      <c r="C54" s="91" t="s">
        <v>584</v>
      </c>
      <c r="D54" s="44">
        <v>6906</v>
      </c>
      <c r="E54" s="44">
        <v>2910907379</v>
      </c>
      <c r="F54" s="44" t="s">
        <v>67</v>
      </c>
      <c r="G54" s="155" t="s">
        <v>1300</v>
      </c>
      <c r="H54" s="4" t="s">
        <v>139</v>
      </c>
      <c r="I54" s="35" t="s">
        <v>958</v>
      </c>
      <c r="J54" s="4" t="s">
        <v>14</v>
      </c>
      <c r="K54" s="4">
        <f t="shared" si="12"/>
        <v>5</v>
      </c>
      <c r="L54" s="4">
        <f t="shared" si="13"/>
        <v>1</v>
      </c>
      <c r="M54" s="4">
        <f t="shared" si="14"/>
        <v>6</v>
      </c>
      <c r="N54" s="10"/>
      <c r="O54" s="97">
        <v>45733</v>
      </c>
      <c r="P54" s="98">
        <v>45747</v>
      </c>
      <c r="Q54" s="99">
        <f t="shared" si="15"/>
        <v>1.9726027397260273</v>
      </c>
      <c r="R54" s="44">
        <v>60</v>
      </c>
      <c r="S54" s="44">
        <v>0</v>
      </c>
      <c r="T54" s="92">
        <v>0</v>
      </c>
      <c r="U54" s="92">
        <f t="shared" ca="1" si="4"/>
        <v>123</v>
      </c>
      <c r="V54" s="98">
        <f t="shared" si="16"/>
        <v>45807</v>
      </c>
      <c r="W54" s="89" t="s">
        <v>97</v>
      </c>
      <c r="X54" s="44" t="str">
        <f t="shared" ca="1" si="21"/>
        <v>FINALIZADO</v>
      </c>
      <c r="Y54" s="100" t="s">
        <v>21</v>
      </c>
      <c r="Z54" s="101">
        <v>18000000</v>
      </c>
      <c r="AA54" s="101">
        <v>0</v>
      </c>
      <c r="AB54" s="101">
        <v>0</v>
      </c>
      <c r="AC54" s="101">
        <v>0</v>
      </c>
      <c r="AD54" s="102">
        <f t="shared" si="17"/>
        <v>18000000</v>
      </c>
      <c r="AE54" s="103">
        <f t="shared" si="20"/>
        <v>1928571.4285714284</v>
      </c>
      <c r="AF54" s="44" t="s">
        <v>1121</v>
      </c>
      <c r="AG54" s="29" t="s">
        <v>1122</v>
      </c>
      <c r="AH54" s="44" t="s">
        <v>22</v>
      </c>
      <c r="AI54" s="29" t="s">
        <v>23</v>
      </c>
      <c r="AJ54" s="89" t="s">
        <v>24</v>
      </c>
      <c r="AK54" s="44" t="s">
        <v>24</v>
      </c>
      <c r="AL54" s="44" t="s">
        <v>17</v>
      </c>
      <c r="AM54" s="44" t="s">
        <v>17</v>
      </c>
      <c r="AN54" s="44" t="s">
        <v>17</v>
      </c>
      <c r="AO54" s="44" t="s">
        <v>24</v>
      </c>
      <c r="AP54" s="44" t="s">
        <v>24</v>
      </c>
      <c r="AQ54" s="44" t="s">
        <v>24</v>
      </c>
      <c r="AR54" s="44" t="s">
        <v>24</v>
      </c>
      <c r="AS54" s="44" t="s">
        <v>24</v>
      </c>
      <c r="AT54" s="44" t="s">
        <v>24</v>
      </c>
      <c r="AU54" s="105" t="s">
        <v>192</v>
      </c>
      <c r="AV54" s="44" cm="1">
        <f t="array" ref="AV54">SUMPRODUCT((AJ54:AT54&lt;&gt;"Pendiente")*(AJ54:AT54&lt;&gt;""))</f>
        <v>11</v>
      </c>
      <c r="AW54" s="44">
        <f>COUNTA(Tabla25[[#This Row],[INVITACIÓN]:[ACTA DE INICIO]])</f>
        <v>11</v>
      </c>
      <c r="AX54" s="106">
        <f t="shared" si="18"/>
        <v>1</v>
      </c>
      <c r="AY54" s="47">
        <v>45736</v>
      </c>
      <c r="AZ54" s="10">
        <v>45741</v>
      </c>
      <c r="BA54" s="10">
        <v>45737</v>
      </c>
      <c r="BB54" s="59">
        <v>45747</v>
      </c>
      <c r="BC54" s="4" t="s">
        <v>1124</v>
      </c>
      <c r="BD54" s="87" t="s">
        <v>1125</v>
      </c>
      <c r="BE54" s="4" t="s">
        <v>1074</v>
      </c>
      <c r="BF54" s="10">
        <v>45754</v>
      </c>
      <c r="BG54" s="10">
        <v>45755</v>
      </c>
      <c r="BH54" s="4" t="s">
        <v>1301</v>
      </c>
      <c r="BI54" s="59">
        <v>45750</v>
      </c>
      <c r="BJ54" s="10">
        <v>45747</v>
      </c>
      <c r="BK54" s="4" t="s">
        <v>832</v>
      </c>
      <c r="BL54" s="10">
        <v>45755</v>
      </c>
      <c r="BM54" s="4" t="s">
        <v>832</v>
      </c>
      <c r="BN54" s="4" t="s">
        <v>976</v>
      </c>
      <c r="BO54" s="4">
        <f>COUNTA(Tabla25[[#This Row],[(1)SOLICITUD DE  APERTURA FIRNANCIERA Y PRESUPUESTO 1 (FECHA) ]:[(15) FECHA DE CONTRATACIÓN ADMINISTRATIVO]])</f>
        <v>15</v>
      </c>
      <c r="BP54" s="26">
        <f>Tabla25[[#This Row],[NUMERO OK]]/15</f>
        <v>1</v>
      </c>
      <c r="BQ54" s="4" t="str">
        <f t="shared" ca="1" si="19"/>
        <v>Cumplido</v>
      </c>
      <c r="BS54" s="9"/>
      <c r="BZ54" s="8"/>
    </row>
    <row r="55" spans="1:78" ht="57">
      <c r="A55" s="89">
        <v>2025</v>
      </c>
      <c r="B55" s="90" t="s">
        <v>1133</v>
      </c>
      <c r="C55" s="91" t="s">
        <v>1134</v>
      </c>
      <c r="D55" s="44">
        <v>6908</v>
      </c>
      <c r="E55" s="44">
        <v>2910907380</v>
      </c>
      <c r="F55" s="44" t="s">
        <v>67</v>
      </c>
      <c r="G55" s="155" t="s">
        <v>1302</v>
      </c>
      <c r="H55" s="4" t="s">
        <v>145</v>
      </c>
      <c r="I55" s="4" t="s">
        <v>100</v>
      </c>
      <c r="J55" s="4" t="s">
        <v>64</v>
      </c>
      <c r="K55" s="4">
        <f t="shared" si="12"/>
        <v>3</v>
      </c>
      <c r="L55" s="4">
        <f t="shared" si="13"/>
        <v>3</v>
      </c>
      <c r="M55" s="4">
        <f t="shared" si="14"/>
        <v>6</v>
      </c>
      <c r="N55" s="10"/>
      <c r="O55" s="97">
        <v>45737</v>
      </c>
      <c r="P55" s="98">
        <v>45747</v>
      </c>
      <c r="Q55" s="99">
        <f t="shared" si="15"/>
        <v>9.0410958904109577</v>
      </c>
      <c r="R55" s="44">
        <v>275</v>
      </c>
      <c r="S55" s="44">
        <v>0</v>
      </c>
      <c r="T55" s="92">
        <v>0</v>
      </c>
      <c r="U55" s="92">
        <f t="shared" ca="1" si="4"/>
        <v>123</v>
      </c>
      <c r="V55" s="98">
        <f t="shared" si="16"/>
        <v>46022</v>
      </c>
      <c r="W55" s="89" t="s">
        <v>74</v>
      </c>
      <c r="X55" s="44" t="str">
        <f t="shared" ca="1" si="21"/>
        <v>EN EJECUCIÓN</v>
      </c>
      <c r="Y55" s="100" t="s">
        <v>21</v>
      </c>
      <c r="Z55" s="101">
        <v>1991969000</v>
      </c>
      <c r="AA55" s="101">
        <v>0</v>
      </c>
      <c r="AB55" s="101">
        <v>0</v>
      </c>
      <c r="AC55" s="101">
        <v>0</v>
      </c>
      <c r="AD55" s="102">
        <f t="shared" si="17"/>
        <v>1991969000</v>
      </c>
      <c r="AE55" s="103">
        <f t="shared" si="20"/>
        <v>213425249.99999997</v>
      </c>
      <c r="AF55" s="44" t="s">
        <v>1135</v>
      </c>
      <c r="AG55" s="44" t="s">
        <v>1136</v>
      </c>
      <c r="AH55" s="44" t="s">
        <v>22</v>
      </c>
      <c r="AI55" s="29" t="s">
        <v>23</v>
      </c>
      <c r="AJ55" s="89" t="s">
        <v>17</v>
      </c>
      <c r="AK55" s="44" t="s">
        <v>24</v>
      </c>
      <c r="AL55" s="44" t="s">
        <v>24</v>
      </c>
      <c r="AM55" s="44" t="s">
        <v>36</v>
      </c>
      <c r="AN55" s="44" t="s">
        <v>24</v>
      </c>
      <c r="AO55" s="44" t="s">
        <v>24</v>
      </c>
      <c r="AP55" s="44" t="s">
        <v>24</v>
      </c>
      <c r="AQ55" s="44" t="s">
        <v>24</v>
      </c>
      <c r="AR55" s="44" t="s">
        <v>24</v>
      </c>
      <c r="AS55" s="44" t="s">
        <v>24</v>
      </c>
      <c r="AT55" s="44" t="s">
        <v>24</v>
      </c>
      <c r="AU55" s="105" t="s">
        <v>192</v>
      </c>
      <c r="AV55" s="44" cm="1">
        <f t="array" ref="AV55">SUMPRODUCT((AJ55:AT55&lt;&gt;"Pendiente")*(AJ55:AT55&lt;&gt;""))</f>
        <v>10</v>
      </c>
      <c r="AW55" s="44">
        <f>COUNTA(Tabla25[[#This Row],[INVITACIÓN]:[ACTA DE INICIO]])</f>
        <v>11</v>
      </c>
      <c r="AX55" s="106">
        <f t="shared" si="18"/>
        <v>0.90909090909090906</v>
      </c>
      <c r="AY55" s="47">
        <v>45744</v>
      </c>
      <c r="AZ55" s="10">
        <v>45741</v>
      </c>
      <c r="BA55" s="10">
        <v>45745</v>
      </c>
      <c r="BB55" s="10">
        <v>45751</v>
      </c>
      <c r="BC55" s="4" t="s">
        <v>1303</v>
      </c>
      <c r="BD55" s="4" t="s">
        <v>1140</v>
      </c>
      <c r="BE55" s="4" t="s">
        <v>1304</v>
      </c>
      <c r="BF55" s="10">
        <v>45680</v>
      </c>
      <c r="BG55" s="10">
        <v>45742</v>
      </c>
      <c r="BH55" s="4" t="s">
        <v>1305</v>
      </c>
      <c r="BI55" s="10">
        <v>45752</v>
      </c>
      <c r="BJ55" s="10">
        <v>45762</v>
      </c>
      <c r="BK55" s="10">
        <v>45762</v>
      </c>
      <c r="BL55" s="10">
        <v>45770</v>
      </c>
      <c r="BM55" s="10">
        <v>45758</v>
      </c>
      <c r="BN55" s="10">
        <v>45779</v>
      </c>
      <c r="BO55" s="4">
        <f>COUNTA(Tabla25[[#This Row],[(1)SOLICITUD DE  APERTURA FIRNANCIERA Y PRESUPUESTO 1 (FECHA) ]:[(15) FECHA DE CONTRATACIÓN ADMINISTRATIVO]])</f>
        <v>15</v>
      </c>
      <c r="BP55" s="26">
        <f>Tabla25[[#This Row],[NUMERO OK]]/15</f>
        <v>1</v>
      </c>
      <c r="BQ55" s="4" t="str">
        <f t="shared" ca="1" si="19"/>
        <v>Cumplido</v>
      </c>
      <c r="BS55" s="9"/>
      <c r="BZ55" s="8"/>
    </row>
    <row r="56" spans="1:78" ht="75">
      <c r="A56" s="89">
        <v>2025</v>
      </c>
      <c r="B56" s="90" t="s">
        <v>1126</v>
      </c>
      <c r="C56" s="91" t="s">
        <v>1127</v>
      </c>
      <c r="D56" s="44">
        <v>6909</v>
      </c>
      <c r="E56" s="44">
        <v>2910907381</v>
      </c>
      <c r="F56" s="44" t="s">
        <v>67</v>
      </c>
      <c r="G56" s="155" t="s">
        <v>1306</v>
      </c>
      <c r="H56" s="4" t="s">
        <v>139</v>
      </c>
      <c r="I56" s="35" t="s">
        <v>104</v>
      </c>
      <c r="J56" s="4" t="s">
        <v>38</v>
      </c>
      <c r="K56" s="4">
        <f t="shared" si="12"/>
        <v>3</v>
      </c>
      <c r="L56" s="4">
        <f t="shared" si="13"/>
        <v>3</v>
      </c>
      <c r="M56" s="4">
        <f t="shared" si="14"/>
        <v>6</v>
      </c>
      <c r="N56" s="10"/>
      <c r="O56" s="97">
        <v>45737</v>
      </c>
      <c r="P56" s="98">
        <v>45744</v>
      </c>
      <c r="Q56" s="99">
        <f t="shared" si="15"/>
        <v>8.1205479452054785</v>
      </c>
      <c r="R56" s="44">
        <v>247</v>
      </c>
      <c r="S56" s="44">
        <v>0</v>
      </c>
      <c r="T56" s="92">
        <v>0</v>
      </c>
      <c r="U56" s="92">
        <f t="shared" ca="1" si="4"/>
        <v>126</v>
      </c>
      <c r="V56" s="98">
        <f t="shared" si="16"/>
        <v>45991</v>
      </c>
      <c r="W56" s="89" t="s">
        <v>97</v>
      </c>
      <c r="X56" s="44" t="str">
        <f t="shared" ca="1" si="21"/>
        <v>EN EJECUCIÓN</v>
      </c>
      <c r="Y56" s="100" t="s">
        <v>93</v>
      </c>
      <c r="Z56" s="101">
        <v>696050000</v>
      </c>
      <c r="AA56" s="101">
        <v>0</v>
      </c>
      <c r="AB56" s="101">
        <v>0</v>
      </c>
      <c r="AC56" s="101">
        <v>0</v>
      </c>
      <c r="AD56" s="102">
        <f t="shared" si="17"/>
        <v>696050000</v>
      </c>
      <c r="AE56" s="103">
        <f t="shared" si="20"/>
        <v>74576785.714285702</v>
      </c>
      <c r="AF56" s="44" t="s">
        <v>1128</v>
      </c>
      <c r="AG56" s="44" t="s">
        <v>1129</v>
      </c>
      <c r="AH56" s="44" t="s">
        <v>22</v>
      </c>
      <c r="AI56" s="29" t="s">
        <v>23</v>
      </c>
      <c r="AJ56" s="89" t="s">
        <v>17</v>
      </c>
      <c r="AK56" s="44" t="s">
        <v>24</v>
      </c>
      <c r="AL56" s="44" t="s">
        <v>17</v>
      </c>
      <c r="AM56" s="44" t="s">
        <v>36</v>
      </c>
      <c r="AN56" s="44" t="s">
        <v>17</v>
      </c>
      <c r="AO56" s="44" t="s">
        <v>24</v>
      </c>
      <c r="AP56" s="44" t="s">
        <v>24</v>
      </c>
      <c r="AQ56" s="44" t="s">
        <v>24</v>
      </c>
      <c r="AR56" s="44" t="s">
        <v>24</v>
      </c>
      <c r="AS56" s="44" t="s">
        <v>24</v>
      </c>
      <c r="AT56" s="44" t="s">
        <v>24</v>
      </c>
      <c r="AU56" s="105" t="s">
        <v>192</v>
      </c>
      <c r="AV56" s="44" cm="1">
        <f t="array" ref="AV56">SUMPRODUCT((AJ56:AT56&lt;&gt;"Pendiente")*(AJ56:AT56&lt;&gt;""))</f>
        <v>10</v>
      </c>
      <c r="AW56" s="44">
        <f>COUNTA(Tabla25[[#This Row],[INVITACIÓN]:[ACTA DE INICIO]])</f>
        <v>11</v>
      </c>
      <c r="AX56" s="106">
        <f t="shared" si="18"/>
        <v>0.90909090909090906</v>
      </c>
      <c r="AY56" s="47">
        <v>45744</v>
      </c>
      <c r="AZ56" s="10">
        <v>45741</v>
      </c>
      <c r="BA56" s="10">
        <v>45743</v>
      </c>
      <c r="BB56" s="10">
        <v>45742</v>
      </c>
      <c r="BC56" s="4" t="s">
        <v>1130</v>
      </c>
      <c r="BD56" s="4" t="s">
        <v>1307</v>
      </c>
      <c r="BE56" s="4" t="s">
        <v>832</v>
      </c>
      <c r="BF56" s="10">
        <v>45720</v>
      </c>
      <c r="BG56" s="10">
        <v>45736</v>
      </c>
      <c r="BH56" s="4" t="s">
        <v>1308</v>
      </c>
      <c r="BI56" s="10">
        <v>45749</v>
      </c>
      <c r="BJ56" s="10">
        <v>45751</v>
      </c>
      <c r="BK56" s="4" t="s">
        <v>832</v>
      </c>
      <c r="BL56" s="10">
        <v>45755</v>
      </c>
      <c r="BM56" s="4" t="s">
        <v>832</v>
      </c>
      <c r="BN56" s="10">
        <v>45785</v>
      </c>
      <c r="BO56" s="4">
        <f>COUNTA(Tabla25[[#This Row],[(1)SOLICITUD DE  APERTURA FIRNANCIERA Y PRESUPUESTO 1 (FECHA) ]:[(15) FECHA DE CONTRATACIÓN ADMINISTRATIVO]])</f>
        <v>15</v>
      </c>
      <c r="BP56" s="26">
        <f>Tabla25[[#This Row],[NUMERO OK]]/15</f>
        <v>1</v>
      </c>
      <c r="BQ56" s="4" t="str">
        <f t="shared" ca="1" si="19"/>
        <v>Cumplido</v>
      </c>
      <c r="BS56" s="9"/>
      <c r="BZ56" s="8"/>
    </row>
    <row r="57" spans="1:78" ht="71.25">
      <c r="A57" s="89">
        <v>2025</v>
      </c>
      <c r="B57" s="90">
        <v>7216296</v>
      </c>
      <c r="C57" s="91" t="s">
        <v>603</v>
      </c>
      <c r="D57" s="44">
        <v>6916</v>
      </c>
      <c r="E57" s="44">
        <v>2910907386</v>
      </c>
      <c r="F57" s="44" t="s">
        <v>67</v>
      </c>
      <c r="G57" s="155" t="s">
        <v>1309</v>
      </c>
      <c r="H57" s="4" t="s">
        <v>145</v>
      </c>
      <c r="I57" s="4" t="s">
        <v>100</v>
      </c>
      <c r="J57" s="4" t="s">
        <v>77</v>
      </c>
      <c r="K57" s="4">
        <f t="shared" si="12"/>
        <v>3</v>
      </c>
      <c r="L57" s="4">
        <f t="shared" si="13"/>
        <v>1</v>
      </c>
      <c r="M57" s="4">
        <f t="shared" si="14"/>
        <v>4</v>
      </c>
      <c r="N57" s="10"/>
      <c r="O57" s="97">
        <v>45743</v>
      </c>
      <c r="P57" s="98">
        <v>45777</v>
      </c>
      <c r="Q57" s="99">
        <f t="shared" si="15"/>
        <v>8.0219178082191771</v>
      </c>
      <c r="R57" s="92">
        <v>244</v>
      </c>
      <c r="S57" s="92">
        <v>0</v>
      </c>
      <c r="T57" s="92">
        <v>0</v>
      </c>
      <c r="U57" s="92">
        <f t="shared" ca="1" si="4"/>
        <v>93</v>
      </c>
      <c r="V57" s="98">
        <f t="shared" si="16"/>
        <v>46021</v>
      </c>
      <c r="W57" s="89" t="s">
        <v>74</v>
      </c>
      <c r="X57" s="44" t="str">
        <f t="shared" ca="1" si="21"/>
        <v>EN EJECUCIÓN</v>
      </c>
      <c r="Y57" s="100" t="s">
        <v>93</v>
      </c>
      <c r="Z57" s="101">
        <v>175000000</v>
      </c>
      <c r="AA57" s="101">
        <v>0</v>
      </c>
      <c r="AB57" s="101">
        <v>0</v>
      </c>
      <c r="AC57" s="101">
        <v>0</v>
      </c>
      <c r="AD57" s="102">
        <f t="shared" si="17"/>
        <v>175000000</v>
      </c>
      <c r="AE57" s="103">
        <f t="shared" si="20"/>
        <v>18750000</v>
      </c>
      <c r="AF57" s="44" t="s">
        <v>1310</v>
      </c>
      <c r="AG57" s="44" t="s">
        <v>1311</v>
      </c>
      <c r="AH57" s="44" t="s">
        <v>22</v>
      </c>
      <c r="AI57" s="44" t="s">
        <v>23</v>
      </c>
      <c r="AJ57" s="89" t="s">
        <v>17</v>
      </c>
      <c r="AK57" s="44" t="s">
        <v>24</v>
      </c>
      <c r="AL57" s="44" t="s">
        <v>24</v>
      </c>
      <c r="AM57" s="44" t="s">
        <v>36</v>
      </c>
      <c r="AN57" s="44" t="s">
        <v>24</v>
      </c>
      <c r="AO57" s="44" t="s">
        <v>24</v>
      </c>
      <c r="AP57" s="44" t="s">
        <v>24</v>
      </c>
      <c r="AQ57" s="44" t="s">
        <v>17</v>
      </c>
      <c r="AR57" s="44" t="s">
        <v>24</v>
      </c>
      <c r="AS57" s="44" t="s">
        <v>24</v>
      </c>
      <c r="AT57" s="44" t="s">
        <v>24</v>
      </c>
      <c r="AU57" s="105" t="s">
        <v>192</v>
      </c>
      <c r="AV57" s="44" cm="1">
        <f t="array" ref="AV57">SUMPRODUCT((AJ57:AT57&lt;&gt;"Pendiente")*(AJ57:AT57&lt;&gt;""))</f>
        <v>10</v>
      </c>
      <c r="AW57" s="44">
        <f>COUNTA(Tabla25[[#This Row],[INVITACIÓN]:[ACTA DE INICIO]])</f>
        <v>11</v>
      </c>
      <c r="AX57" s="106">
        <f t="shared" si="18"/>
        <v>0.90909090909090906</v>
      </c>
      <c r="AY57" s="47">
        <v>45768</v>
      </c>
      <c r="AZ57" s="10">
        <v>45768</v>
      </c>
      <c r="BA57" s="10">
        <v>45770</v>
      </c>
      <c r="BB57" s="10">
        <v>45770</v>
      </c>
      <c r="BC57" s="4" t="s">
        <v>1312</v>
      </c>
      <c r="BD57" s="4" t="s">
        <v>1140</v>
      </c>
      <c r="BE57" s="4" t="s">
        <v>1313</v>
      </c>
      <c r="BF57" s="10">
        <v>45680</v>
      </c>
      <c r="BG57" s="10">
        <v>45777</v>
      </c>
      <c r="BH57" s="4" t="s">
        <v>1314</v>
      </c>
      <c r="BI57" s="10">
        <v>45784</v>
      </c>
      <c r="BJ57" s="10">
        <v>45787</v>
      </c>
      <c r="BK57" s="10">
        <v>45787</v>
      </c>
      <c r="BL57" s="10">
        <v>45793</v>
      </c>
      <c r="BM57" s="10">
        <v>45793</v>
      </c>
      <c r="BN57" s="10">
        <v>45799</v>
      </c>
      <c r="BO57" s="4">
        <f>COUNTA(Tabla25[[#This Row],[(1)SOLICITUD DE  APERTURA FIRNANCIERA Y PRESUPUESTO 1 (FECHA) ]:[(15) FECHA DE CONTRATACIÓN ADMINISTRATIVO]])</f>
        <v>15</v>
      </c>
      <c r="BP57" s="26">
        <f>Tabla25[[#This Row],[NUMERO OK]]/15</f>
        <v>1</v>
      </c>
      <c r="BQ57" s="4" t="str">
        <f t="shared" ca="1" si="19"/>
        <v>Cumplido</v>
      </c>
      <c r="BS57" s="9"/>
      <c r="BZ57" s="8"/>
    </row>
    <row r="58" spans="1:78" ht="75">
      <c r="A58" s="89">
        <v>2025</v>
      </c>
      <c r="B58" s="90" t="s">
        <v>1315</v>
      </c>
      <c r="C58" s="91" t="s">
        <v>1127</v>
      </c>
      <c r="D58" s="44">
        <v>6919</v>
      </c>
      <c r="E58" s="44">
        <v>2910907388</v>
      </c>
      <c r="F58" s="44" t="s">
        <v>67</v>
      </c>
      <c r="G58" s="155" t="s">
        <v>1223</v>
      </c>
      <c r="H58" s="4" t="s">
        <v>139</v>
      </c>
      <c r="I58" s="4" t="s">
        <v>104</v>
      </c>
      <c r="J58" s="4" t="s">
        <v>83</v>
      </c>
      <c r="K58" s="4">
        <f t="shared" si="12"/>
        <v>3</v>
      </c>
      <c r="L58" s="4">
        <f t="shared" si="13"/>
        <v>1</v>
      </c>
      <c r="M58" s="4">
        <f t="shared" si="14"/>
        <v>4</v>
      </c>
      <c r="N58" s="10"/>
      <c r="O58" s="97">
        <v>45777</v>
      </c>
      <c r="P58" s="98">
        <v>45799</v>
      </c>
      <c r="Q58" s="99">
        <f t="shared" si="15"/>
        <v>7.0027397260273974</v>
      </c>
      <c r="R58" s="92">
        <v>213</v>
      </c>
      <c r="S58" s="92">
        <v>0</v>
      </c>
      <c r="T58" s="92">
        <v>0</v>
      </c>
      <c r="U58" s="92">
        <f t="shared" ca="1" si="4"/>
        <v>71</v>
      </c>
      <c r="V58" s="98">
        <f t="shared" si="16"/>
        <v>46012</v>
      </c>
      <c r="W58" s="89" t="s">
        <v>97</v>
      </c>
      <c r="X58" s="44" t="str">
        <f t="shared" ca="1" si="21"/>
        <v>EN EJECUCIÓN</v>
      </c>
      <c r="Y58" s="100" t="s">
        <v>93</v>
      </c>
      <c r="Z58" s="101">
        <v>318000000</v>
      </c>
      <c r="AA58" s="101">
        <v>0</v>
      </c>
      <c r="AB58" s="101">
        <v>0</v>
      </c>
      <c r="AC58" s="101">
        <v>0</v>
      </c>
      <c r="AD58" s="102">
        <f t="shared" si="17"/>
        <v>318000000</v>
      </c>
      <c r="AE58" s="103">
        <f t="shared" si="20"/>
        <v>34071428.571428567</v>
      </c>
      <c r="AF58" s="104" t="s">
        <v>591</v>
      </c>
      <c r="AG58" s="29" t="s">
        <v>1316</v>
      </c>
      <c r="AH58" s="44" t="s">
        <v>22</v>
      </c>
      <c r="AI58" s="29" t="s">
        <v>23</v>
      </c>
      <c r="AJ58" s="89" t="s">
        <v>17</v>
      </c>
      <c r="AK58" s="44" t="s">
        <v>17</v>
      </c>
      <c r="AL58" s="44" t="s">
        <v>24</v>
      </c>
      <c r="AM58" s="44" t="s">
        <v>36</v>
      </c>
      <c r="AN58" s="44" t="s">
        <v>17</v>
      </c>
      <c r="AO58" s="44" t="s">
        <v>24</v>
      </c>
      <c r="AP58" s="44" t="s">
        <v>24</v>
      </c>
      <c r="AQ58" s="44" t="s">
        <v>24</v>
      </c>
      <c r="AR58" s="44" t="s">
        <v>24</v>
      </c>
      <c r="AS58" s="44" t="s">
        <v>24</v>
      </c>
      <c r="AT58" s="44" t="s">
        <v>24</v>
      </c>
      <c r="AU58" s="105" t="s">
        <v>192</v>
      </c>
      <c r="AV58" s="44" cm="1">
        <f t="array" ref="AV58">SUMPRODUCT((AJ58:AT58&lt;&gt;"Pendiente")*(AJ58:AT58&lt;&gt;""))</f>
        <v>10</v>
      </c>
      <c r="AW58" s="44">
        <f>COUNTA(Tabla25[[#This Row],[INVITACIÓN]:[ACTA DE INICIO]])</f>
        <v>11</v>
      </c>
      <c r="AX58" s="106">
        <f t="shared" si="18"/>
        <v>0.90909090909090906</v>
      </c>
      <c r="AY58" s="47">
        <v>45786</v>
      </c>
      <c r="AZ58" s="10">
        <v>45783</v>
      </c>
      <c r="BA58" s="10">
        <v>45811</v>
      </c>
      <c r="BB58" s="10">
        <v>45819</v>
      </c>
      <c r="BC58" s="151" t="s">
        <v>1317</v>
      </c>
      <c r="BD58" s="4" t="s">
        <v>1125</v>
      </c>
      <c r="BE58" s="4" t="s">
        <v>1318</v>
      </c>
      <c r="BF58" s="10">
        <v>45754</v>
      </c>
      <c r="BG58" s="10">
        <v>45799</v>
      </c>
      <c r="BH58" s="4" t="s">
        <v>1319</v>
      </c>
      <c r="BI58" s="10">
        <v>45817</v>
      </c>
      <c r="BJ58" s="10">
        <v>45819</v>
      </c>
      <c r="BK58" s="10">
        <v>45834</v>
      </c>
      <c r="BL58" s="10">
        <v>45821</v>
      </c>
      <c r="BM58" s="10">
        <v>45845</v>
      </c>
      <c r="BN58" s="10">
        <v>45845</v>
      </c>
      <c r="BO58" s="4">
        <f>COUNTA(Tabla25[[#This Row],[(1)SOLICITUD DE  APERTURA FIRNANCIERA Y PRESUPUESTO 1 (FECHA) ]:[(15) FECHA DE CONTRATACIÓN ADMINISTRATIVO]])</f>
        <v>15</v>
      </c>
      <c r="BP58" s="26">
        <f>Tabla25[[#This Row],[NUMERO OK]]/15</f>
        <v>1</v>
      </c>
      <c r="BQ58" s="4" t="str">
        <f t="shared" ca="1" si="19"/>
        <v>Cumplido</v>
      </c>
      <c r="BS58" s="9"/>
      <c r="BZ58" s="8"/>
    </row>
    <row r="59" spans="1:78" ht="85.5">
      <c r="A59" s="89">
        <v>2025</v>
      </c>
      <c r="B59" s="90">
        <v>250366</v>
      </c>
      <c r="C59" s="91" t="s">
        <v>360</v>
      </c>
      <c r="D59" s="44">
        <v>6911</v>
      </c>
      <c r="E59" s="44">
        <v>2453018376</v>
      </c>
      <c r="F59" s="44" t="s">
        <v>79</v>
      </c>
      <c r="G59" s="155" t="s">
        <v>1320</v>
      </c>
      <c r="H59" s="4" t="s">
        <v>145</v>
      </c>
      <c r="I59" s="4" t="s">
        <v>100</v>
      </c>
      <c r="J59" s="4" t="s">
        <v>71</v>
      </c>
      <c r="K59" s="4">
        <f t="shared" si="12"/>
        <v>5</v>
      </c>
      <c r="L59" s="4">
        <f t="shared" si="13"/>
        <v>3</v>
      </c>
      <c r="M59" s="4">
        <f t="shared" si="14"/>
        <v>8</v>
      </c>
      <c r="N59" s="10"/>
      <c r="O59" s="97">
        <v>45749</v>
      </c>
      <c r="P59" s="98">
        <v>45756</v>
      </c>
      <c r="Q59" s="99">
        <f t="shared" si="15"/>
        <v>5.0301369863013701</v>
      </c>
      <c r="R59" s="44">
        <v>153</v>
      </c>
      <c r="S59" s="44">
        <v>0</v>
      </c>
      <c r="T59" s="92">
        <v>0</v>
      </c>
      <c r="U59" s="92">
        <f t="shared" ca="1" si="4"/>
        <v>114</v>
      </c>
      <c r="V59" s="98">
        <f t="shared" si="16"/>
        <v>45909</v>
      </c>
      <c r="W59" s="89" t="s">
        <v>74</v>
      </c>
      <c r="X59" s="44" t="str">
        <f t="shared" ca="1" si="21"/>
        <v>EN EJECUCIÓN</v>
      </c>
      <c r="Y59" s="100" t="s">
        <v>54</v>
      </c>
      <c r="Z59" s="101">
        <v>618838000</v>
      </c>
      <c r="AA59" s="101">
        <v>0</v>
      </c>
      <c r="AB59" s="101">
        <v>61000000</v>
      </c>
      <c r="AC59" s="101">
        <v>0</v>
      </c>
      <c r="AD59" s="102">
        <f t="shared" si="17"/>
        <v>679838000</v>
      </c>
      <c r="AE59" s="103">
        <f t="shared" si="20"/>
        <v>66304071.428571425</v>
      </c>
      <c r="AF59" s="44" t="s">
        <v>616</v>
      </c>
      <c r="AG59" s="44" t="s">
        <v>1149</v>
      </c>
      <c r="AH59" s="44" t="s">
        <v>34</v>
      </c>
      <c r="AI59" s="29" t="s">
        <v>23</v>
      </c>
      <c r="AJ59" s="89" t="s">
        <v>17</v>
      </c>
      <c r="AK59" s="44" t="s">
        <v>24</v>
      </c>
      <c r="AL59" s="44" t="s">
        <v>24</v>
      </c>
      <c r="AM59" s="44" t="s">
        <v>24</v>
      </c>
      <c r="AN59" s="44" t="s">
        <v>24</v>
      </c>
      <c r="AO59" s="44" t="s">
        <v>24</v>
      </c>
      <c r="AP59" s="44" t="s">
        <v>24</v>
      </c>
      <c r="AQ59" s="44" t="s">
        <v>24</v>
      </c>
      <c r="AR59" s="44" t="s">
        <v>24</v>
      </c>
      <c r="AS59" s="44" t="s">
        <v>24</v>
      </c>
      <c r="AT59" s="44" t="s">
        <v>24</v>
      </c>
      <c r="AU59" s="105" t="s">
        <v>192</v>
      </c>
      <c r="AV59" s="44" cm="1">
        <f t="array" ref="AV59">SUMPRODUCT((AJ59:AT59&lt;&gt;"Pendiente")*(AJ59:AT59&lt;&gt;""))</f>
        <v>11</v>
      </c>
      <c r="AW59" s="44">
        <f>COUNTA(Tabla25[[#This Row],[INVITACIÓN]:[ACTA DE INICIO]])</f>
        <v>11</v>
      </c>
      <c r="AX59" s="106">
        <f t="shared" si="18"/>
        <v>1</v>
      </c>
      <c r="AY59" s="47">
        <v>45757</v>
      </c>
      <c r="AZ59" s="10">
        <v>45757</v>
      </c>
      <c r="BA59" s="10">
        <v>45757</v>
      </c>
      <c r="BB59" s="10">
        <v>45761</v>
      </c>
      <c r="BC59" s="4" t="s">
        <v>1321</v>
      </c>
      <c r="BD59" s="4" t="s">
        <v>1140</v>
      </c>
      <c r="BE59" s="4" t="s">
        <v>1322</v>
      </c>
      <c r="BF59" s="10">
        <v>45680</v>
      </c>
      <c r="BG59" s="10">
        <v>45761</v>
      </c>
      <c r="BH59" s="4" t="s">
        <v>1323</v>
      </c>
      <c r="BI59" s="10">
        <v>45763</v>
      </c>
      <c r="BJ59" s="10">
        <v>45771</v>
      </c>
      <c r="BK59" s="10">
        <v>45771</v>
      </c>
      <c r="BL59" s="10">
        <v>45777</v>
      </c>
      <c r="BM59" s="10">
        <v>45777</v>
      </c>
      <c r="BN59" s="10">
        <v>45785</v>
      </c>
      <c r="BO59" s="4">
        <f>COUNTA(Tabla25[[#This Row],[(1)SOLICITUD DE  APERTURA FIRNANCIERA Y PRESUPUESTO 1 (FECHA) ]:[(15) FECHA DE CONTRATACIÓN ADMINISTRATIVO]])</f>
        <v>15</v>
      </c>
      <c r="BP59" s="26">
        <f>Tabla25[[#This Row],[NUMERO OK]]/15</f>
        <v>1</v>
      </c>
      <c r="BQ59" s="4" t="str">
        <f t="shared" ca="1" si="19"/>
        <v>Cumplido</v>
      </c>
      <c r="BS59" s="9"/>
      <c r="BZ59" s="8"/>
    </row>
    <row r="60" spans="1:78" ht="57">
      <c r="A60" s="89">
        <v>2025</v>
      </c>
      <c r="B60" s="90" t="s">
        <v>1144</v>
      </c>
      <c r="C60" s="91" t="s">
        <v>333</v>
      </c>
      <c r="D60" s="44">
        <v>6912</v>
      </c>
      <c r="E60" s="44">
        <v>2910907383</v>
      </c>
      <c r="F60" s="44" t="s">
        <v>79</v>
      </c>
      <c r="G60" s="155" t="s">
        <v>1324</v>
      </c>
      <c r="H60" s="4" t="s">
        <v>142</v>
      </c>
      <c r="I60" s="4" t="s">
        <v>104</v>
      </c>
      <c r="J60" s="4" t="s">
        <v>83</v>
      </c>
      <c r="K60" s="4">
        <f t="shared" si="12"/>
        <v>5</v>
      </c>
      <c r="L60" s="4">
        <f t="shared" si="13"/>
        <v>5</v>
      </c>
      <c r="M60" s="4">
        <f t="shared" si="14"/>
        <v>10</v>
      </c>
      <c r="N60" s="10"/>
      <c r="O60" s="97">
        <v>45755</v>
      </c>
      <c r="P60" s="98">
        <v>45770</v>
      </c>
      <c r="Q60" s="99">
        <f t="shared" si="15"/>
        <v>6.2794520547945201</v>
      </c>
      <c r="R60" s="44">
        <v>191</v>
      </c>
      <c r="S60" s="44">
        <v>0</v>
      </c>
      <c r="T60" s="92">
        <v>0</v>
      </c>
      <c r="U60" s="92">
        <f t="shared" ca="1" si="4"/>
        <v>100</v>
      </c>
      <c r="V60" s="98">
        <f t="shared" si="16"/>
        <v>45961</v>
      </c>
      <c r="W60" s="89" t="s">
        <v>97</v>
      </c>
      <c r="X60" s="44" t="str">
        <f t="shared" ca="1" si="21"/>
        <v>EN EJECUCIÓN</v>
      </c>
      <c r="Y60" s="100" t="s">
        <v>44</v>
      </c>
      <c r="Z60" s="101">
        <v>6216503808.54</v>
      </c>
      <c r="AA60" s="101">
        <v>0</v>
      </c>
      <c r="AB60" s="101">
        <v>0</v>
      </c>
      <c r="AC60" s="101">
        <v>0</v>
      </c>
      <c r="AD60" s="102">
        <f t="shared" si="17"/>
        <v>6216503808.54</v>
      </c>
      <c r="AE60" s="103">
        <f t="shared" si="20"/>
        <v>666053979.4864285</v>
      </c>
      <c r="AF60" s="44" t="s">
        <v>1145</v>
      </c>
      <c r="AG60" s="44" t="s">
        <v>1146</v>
      </c>
      <c r="AH60" s="44" t="s">
        <v>22</v>
      </c>
      <c r="AI60" s="29" t="s">
        <v>23</v>
      </c>
      <c r="AJ60" s="89" t="s">
        <v>17</v>
      </c>
      <c r="AK60" s="44" t="s">
        <v>24</v>
      </c>
      <c r="AL60" s="44" t="s">
        <v>24</v>
      </c>
      <c r="AM60" s="44" t="s">
        <v>36</v>
      </c>
      <c r="AN60" s="44" t="s">
        <v>17</v>
      </c>
      <c r="AO60" s="44" t="s">
        <v>24</v>
      </c>
      <c r="AP60" s="44" t="s">
        <v>24</v>
      </c>
      <c r="AQ60" s="44" t="s">
        <v>24</v>
      </c>
      <c r="AR60" s="44" t="s">
        <v>24</v>
      </c>
      <c r="AS60" s="44" t="s">
        <v>24</v>
      </c>
      <c r="AT60" s="44" t="s">
        <v>36</v>
      </c>
      <c r="AU60" s="105" t="s">
        <v>1325</v>
      </c>
      <c r="AV60" s="44" cm="1">
        <f t="array" ref="AV60">SUMPRODUCT((AJ60:AT60&lt;&gt;"Pendiente")*(AJ60:AT60&lt;&gt;""))</f>
        <v>9</v>
      </c>
      <c r="AW60" s="44">
        <f>COUNTA(Tabla25[[#This Row],[INVITACIÓN]:[ACTA DE INICIO]])</f>
        <v>11</v>
      </c>
      <c r="AX60" s="106">
        <f t="shared" si="18"/>
        <v>0.81818181818181823</v>
      </c>
      <c r="AY60" s="47">
        <v>45757</v>
      </c>
      <c r="AZ60" s="10">
        <v>45762</v>
      </c>
      <c r="BA60" s="10">
        <v>45771</v>
      </c>
      <c r="BB60" s="10">
        <v>45757</v>
      </c>
      <c r="BC60" s="4" t="s">
        <v>1326</v>
      </c>
      <c r="BD60" s="4" t="s">
        <v>1327</v>
      </c>
      <c r="BE60" s="4" t="s">
        <v>1328</v>
      </c>
      <c r="BF60" s="10">
        <v>45723</v>
      </c>
      <c r="BG60" s="10">
        <v>45769</v>
      </c>
      <c r="BH60" s="4" t="s">
        <v>1329</v>
      </c>
      <c r="BI60" s="10">
        <v>45775</v>
      </c>
      <c r="BJ60" s="10">
        <v>45779</v>
      </c>
      <c r="BK60" s="10">
        <v>45779</v>
      </c>
      <c r="BL60" s="10">
        <v>45782</v>
      </c>
      <c r="BM60" s="10">
        <v>45783</v>
      </c>
      <c r="BN60" s="10">
        <v>45793</v>
      </c>
      <c r="BO60" s="4">
        <f>COUNTA(Tabla25[[#This Row],[(1)SOLICITUD DE  APERTURA FIRNANCIERA Y PRESUPUESTO 1 (FECHA) ]:[(15) FECHA DE CONTRATACIÓN ADMINISTRATIVO]])</f>
        <v>15</v>
      </c>
      <c r="BP60" s="26">
        <f>Tabla25[[#This Row],[NUMERO OK]]/15</f>
        <v>1</v>
      </c>
      <c r="BQ60" s="4" t="str">
        <f t="shared" ca="1" si="19"/>
        <v>Cumplido</v>
      </c>
      <c r="BS60" s="9"/>
      <c r="BZ60" s="8"/>
    </row>
    <row r="61" spans="1:78" ht="85.5">
      <c r="A61" s="89">
        <v>2025</v>
      </c>
      <c r="B61" s="90" t="s">
        <v>1164</v>
      </c>
      <c r="C61" s="91" t="s">
        <v>227</v>
      </c>
      <c r="D61" s="44">
        <v>6913</v>
      </c>
      <c r="E61" s="44">
        <v>2910907385</v>
      </c>
      <c r="F61" s="44" t="s">
        <v>79</v>
      </c>
      <c r="G61" s="155" t="s">
        <v>1330</v>
      </c>
      <c r="H61" s="4" t="s">
        <v>145</v>
      </c>
      <c r="I61" s="4" t="s">
        <v>100</v>
      </c>
      <c r="J61" s="4" t="s">
        <v>14</v>
      </c>
      <c r="K61" s="4">
        <f t="shared" si="12"/>
        <v>3</v>
      </c>
      <c r="L61" s="4">
        <f t="shared" si="13"/>
        <v>5</v>
      </c>
      <c r="M61" s="4">
        <f t="shared" si="14"/>
        <v>8</v>
      </c>
      <c r="N61" s="10"/>
      <c r="O61" s="97">
        <v>45757</v>
      </c>
      <c r="P61" s="98"/>
      <c r="Q61" s="99">
        <f t="shared" si="15"/>
        <v>12</v>
      </c>
      <c r="R61" s="44">
        <v>365</v>
      </c>
      <c r="S61" s="44">
        <v>0</v>
      </c>
      <c r="T61" s="92">
        <v>0</v>
      </c>
      <c r="U61" s="92" t="str">
        <f t="shared" ca="1" si="4"/>
        <v>0</v>
      </c>
      <c r="V61" s="98" t="str">
        <f t="shared" si="16"/>
        <v/>
      </c>
      <c r="W61" s="89" t="s">
        <v>97</v>
      </c>
      <c r="X61" s="44" t="str">
        <f t="shared" ca="1" si="21"/>
        <v>SUSCRITO</v>
      </c>
      <c r="Y61" s="100" t="s">
        <v>99</v>
      </c>
      <c r="Z61" s="101">
        <v>6850084165</v>
      </c>
      <c r="AA61" s="101">
        <v>0</v>
      </c>
      <c r="AB61" s="101">
        <v>0</v>
      </c>
      <c r="AC61" s="101">
        <v>0</v>
      </c>
      <c r="AD61" s="102">
        <f t="shared" si="17"/>
        <v>6850084165</v>
      </c>
      <c r="AE61" s="103">
        <f t="shared" si="20"/>
        <v>733937589.10714269</v>
      </c>
      <c r="AF61" s="44" t="s">
        <v>1165</v>
      </c>
      <c r="AG61" s="44" t="s">
        <v>1166</v>
      </c>
      <c r="AH61" s="44" t="s">
        <v>22</v>
      </c>
      <c r="AI61" s="44" t="s">
        <v>23</v>
      </c>
      <c r="AJ61" s="89" t="s">
        <v>17</v>
      </c>
      <c r="AK61" s="44" t="s">
        <v>24</v>
      </c>
      <c r="AL61" s="44" t="s">
        <v>17</v>
      </c>
      <c r="AM61" s="44" t="s">
        <v>36</v>
      </c>
      <c r="AN61" s="44" t="s">
        <v>17</v>
      </c>
      <c r="AO61" s="44" t="s">
        <v>24</v>
      </c>
      <c r="AP61" s="44" t="s">
        <v>24</v>
      </c>
      <c r="AQ61" s="44" t="s">
        <v>24</v>
      </c>
      <c r="AR61" s="44" t="s">
        <v>24</v>
      </c>
      <c r="AS61" s="44" t="s">
        <v>24</v>
      </c>
      <c r="AT61" s="44" t="s">
        <v>36</v>
      </c>
      <c r="AU61" s="105" t="s">
        <v>192</v>
      </c>
      <c r="AV61" s="44" cm="1">
        <f t="array" ref="AV61">SUMPRODUCT((AJ61:AT61&lt;&gt;"Pendiente")*(AJ61:AT61&lt;&gt;""))</f>
        <v>9</v>
      </c>
      <c r="AW61" s="44">
        <f>COUNTA(Tabla25[[#This Row],[INVITACIÓN]:[ACTA DE INICIO]])</f>
        <v>11</v>
      </c>
      <c r="AX61" s="106">
        <f t="shared" si="18"/>
        <v>0.81818181818181823</v>
      </c>
      <c r="AY61" s="47">
        <v>45768</v>
      </c>
      <c r="AZ61" s="10">
        <v>45768</v>
      </c>
      <c r="BA61" s="10">
        <v>45784</v>
      </c>
      <c r="BD61" s="4" t="s">
        <v>1269</v>
      </c>
      <c r="BF61" s="10">
        <v>45681</v>
      </c>
      <c r="BG61" s="10">
        <v>45769</v>
      </c>
      <c r="BH61" s="163" t="s">
        <v>1331</v>
      </c>
      <c r="BI61" s="10">
        <v>45820</v>
      </c>
      <c r="BK61" s="10">
        <v>45835</v>
      </c>
      <c r="BO61" s="4">
        <f>COUNTA(Tabla25[[#This Row],[(1)SOLICITUD DE  APERTURA FIRNANCIERA Y PRESUPUESTO 1 (FECHA) ]:[(15) FECHA DE CONTRATACIÓN ADMINISTRATIVO]])</f>
        <v>9</v>
      </c>
      <c r="BP61" s="26">
        <f>Tabla25[[#This Row],[NUMERO OK]]/15</f>
        <v>0.6</v>
      </c>
      <c r="BQ61" s="4" t="str">
        <f t="shared" ca="1" si="19"/>
        <v>N/A</v>
      </c>
      <c r="BS61" s="9"/>
      <c r="BZ61" s="8"/>
    </row>
    <row r="62" spans="1:78" ht="85.5">
      <c r="A62" s="89">
        <v>2025</v>
      </c>
      <c r="B62" s="90" t="s">
        <v>1141</v>
      </c>
      <c r="C62" s="91" t="s">
        <v>302</v>
      </c>
      <c r="D62" s="44">
        <v>6910</v>
      </c>
      <c r="E62" s="44">
        <v>2910907382</v>
      </c>
      <c r="F62" s="44" t="s">
        <v>90</v>
      </c>
      <c r="G62" s="155" t="s">
        <v>1332</v>
      </c>
      <c r="H62" s="4" t="s">
        <v>145</v>
      </c>
      <c r="I62" s="4" t="s">
        <v>958</v>
      </c>
      <c r="J62" s="4" t="s">
        <v>77</v>
      </c>
      <c r="K62" s="4">
        <f t="shared" si="12"/>
        <v>3</v>
      </c>
      <c r="L62" s="4">
        <f t="shared" si="13"/>
        <v>3</v>
      </c>
      <c r="M62" s="4">
        <f t="shared" si="14"/>
        <v>6</v>
      </c>
      <c r="N62" s="10"/>
      <c r="O62" s="97">
        <v>45739</v>
      </c>
      <c r="P62" s="98">
        <v>45755</v>
      </c>
      <c r="Q62" s="99">
        <f t="shared" si="15"/>
        <v>7.0027397260273974</v>
      </c>
      <c r="R62" s="44">
        <v>213</v>
      </c>
      <c r="S62" s="44">
        <v>0</v>
      </c>
      <c r="T62" s="92">
        <v>0</v>
      </c>
      <c r="U62" s="92">
        <f t="shared" ca="1" si="4"/>
        <v>115</v>
      </c>
      <c r="V62" s="98">
        <f t="shared" si="16"/>
        <v>45968</v>
      </c>
      <c r="W62" s="89" t="s">
        <v>97</v>
      </c>
      <c r="X62" s="44" t="str">
        <f t="shared" ca="1" si="21"/>
        <v>EN EJECUCIÓN</v>
      </c>
      <c r="Y62" s="100" t="s">
        <v>44</v>
      </c>
      <c r="Z62" s="101">
        <v>1332000000</v>
      </c>
      <c r="AA62" s="101">
        <v>0</v>
      </c>
      <c r="AB62" s="101">
        <v>0</v>
      </c>
      <c r="AC62" s="101">
        <v>0</v>
      </c>
      <c r="AD62" s="102">
        <f t="shared" si="17"/>
        <v>1332000000</v>
      </c>
      <c r="AE62" s="103">
        <f t="shared" si="20"/>
        <v>142714285.7142857</v>
      </c>
      <c r="AF62" s="44" t="s">
        <v>1142</v>
      </c>
      <c r="AG62" s="44" t="s">
        <v>1143</v>
      </c>
      <c r="AH62" s="44" t="s">
        <v>22</v>
      </c>
      <c r="AI62" s="29" t="s">
        <v>23</v>
      </c>
      <c r="AJ62" s="89" t="s">
        <v>17</v>
      </c>
      <c r="AK62" s="44" t="s">
        <v>17</v>
      </c>
      <c r="AL62" s="44" t="s">
        <v>24</v>
      </c>
      <c r="AM62" s="44" t="s">
        <v>24</v>
      </c>
      <c r="AN62" s="44" t="s">
        <v>17</v>
      </c>
      <c r="AO62" s="44" t="s">
        <v>24</v>
      </c>
      <c r="AP62" s="44" t="s">
        <v>24</v>
      </c>
      <c r="AQ62" s="44" t="s">
        <v>24</v>
      </c>
      <c r="AR62" s="44" t="s">
        <v>24</v>
      </c>
      <c r="AS62" s="44" t="s">
        <v>24</v>
      </c>
      <c r="AT62" s="44" t="s">
        <v>24</v>
      </c>
      <c r="AU62" s="105" t="s">
        <v>192</v>
      </c>
      <c r="AV62" s="44" cm="1">
        <f t="array" ref="AV62">SUMPRODUCT((AJ62:AT62&lt;&gt;"Pendiente")*(AJ62:AT62&lt;&gt;""))</f>
        <v>11</v>
      </c>
      <c r="AW62" s="44">
        <f>COUNTA(Tabla25[[#This Row],[INVITACIÓN]:[ACTA DE INICIO]])</f>
        <v>11</v>
      </c>
      <c r="AX62" s="106">
        <f t="shared" si="18"/>
        <v>1</v>
      </c>
      <c r="AY62" s="47">
        <v>45754</v>
      </c>
      <c r="AZ62" s="10">
        <v>45755</v>
      </c>
      <c r="BA62" s="10">
        <v>45758</v>
      </c>
      <c r="BB62" s="10">
        <v>45771</v>
      </c>
      <c r="BC62" s="4" t="s">
        <v>1333</v>
      </c>
      <c r="BD62" s="4" t="s">
        <v>1334</v>
      </c>
      <c r="BE62" s="4" t="s">
        <v>1335</v>
      </c>
      <c r="BF62" s="10">
        <v>45723</v>
      </c>
      <c r="BG62" s="124">
        <v>45783</v>
      </c>
      <c r="BH62" s="4" t="s">
        <v>1336</v>
      </c>
      <c r="BI62" s="10">
        <v>45772</v>
      </c>
      <c r="BJ62" s="10">
        <v>45771</v>
      </c>
      <c r="BK62" s="10">
        <v>45771</v>
      </c>
      <c r="BL62" s="10">
        <v>45777</v>
      </c>
      <c r="BM62" s="10">
        <v>45776</v>
      </c>
      <c r="BN62" s="10">
        <v>45786</v>
      </c>
      <c r="BO62" s="4">
        <f>COUNTA(Tabla25[[#This Row],[(1)SOLICITUD DE  APERTURA FIRNANCIERA Y PRESUPUESTO 1 (FECHA) ]:[(15) FECHA DE CONTRATACIÓN ADMINISTRATIVO]])</f>
        <v>15</v>
      </c>
      <c r="BP62" s="26">
        <f>Tabla25[[#This Row],[NUMERO OK]]/15</f>
        <v>1</v>
      </c>
      <c r="BQ62" s="4" t="str">
        <f t="shared" ca="1" si="19"/>
        <v>Cumplido</v>
      </c>
      <c r="BS62" s="9"/>
      <c r="BZ62" s="8"/>
    </row>
    <row r="63" spans="1:78" ht="57">
      <c r="A63" s="89">
        <v>2025</v>
      </c>
      <c r="B63" s="90" t="s">
        <v>1337</v>
      </c>
      <c r="C63" s="91" t="s">
        <v>632</v>
      </c>
      <c r="D63" s="44">
        <v>6923</v>
      </c>
      <c r="E63" s="44">
        <v>2910907392</v>
      </c>
      <c r="F63" s="44" t="s">
        <v>102</v>
      </c>
      <c r="G63" s="155" t="s">
        <v>1338</v>
      </c>
      <c r="H63" s="4" t="s">
        <v>142</v>
      </c>
      <c r="I63" s="4" t="s">
        <v>104</v>
      </c>
      <c r="J63" s="4" t="s">
        <v>48</v>
      </c>
      <c r="K63" s="4">
        <f t="shared" si="12"/>
        <v>5</v>
      </c>
      <c r="L63" s="4">
        <f t="shared" si="13"/>
        <v>1</v>
      </c>
      <c r="M63" s="4">
        <f t="shared" si="14"/>
        <v>6</v>
      </c>
      <c r="N63" s="10"/>
      <c r="O63" s="97">
        <v>45804</v>
      </c>
      <c r="P63" s="98">
        <v>45811</v>
      </c>
      <c r="Q63" s="99">
        <f t="shared" si="15"/>
        <v>3.9780821917808216</v>
      </c>
      <c r="R63" s="92">
        <v>121</v>
      </c>
      <c r="S63" s="92">
        <v>0</v>
      </c>
      <c r="T63" s="92">
        <v>0</v>
      </c>
      <c r="U63" s="92">
        <f t="shared" ca="1" si="4"/>
        <v>59</v>
      </c>
      <c r="V63" s="98">
        <f t="shared" si="16"/>
        <v>45932</v>
      </c>
      <c r="W63" s="89" t="s">
        <v>68</v>
      </c>
      <c r="X63" s="44" t="str">
        <f t="shared" ca="1" si="21"/>
        <v>EN EJECUCIÓN</v>
      </c>
      <c r="Y63" s="100" t="s">
        <v>21</v>
      </c>
      <c r="Z63" s="101">
        <v>24192000</v>
      </c>
      <c r="AA63" s="101">
        <v>0</v>
      </c>
      <c r="AB63" s="101">
        <v>0</v>
      </c>
      <c r="AC63" s="101">
        <v>0</v>
      </c>
      <c r="AD63" s="102">
        <f t="shared" si="17"/>
        <v>24192000</v>
      </c>
      <c r="AE63" s="103">
        <f t="shared" si="20"/>
        <v>2591999.9999999995</v>
      </c>
      <c r="AF63" s="150" t="s">
        <v>1339</v>
      </c>
      <c r="AG63" s="150" t="s">
        <v>1340</v>
      </c>
      <c r="AH63" s="44" t="s">
        <v>22</v>
      </c>
      <c r="AI63" s="44" t="s">
        <v>23</v>
      </c>
      <c r="AJ63" s="89" t="s">
        <v>17</v>
      </c>
      <c r="AK63" s="44" t="s">
        <v>17</v>
      </c>
      <c r="AL63" s="44" t="s">
        <v>24</v>
      </c>
      <c r="AM63" s="44" t="s">
        <v>24</v>
      </c>
      <c r="AN63" s="44" t="s">
        <v>24</v>
      </c>
      <c r="AO63" s="44" t="s">
        <v>24</v>
      </c>
      <c r="AP63" s="44" t="s">
        <v>24</v>
      </c>
      <c r="AQ63" s="44" t="s">
        <v>17</v>
      </c>
      <c r="AR63" s="44" t="s">
        <v>24</v>
      </c>
      <c r="AS63" s="44" t="s">
        <v>24</v>
      </c>
      <c r="AT63" s="44" t="s">
        <v>24</v>
      </c>
      <c r="AU63" s="105" t="s">
        <v>1341</v>
      </c>
      <c r="AV63" s="44" cm="1">
        <f t="array" ref="AV63">SUMPRODUCT((AJ63:AT63&lt;&gt;"Pendiente")*(AJ63:AT63&lt;&gt;""))</f>
        <v>11</v>
      </c>
      <c r="AW63" s="44">
        <f>COUNTA(Tabla25[[#This Row],[INVITACIÓN]:[ACTA DE INICIO]])</f>
        <v>11</v>
      </c>
      <c r="AX63" s="106">
        <f t="shared" si="18"/>
        <v>1</v>
      </c>
      <c r="AY63" s="47">
        <v>45817</v>
      </c>
      <c r="AZ63" s="10">
        <v>45817</v>
      </c>
      <c r="BA63" s="10">
        <v>45835</v>
      </c>
      <c r="BB63" s="10">
        <v>45826</v>
      </c>
      <c r="BC63" s="4" t="s">
        <v>1342</v>
      </c>
      <c r="BD63" s="4" t="s">
        <v>1343</v>
      </c>
      <c r="BE63" s="4" t="s">
        <v>832</v>
      </c>
      <c r="BF63" s="10">
        <v>45820</v>
      </c>
      <c r="BG63" s="10">
        <v>45826</v>
      </c>
      <c r="BH63" s="4" t="s">
        <v>1344</v>
      </c>
      <c r="BI63" s="10">
        <v>45841</v>
      </c>
      <c r="BJ63" s="4" t="s">
        <v>1345</v>
      </c>
      <c r="BK63" s="4" t="s">
        <v>832</v>
      </c>
      <c r="BL63" s="10">
        <v>45854</v>
      </c>
      <c r="BM63" s="4" t="s">
        <v>832</v>
      </c>
      <c r="BO63" s="4">
        <f>COUNTA(Tabla25[[#This Row],[(1)SOLICITUD DE  APERTURA FIRNANCIERA Y PRESUPUESTO 1 (FECHA) ]:[(15) FECHA DE CONTRATACIÓN ADMINISTRATIVO]])</f>
        <v>15</v>
      </c>
      <c r="BP63" s="26">
        <f>Tabla25[[#This Row],[NUMERO OK]]/15</f>
        <v>1</v>
      </c>
      <c r="BQ63" s="4" t="str">
        <f t="shared" ca="1" si="19"/>
        <v>Cumplido</v>
      </c>
      <c r="BS63" s="9"/>
      <c r="BZ63" s="8"/>
    </row>
    <row r="64" spans="1:78" ht="99.75">
      <c r="A64" s="89">
        <v>2025</v>
      </c>
      <c r="B64" s="90">
        <v>1</v>
      </c>
      <c r="C64" s="91" t="s">
        <v>417</v>
      </c>
      <c r="D64" s="44">
        <v>6925</v>
      </c>
      <c r="E64" s="44">
        <v>2910907394</v>
      </c>
      <c r="F64" s="44" t="s">
        <v>117</v>
      </c>
      <c r="G64" s="155" t="s">
        <v>1346</v>
      </c>
      <c r="H64" s="4" t="s">
        <v>139</v>
      </c>
      <c r="I64" s="4" t="s">
        <v>100</v>
      </c>
      <c r="J64" s="4" t="s">
        <v>14</v>
      </c>
      <c r="K64" s="4">
        <f t="shared" si="12"/>
        <v>5</v>
      </c>
      <c r="L64" s="4">
        <f t="shared" si="13"/>
        <v>1</v>
      </c>
      <c r="M64" s="4">
        <f t="shared" si="14"/>
        <v>6</v>
      </c>
      <c r="N64" s="10"/>
      <c r="O64" s="97">
        <v>45821</v>
      </c>
      <c r="P64" s="98">
        <v>45826</v>
      </c>
      <c r="Q64" s="99">
        <f t="shared" si="15"/>
        <v>4.0767123287671234</v>
      </c>
      <c r="R64" s="92">
        <v>92</v>
      </c>
      <c r="S64" s="92">
        <v>0</v>
      </c>
      <c r="T64" s="92">
        <v>32</v>
      </c>
      <c r="U64" s="92">
        <f t="shared" ca="1" si="4"/>
        <v>76</v>
      </c>
      <c r="V64" s="98">
        <f t="shared" si="16"/>
        <v>45950</v>
      </c>
      <c r="W64" s="89" t="s">
        <v>97</v>
      </c>
      <c r="X64" s="44" t="str">
        <f t="shared" ca="1" si="21"/>
        <v>EN EJECUCIÓN</v>
      </c>
      <c r="Y64" s="100" t="s">
        <v>33</v>
      </c>
      <c r="Z64" s="101">
        <v>50000000</v>
      </c>
      <c r="AA64" s="101">
        <v>0</v>
      </c>
      <c r="AB64" s="101">
        <v>0</v>
      </c>
      <c r="AC64" s="101">
        <v>0</v>
      </c>
      <c r="AD64" s="102">
        <f t="shared" si="17"/>
        <v>50000000</v>
      </c>
      <c r="AE64" s="103">
        <f t="shared" si="20"/>
        <v>5357142.8571428563</v>
      </c>
      <c r="AF64" s="44" t="s">
        <v>1347</v>
      </c>
      <c r="AG64" s="44" t="s">
        <v>362</v>
      </c>
      <c r="AH64" s="44" t="s">
        <v>22</v>
      </c>
      <c r="AI64" s="29" t="s">
        <v>23</v>
      </c>
      <c r="AJ64" s="89" t="s">
        <v>17</v>
      </c>
      <c r="AK64" s="44" t="s">
        <v>24</v>
      </c>
      <c r="AL64" s="44" t="s">
        <v>17</v>
      </c>
      <c r="AM64" s="44" t="s">
        <v>36</v>
      </c>
      <c r="AN64" s="44" t="s">
        <v>17</v>
      </c>
      <c r="AO64" s="44" t="s">
        <v>24</v>
      </c>
      <c r="AP64" s="44" t="s">
        <v>24</v>
      </c>
      <c r="AQ64" s="44" t="s">
        <v>24</v>
      </c>
      <c r="AR64" s="44" t="s">
        <v>24</v>
      </c>
      <c r="AS64" s="44" t="s">
        <v>24</v>
      </c>
      <c r="AT64" s="44" t="s">
        <v>24</v>
      </c>
      <c r="AU64" s="105" t="s">
        <v>1348</v>
      </c>
      <c r="AV64" s="44" cm="1">
        <f t="array" ref="AV64">SUMPRODUCT((AJ64:AT64&lt;&gt;"Pendiente")*(AJ64:AT64&lt;&gt;""))</f>
        <v>10</v>
      </c>
      <c r="AW64" s="44">
        <f>COUNTA(Tabla25[[#This Row],[INVITACIÓN]:[ACTA DE INICIO]])</f>
        <v>11</v>
      </c>
      <c r="AX64" s="106">
        <f t="shared" si="18"/>
        <v>0.90909090909090906</v>
      </c>
      <c r="AY64" s="47">
        <v>45832</v>
      </c>
      <c r="AZ64" s="10">
        <v>45828</v>
      </c>
      <c r="BA64" s="10">
        <v>45832</v>
      </c>
      <c r="BB64" s="10">
        <v>45861</v>
      </c>
      <c r="BD64" s="4" t="s">
        <v>1349</v>
      </c>
      <c r="BE64" s="4" t="s">
        <v>1350</v>
      </c>
      <c r="BF64" s="4" t="s">
        <v>832</v>
      </c>
      <c r="BG64" s="4" t="s">
        <v>832</v>
      </c>
      <c r="BH64" s="4" t="s">
        <v>1351</v>
      </c>
      <c r="BI64" s="10">
        <v>45846</v>
      </c>
      <c r="BK64" s="10">
        <v>45861</v>
      </c>
      <c r="BO64" s="4">
        <f>COUNTA(Tabla25[[#This Row],[(1)SOLICITUD DE  APERTURA FIRNANCIERA Y PRESUPUESTO 1 (FECHA) ]:[(15) FECHA DE CONTRATACIÓN ADMINISTRATIVO]])</f>
        <v>11</v>
      </c>
      <c r="BP64" s="26">
        <f>Tabla25[[#This Row],[NUMERO OK]]/15</f>
        <v>0.73333333333333328</v>
      </c>
      <c r="BQ64" s="4" t="str">
        <f t="shared" ca="1" si="19"/>
        <v>RiesgoAlto</v>
      </c>
      <c r="BS64" s="9"/>
      <c r="BZ64" s="8"/>
    </row>
    <row r="65" spans="1:78" ht="75">
      <c r="A65" s="89">
        <v>2025</v>
      </c>
      <c r="B65" s="90" t="s">
        <v>1352</v>
      </c>
      <c r="C65" s="91" t="s">
        <v>698</v>
      </c>
      <c r="D65" s="44">
        <v>6926</v>
      </c>
      <c r="E65" s="44">
        <v>2910907395</v>
      </c>
      <c r="F65" s="44" t="s">
        <v>125</v>
      </c>
      <c r="G65" s="155" t="s">
        <v>1353</v>
      </c>
      <c r="H65" s="4" t="s">
        <v>123</v>
      </c>
      <c r="I65" s="4" t="s">
        <v>112</v>
      </c>
      <c r="J65" s="4" t="s">
        <v>77</v>
      </c>
      <c r="K65" s="4">
        <f t="shared" si="12"/>
        <v>5</v>
      </c>
      <c r="L65" s="4">
        <f t="shared" si="13"/>
        <v>1</v>
      </c>
      <c r="M65" s="4">
        <f t="shared" si="14"/>
        <v>6</v>
      </c>
      <c r="N65" s="10"/>
      <c r="O65" s="97">
        <v>45825</v>
      </c>
      <c r="P65" s="98"/>
      <c r="Q65" s="99">
        <f t="shared" si="15"/>
        <v>6.4109589041095889</v>
      </c>
      <c r="R65" s="92">
        <v>195</v>
      </c>
      <c r="S65" s="92">
        <v>0</v>
      </c>
      <c r="T65" s="92">
        <v>0</v>
      </c>
      <c r="U65" s="92" t="str">
        <f t="shared" ca="1" si="4"/>
        <v>0</v>
      </c>
      <c r="V65" s="98" t="str">
        <f t="shared" si="16"/>
        <v/>
      </c>
      <c r="W65" s="89" t="s">
        <v>111</v>
      </c>
      <c r="X65" s="44" t="str">
        <f t="shared" ca="1" si="21"/>
        <v>SUSCRITO</v>
      </c>
      <c r="Y65" s="100" t="s">
        <v>93</v>
      </c>
      <c r="Z65" s="101">
        <v>179800000</v>
      </c>
      <c r="AA65" s="101">
        <v>0</v>
      </c>
      <c r="AB65" s="101">
        <v>0</v>
      </c>
      <c r="AC65" s="101">
        <v>0</v>
      </c>
      <c r="AD65" s="102">
        <f t="shared" si="17"/>
        <v>179800000</v>
      </c>
      <c r="AE65" s="103">
        <f t="shared" si="20"/>
        <v>19264285.714285713</v>
      </c>
      <c r="AF65" s="104" t="s">
        <v>1354</v>
      </c>
      <c r="AG65" s="29" t="s">
        <v>1355</v>
      </c>
      <c r="AH65" s="44" t="s">
        <v>22</v>
      </c>
      <c r="AI65" s="29" t="s">
        <v>23</v>
      </c>
      <c r="AJ65" s="89" t="s">
        <v>17</v>
      </c>
      <c r="AK65" s="44" t="s">
        <v>24</v>
      </c>
      <c r="AL65" s="44" t="s">
        <v>17</v>
      </c>
      <c r="AM65" s="44" t="s">
        <v>36</v>
      </c>
      <c r="AN65" s="44" t="s">
        <v>17</v>
      </c>
      <c r="AO65" s="44" t="s">
        <v>24</v>
      </c>
      <c r="AP65" s="44" t="s">
        <v>24</v>
      </c>
      <c r="AQ65" s="44" t="s">
        <v>24</v>
      </c>
      <c r="AR65" s="44" t="s">
        <v>24</v>
      </c>
      <c r="AS65" s="44" t="s">
        <v>24</v>
      </c>
      <c r="AT65" s="44" t="s">
        <v>36</v>
      </c>
      <c r="AU65" s="105" t="s">
        <v>192</v>
      </c>
      <c r="AV65" s="44" cm="1">
        <f t="array" ref="AV65">SUMPRODUCT((AJ65:AT65&lt;&gt;"Pendiente")*(AJ65:AT65&lt;&gt;""))</f>
        <v>9</v>
      </c>
      <c r="AW65" s="44">
        <f>COUNTA(Tabla25[[#This Row],[INVITACIÓN]:[ACTA DE INICIO]])</f>
        <v>11</v>
      </c>
      <c r="AX65" s="106">
        <f t="shared" si="18"/>
        <v>0.81818181818181823</v>
      </c>
      <c r="AY65" s="47">
        <v>45832</v>
      </c>
      <c r="AZ65" s="124">
        <v>45832</v>
      </c>
      <c r="BA65" s="10">
        <v>45839</v>
      </c>
      <c r="BB65" s="10">
        <v>45835</v>
      </c>
      <c r="BC65" s="4" t="s">
        <v>1356</v>
      </c>
      <c r="BD65" s="4" t="s">
        <v>1357</v>
      </c>
      <c r="BE65" s="4" t="s">
        <v>1358</v>
      </c>
      <c r="BF65" s="10">
        <v>45728</v>
      </c>
      <c r="BG65" s="10">
        <v>45834</v>
      </c>
      <c r="BH65" s="4" t="s">
        <v>1359</v>
      </c>
      <c r="BI65" s="10">
        <v>45840</v>
      </c>
      <c r="BJ65" s="10">
        <v>45845</v>
      </c>
      <c r="BK65" s="10">
        <v>45845</v>
      </c>
      <c r="BL65" s="10">
        <v>45849</v>
      </c>
      <c r="BM65" s="10">
        <v>45849</v>
      </c>
      <c r="BN65" s="10">
        <v>45856</v>
      </c>
      <c r="BO65" s="4">
        <f>COUNTA(Tabla25[[#This Row],[(1)SOLICITUD DE  APERTURA FIRNANCIERA Y PRESUPUESTO 1 (FECHA) ]:[(15) FECHA DE CONTRATACIÓN ADMINISTRATIVO]])</f>
        <v>15</v>
      </c>
      <c r="BP65" s="26">
        <f>Tabla25[[#This Row],[NUMERO OK]]/15</f>
        <v>1</v>
      </c>
      <c r="BQ65" s="4" t="str">
        <f t="shared" ca="1" si="19"/>
        <v>N/A</v>
      </c>
      <c r="BS65" s="9"/>
      <c r="BZ65" s="8"/>
    </row>
    <row r="66" spans="1:78" ht="90">
      <c r="A66" s="89">
        <v>2025</v>
      </c>
      <c r="B66" s="90" t="s">
        <v>1103</v>
      </c>
      <c r="C66" s="91" t="s">
        <v>1104</v>
      </c>
      <c r="D66" s="92">
        <v>6901</v>
      </c>
      <c r="E66" s="92">
        <v>2910907376</v>
      </c>
      <c r="F66" s="44" t="s">
        <v>51</v>
      </c>
      <c r="G66" s="155" t="s">
        <v>1360</v>
      </c>
      <c r="H66" s="4" t="s">
        <v>139</v>
      </c>
      <c r="I66" s="35" t="s">
        <v>100</v>
      </c>
      <c r="J66" s="4" t="s">
        <v>38</v>
      </c>
      <c r="K66" s="4">
        <f t="shared" si="12"/>
        <v>3</v>
      </c>
      <c r="L66" s="4">
        <f t="shared" si="13"/>
        <v>5</v>
      </c>
      <c r="M66" s="4">
        <f t="shared" si="14"/>
        <v>8</v>
      </c>
      <c r="N66" s="10"/>
      <c r="O66" s="107">
        <v>45686</v>
      </c>
      <c r="P66" s="98">
        <v>45687</v>
      </c>
      <c r="Q66" s="99">
        <f t="shared" si="15"/>
        <v>10.158904109589042</v>
      </c>
      <c r="R66" s="44">
        <v>309</v>
      </c>
      <c r="S66" s="44">
        <v>0</v>
      </c>
      <c r="T66" s="92">
        <v>0</v>
      </c>
      <c r="U66" s="92">
        <f t="shared" ca="1" si="4"/>
        <v>183</v>
      </c>
      <c r="V66" s="98">
        <f t="shared" si="16"/>
        <v>45996</v>
      </c>
      <c r="W66" s="89" t="s">
        <v>97</v>
      </c>
      <c r="X66" s="44" t="str">
        <f t="shared" ca="1" si="21"/>
        <v>EN EJECUCIÓN</v>
      </c>
      <c r="Y66" s="100" t="s">
        <v>93</v>
      </c>
      <c r="Z66" s="101">
        <v>19056054896.799999</v>
      </c>
      <c r="AA66" s="101">
        <v>0</v>
      </c>
      <c r="AB66" s="101">
        <v>0</v>
      </c>
      <c r="AC66" s="101">
        <v>0</v>
      </c>
      <c r="AD66" s="102">
        <f t="shared" si="17"/>
        <v>19056054896.799999</v>
      </c>
      <c r="AE66" s="103">
        <f t="shared" si="20"/>
        <v>2041720167.5142853</v>
      </c>
      <c r="AF66" s="44" t="s">
        <v>1105</v>
      </c>
      <c r="AG66" s="29" t="s">
        <v>1106</v>
      </c>
      <c r="AH66" s="44" t="s">
        <v>22</v>
      </c>
      <c r="AI66" s="29" t="s">
        <v>23</v>
      </c>
      <c r="AJ66" s="89" t="s">
        <v>17</v>
      </c>
      <c r="AK66" s="44" t="s">
        <v>17</v>
      </c>
      <c r="AL66" s="44" t="s">
        <v>24</v>
      </c>
      <c r="AM66" s="44" t="s">
        <v>24</v>
      </c>
      <c r="AN66" s="44" t="s">
        <v>17</v>
      </c>
      <c r="AO66" s="44" t="s">
        <v>24</v>
      </c>
      <c r="AP66" s="44" t="s">
        <v>24</v>
      </c>
      <c r="AQ66" s="44" t="s">
        <v>24</v>
      </c>
      <c r="AR66" s="44" t="s">
        <v>24</v>
      </c>
      <c r="AS66" s="44" t="s">
        <v>24</v>
      </c>
      <c r="AT66" s="44" t="s">
        <v>24</v>
      </c>
      <c r="AU66" s="123" t="s">
        <v>192</v>
      </c>
      <c r="AV66" s="44" cm="1">
        <f t="array" ref="AV66">SUMPRODUCT((AJ66:AT66&lt;&gt;"Pendiente")*(AJ66:AT66&lt;&gt;""))</f>
        <v>11</v>
      </c>
      <c r="AW66" s="44">
        <f>COUNTA(Tabla25[[#This Row],[INVITACIÓN]:[ACTA DE INICIO]])</f>
        <v>11</v>
      </c>
      <c r="AX66" s="106">
        <f t="shared" si="18"/>
        <v>1</v>
      </c>
      <c r="AY66" s="47">
        <v>45687</v>
      </c>
      <c r="AZ66" s="10">
        <v>45664</v>
      </c>
      <c r="BA66" s="10">
        <v>45687</v>
      </c>
      <c r="BB66" s="10">
        <v>45695</v>
      </c>
      <c r="BC66" s="4" t="s">
        <v>1049</v>
      </c>
      <c r="BD66" s="4" t="s">
        <v>1107</v>
      </c>
      <c r="BE66" s="4" t="s">
        <v>1051</v>
      </c>
      <c r="BF66" s="10">
        <v>45681</v>
      </c>
      <c r="BG66" s="10">
        <v>45681</v>
      </c>
      <c r="BH66" s="4" t="s">
        <v>1108</v>
      </c>
      <c r="BI66" s="10">
        <v>45672</v>
      </c>
      <c r="BJ66" s="4" t="s">
        <v>1074</v>
      </c>
      <c r="BK66" s="4" t="s">
        <v>1074</v>
      </c>
      <c r="BL66" s="10">
        <v>45692</v>
      </c>
      <c r="BM66" s="10">
        <v>45692</v>
      </c>
      <c r="BN66" s="4" t="s">
        <v>976</v>
      </c>
      <c r="BO66" s="4">
        <f>COUNTA(Tabla25[[#This Row],[(1)SOLICITUD DE  APERTURA FIRNANCIERA Y PRESUPUESTO 1 (FECHA) ]:[(15) FECHA DE CONTRATACIÓN ADMINISTRATIVO]])</f>
        <v>15</v>
      </c>
      <c r="BP66" s="26">
        <f>Tabla25[[#This Row],[NUMERO OK]]/15</f>
        <v>1</v>
      </c>
      <c r="BQ66" s="4" t="str">
        <f t="shared" ca="1" si="19"/>
        <v>Cumplido</v>
      </c>
      <c r="BS66" s="9"/>
      <c r="BZ66" s="8"/>
    </row>
    <row r="67" spans="1:78" ht="60">
      <c r="A67" s="89">
        <v>2025</v>
      </c>
      <c r="B67" s="90" t="s">
        <v>1116</v>
      </c>
      <c r="C67" s="91" t="s">
        <v>574</v>
      </c>
      <c r="D67" s="44">
        <v>6907</v>
      </c>
      <c r="E67" s="44">
        <v>2910908224</v>
      </c>
      <c r="F67" s="44" t="s">
        <v>1115</v>
      </c>
      <c r="G67" s="155" t="s">
        <v>1361</v>
      </c>
      <c r="H67" s="4" t="s">
        <v>135</v>
      </c>
      <c r="I67" s="35" t="s">
        <v>112</v>
      </c>
      <c r="J67" s="4" t="s">
        <v>26</v>
      </c>
      <c r="K67" s="4">
        <f t="shared" ref="K67:K98" si="22">IF(Q67="","",(IF(Q67&lt;=7,5,IF(Q67&lt;=12,3,1))))</f>
        <v>5</v>
      </c>
      <c r="L67" s="4">
        <f t="shared" ref="L67:L98" si="23">IF(AD67=0,"",IF(AD67&lt;=500000000,1,IF(AD67&lt;=2847000000,3,5)))</f>
        <v>1</v>
      </c>
      <c r="M67" s="4">
        <f t="shared" ref="M67:M98" si="24">IF(K67="","",IF(Q67&lt;=7,5,IF(Q67&lt;=12,3,1))+IF(AD67&lt;=500000000,1,IF(AD67&lt;=2847000000,3,5)))</f>
        <v>6</v>
      </c>
      <c r="N67" s="10"/>
      <c r="O67" s="97">
        <v>45719</v>
      </c>
      <c r="P67" s="98">
        <v>45722</v>
      </c>
      <c r="Q67" s="99">
        <f t="shared" ref="Q67:Q98" si="25">IF(R67="", "",((R67+T67)/(365/12)))</f>
        <v>6.0164383561643833</v>
      </c>
      <c r="R67" s="44">
        <v>183</v>
      </c>
      <c r="S67" s="44">
        <v>0</v>
      </c>
      <c r="T67" s="92">
        <v>0</v>
      </c>
      <c r="U67" s="92">
        <f t="shared" ref="U67:U122" ca="1" si="26">IF(R67="","",IF(P67="","0",TODAY()-P67-S67+T67))</f>
        <v>148</v>
      </c>
      <c r="V67" s="98">
        <f t="shared" ref="V67:V98" si="27">IF(P67="", "",P67+R67+T67+S67)</f>
        <v>45905</v>
      </c>
      <c r="W67" s="89" t="s">
        <v>52</v>
      </c>
      <c r="X67" s="44" t="str">
        <f t="shared" ca="1" si="21"/>
        <v>EN EJECUCIÓN</v>
      </c>
      <c r="Y67" s="100" t="s">
        <v>93</v>
      </c>
      <c r="Z67" s="101">
        <f>48569820</f>
        <v>48569820</v>
      </c>
      <c r="AA67" s="101">
        <v>-2847000</v>
      </c>
      <c r="AB67" s="101">
        <v>0</v>
      </c>
      <c r="AC67" s="101">
        <v>0</v>
      </c>
      <c r="AD67" s="102">
        <f t="shared" ref="AD67:AD98" si="28">Z67+AB67+AA67+AC67</f>
        <v>45722820</v>
      </c>
      <c r="AE67" s="103">
        <f t="shared" si="20"/>
        <v>4898873.5714285709</v>
      </c>
      <c r="AF67" s="44" t="s">
        <v>1117</v>
      </c>
      <c r="AG67" s="29" t="s">
        <v>923</v>
      </c>
      <c r="AH67" s="44" t="s">
        <v>55</v>
      </c>
      <c r="AI67" s="29" t="s">
        <v>63</v>
      </c>
      <c r="AJ67" s="89" t="s">
        <v>17</v>
      </c>
      <c r="AK67" s="44" t="s">
        <v>17</v>
      </c>
      <c r="AL67" s="44" t="s">
        <v>17</v>
      </c>
      <c r="AM67" s="44" t="s">
        <v>17</v>
      </c>
      <c r="AN67" s="44" t="s">
        <v>24</v>
      </c>
      <c r="AO67" s="44" t="s">
        <v>24</v>
      </c>
      <c r="AP67" s="44" t="s">
        <v>17</v>
      </c>
      <c r="AQ67" s="44" t="s">
        <v>17</v>
      </c>
      <c r="AR67" s="44" t="s">
        <v>24</v>
      </c>
      <c r="AS67" s="44" t="s">
        <v>24</v>
      </c>
      <c r="AT67" s="44" t="s">
        <v>24</v>
      </c>
      <c r="AU67" s="105" t="s">
        <v>192</v>
      </c>
      <c r="AV67" s="44" cm="1">
        <f t="array" ref="AV67">SUMPRODUCT((AJ67:AT67&lt;&gt;"Pendiente")*(AJ67:AT67&lt;&gt;""))</f>
        <v>11</v>
      </c>
      <c r="AW67" s="44">
        <f>COUNTA(Tabla25[[#This Row],[INVITACIÓN]:[ACTA DE INICIO]])</f>
        <v>11</v>
      </c>
      <c r="AX67" s="106">
        <f t="shared" ref="AX67:AX98" si="29">AV67/AW67</f>
        <v>1</v>
      </c>
      <c r="AY67" s="47">
        <v>45594</v>
      </c>
      <c r="AZ67" s="10">
        <v>45748</v>
      </c>
      <c r="BA67" s="10">
        <v>45724</v>
      </c>
      <c r="BB67" s="10">
        <v>45722</v>
      </c>
      <c r="BC67" s="4" t="s">
        <v>832</v>
      </c>
      <c r="BD67" s="86" t="s">
        <v>1118</v>
      </c>
      <c r="BE67" s="4" t="s">
        <v>832</v>
      </c>
      <c r="BF67" s="10">
        <v>45713</v>
      </c>
      <c r="BG67" s="10">
        <v>45719</v>
      </c>
      <c r="BH67" s="4" t="s">
        <v>1119</v>
      </c>
      <c r="BI67" s="4" t="s">
        <v>832</v>
      </c>
      <c r="BJ67" s="4" t="s">
        <v>832</v>
      </c>
      <c r="BK67" s="4" t="s">
        <v>832</v>
      </c>
      <c r="BL67" s="4" t="s">
        <v>832</v>
      </c>
      <c r="BM67" s="4" t="s">
        <v>832</v>
      </c>
      <c r="BN67" s="4" t="s">
        <v>976</v>
      </c>
      <c r="BO67" s="4">
        <f>COUNTA(Tabla25[[#This Row],[(1)SOLICITUD DE  APERTURA FIRNANCIERA Y PRESUPUESTO 1 (FECHA) ]:[(15) FECHA DE CONTRATACIÓN ADMINISTRATIVO]])</f>
        <v>15</v>
      </c>
      <c r="BP67" s="26">
        <f>Tabla25[[#This Row],[NUMERO OK]]/15</f>
        <v>1</v>
      </c>
      <c r="BQ67" s="4" t="str">
        <f t="shared" ref="BQ67:BQ98" ca="1" si="30">IF(ISBLANK(P67),"N/A",
   IF(TODAY()-P67&lt;=15,
      IF(BP67=100%,"EnTiempos","EnProceso"),
      IF(BP67&lt;80%,"RiesgoAlto",
         IF(BP67&lt;100%,"RiesgoMedio","Cumplido")
      )
   )
)</f>
        <v>Cumplido</v>
      </c>
      <c r="BS67" s="9"/>
      <c r="BZ67" s="8"/>
    </row>
    <row r="68" spans="1:78" ht="71.25">
      <c r="A68" s="89">
        <v>2025</v>
      </c>
      <c r="B68" s="90" t="s">
        <v>1101</v>
      </c>
      <c r="C68" s="91" t="s">
        <v>574</v>
      </c>
      <c r="D68" s="92">
        <v>6902</v>
      </c>
      <c r="E68" s="92">
        <v>2910906401</v>
      </c>
      <c r="F68" s="44" t="s">
        <v>17</v>
      </c>
      <c r="G68" s="44"/>
      <c r="H68" s="4" t="s">
        <v>123</v>
      </c>
      <c r="I68" s="35" t="s">
        <v>17</v>
      </c>
      <c r="J68" s="4" t="s">
        <v>20</v>
      </c>
      <c r="K68" s="4">
        <f t="shared" si="22"/>
        <v>3</v>
      </c>
      <c r="L68" s="4">
        <f t="shared" si="23"/>
        <v>5</v>
      </c>
      <c r="M68" s="4">
        <f t="shared" si="24"/>
        <v>8</v>
      </c>
      <c r="N68" s="10"/>
      <c r="O68" s="107">
        <v>45658</v>
      </c>
      <c r="P68" s="98">
        <v>45658</v>
      </c>
      <c r="Q68" s="99">
        <f t="shared" si="25"/>
        <v>11.967123287671232</v>
      </c>
      <c r="R68" s="44">
        <v>364</v>
      </c>
      <c r="S68" s="44">
        <v>0</v>
      </c>
      <c r="T68" s="92">
        <v>0</v>
      </c>
      <c r="U68" s="92">
        <f t="shared" ca="1" si="26"/>
        <v>212</v>
      </c>
      <c r="V68" s="98">
        <f t="shared" si="27"/>
        <v>46022</v>
      </c>
      <c r="W68" s="89" t="s">
        <v>111</v>
      </c>
      <c r="X68" s="44" t="str">
        <f t="shared" ca="1" si="21"/>
        <v>EN EJECUCIÓN</v>
      </c>
      <c r="Y68" s="100" t="s">
        <v>93</v>
      </c>
      <c r="Z68" s="101">
        <v>6323000000</v>
      </c>
      <c r="AA68" s="101">
        <v>0</v>
      </c>
      <c r="AB68" s="101">
        <v>0</v>
      </c>
      <c r="AC68" s="101">
        <v>0</v>
      </c>
      <c r="AD68" s="102">
        <f t="shared" si="28"/>
        <v>6323000000</v>
      </c>
      <c r="AE68" s="103">
        <v>727440000</v>
      </c>
      <c r="AF68" s="44" t="s">
        <v>1102</v>
      </c>
      <c r="AG68" s="29" t="s">
        <v>923</v>
      </c>
      <c r="AH68" s="44" t="s">
        <v>55</v>
      </c>
      <c r="AI68" s="29" t="s">
        <v>63</v>
      </c>
      <c r="AJ68" s="89" t="s">
        <v>17</v>
      </c>
      <c r="AK68" s="44" t="s">
        <v>17</v>
      </c>
      <c r="AL68" s="44" t="s">
        <v>17</v>
      </c>
      <c r="AM68" s="44" t="s">
        <v>17</v>
      </c>
      <c r="AN68" s="44" t="s">
        <v>17</v>
      </c>
      <c r="AO68" s="44" t="s">
        <v>17</v>
      </c>
      <c r="AP68" s="44" t="s">
        <v>17</v>
      </c>
      <c r="AQ68" s="44" t="s">
        <v>17</v>
      </c>
      <c r="AR68" s="44" t="s">
        <v>24</v>
      </c>
      <c r="AS68" s="44" t="s">
        <v>24</v>
      </c>
      <c r="AT68" s="44" t="s">
        <v>17</v>
      </c>
      <c r="AU68" s="105" t="s">
        <v>1362</v>
      </c>
      <c r="AV68" s="44" cm="1">
        <f t="array" ref="AV68">SUMPRODUCT((AJ68:AT68&lt;&gt;"Pendiente")*(AJ68:AT68&lt;&gt;""))</f>
        <v>11</v>
      </c>
      <c r="AW68" s="44">
        <f>COUNTA(Tabla25[[#This Row],[INVITACIÓN]:[ACTA DE INICIO]])</f>
        <v>11</v>
      </c>
      <c r="AX68" s="106">
        <f t="shared" si="29"/>
        <v>1</v>
      </c>
      <c r="AY68" s="47">
        <v>45667</v>
      </c>
      <c r="BA68" s="10"/>
      <c r="BB68" s="10"/>
      <c r="BG68" s="10"/>
      <c r="BO68" s="4">
        <f>COUNTA(Tabla25[[#This Row],[(1)SOLICITUD DE  APERTURA FIRNANCIERA Y PRESUPUESTO 1 (FECHA) ]:[(15) FECHA DE CONTRATACIÓN ADMINISTRATIVO]])</f>
        <v>1</v>
      </c>
      <c r="BP68" s="26">
        <f>Tabla25[[#This Row],[NUMERO OK]]/15</f>
        <v>6.6666666666666666E-2</v>
      </c>
      <c r="BQ68" s="4" t="str">
        <f t="shared" ca="1" si="30"/>
        <v>RiesgoAlto</v>
      </c>
      <c r="BS68" s="9"/>
      <c r="BZ68" s="8"/>
    </row>
    <row r="69" spans="1:78" ht="60">
      <c r="A69" s="89">
        <v>2025</v>
      </c>
      <c r="B69" s="90" t="s">
        <v>1363</v>
      </c>
      <c r="C69" s="91" t="s">
        <v>574</v>
      </c>
      <c r="D69" s="44">
        <v>6917</v>
      </c>
      <c r="E69" s="167">
        <v>2910907401</v>
      </c>
      <c r="F69" s="44" t="s">
        <v>17</v>
      </c>
      <c r="G69" s="155" t="s">
        <v>1364</v>
      </c>
      <c r="H69" s="4" t="s">
        <v>135</v>
      </c>
      <c r="I69" s="4" t="s">
        <v>104</v>
      </c>
      <c r="J69" s="4" t="s">
        <v>20</v>
      </c>
      <c r="K69" s="4">
        <f t="shared" si="22"/>
        <v>1</v>
      </c>
      <c r="L69" s="4">
        <f t="shared" si="23"/>
        <v>1</v>
      </c>
      <c r="M69" s="4">
        <f t="shared" si="24"/>
        <v>2</v>
      </c>
      <c r="N69" s="10"/>
      <c r="O69" s="97">
        <v>45716</v>
      </c>
      <c r="P69" s="98">
        <v>45716</v>
      </c>
      <c r="Q69" s="99">
        <f t="shared" si="25"/>
        <v>17.917808219178081</v>
      </c>
      <c r="R69" s="92">
        <v>545</v>
      </c>
      <c r="S69" s="92">
        <v>0</v>
      </c>
      <c r="T69" s="92">
        <v>0</v>
      </c>
      <c r="U69" s="92">
        <f t="shared" ca="1" si="26"/>
        <v>154</v>
      </c>
      <c r="V69" s="98">
        <f t="shared" si="27"/>
        <v>46261</v>
      </c>
      <c r="W69" s="89" t="s">
        <v>91</v>
      </c>
      <c r="X69" s="44" t="str">
        <f t="shared" ca="1" si="21"/>
        <v>EN EJECUCIÓN</v>
      </c>
      <c r="Y69" s="100" t="s">
        <v>93</v>
      </c>
      <c r="Z69" s="101">
        <v>62384875</v>
      </c>
      <c r="AA69" s="101">
        <f>152243101-62384875</f>
        <v>89858226</v>
      </c>
      <c r="AB69" s="101">
        <v>0</v>
      </c>
      <c r="AC69" s="101">
        <v>0</v>
      </c>
      <c r="AD69" s="102">
        <f t="shared" si="28"/>
        <v>152243101</v>
      </c>
      <c r="AE69" s="103">
        <f t="shared" ref="AE69:AE100" si="31">((Z69+AA69)*12%)/112%</f>
        <v>16311760.821428571</v>
      </c>
      <c r="AF69" s="104" t="s">
        <v>1365</v>
      </c>
      <c r="AG69" s="29" t="s">
        <v>1111</v>
      </c>
      <c r="AH69" s="44" t="s">
        <v>55</v>
      </c>
      <c r="AI69" s="29" t="s">
        <v>63</v>
      </c>
      <c r="AJ69" s="89" t="s">
        <v>17</v>
      </c>
      <c r="AK69" s="44" t="s">
        <v>17</v>
      </c>
      <c r="AL69" s="44" t="s">
        <v>17</v>
      </c>
      <c r="AM69" s="44" t="s">
        <v>17</v>
      </c>
      <c r="AN69" s="44" t="s">
        <v>24</v>
      </c>
      <c r="AO69" s="44" t="s">
        <v>24</v>
      </c>
      <c r="AP69" s="44" t="s">
        <v>17</v>
      </c>
      <c r="AQ69" s="44" t="s">
        <v>17</v>
      </c>
      <c r="AR69" s="44" t="s">
        <v>24</v>
      </c>
      <c r="AS69" s="44" t="s">
        <v>24</v>
      </c>
      <c r="AT69" s="44" t="s">
        <v>24</v>
      </c>
      <c r="AU69" s="105" t="s">
        <v>192</v>
      </c>
      <c r="AV69" s="44" cm="1">
        <f t="array" ref="AV69">SUMPRODUCT((AJ69:AT69&lt;&gt;"Pendiente")*(AJ69:AT69&lt;&gt;""))</f>
        <v>11</v>
      </c>
      <c r="AW69" s="44">
        <f>COUNTA(Tabla25[[#This Row],[INVITACIÓN]:[ACTA DE INICIO]])</f>
        <v>11</v>
      </c>
      <c r="AX69" s="106">
        <f t="shared" si="29"/>
        <v>1</v>
      </c>
      <c r="AY69" s="47">
        <v>45644</v>
      </c>
      <c r="AZ69" s="10">
        <v>45775</v>
      </c>
      <c r="BA69" s="10">
        <v>45729</v>
      </c>
      <c r="BB69" s="10">
        <v>45775</v>
      </c>
      <c r="BC69" s="4" t="s">
        <v>1366</v>
      </c>
      <c r="BD69" s="4" t="s">
        <v>1195</v>
      </c>
      <c r="BE69" s="4" t="s">
        <v>1366</v>
      </c>
      <c r="BF69" s="10">
        <v>45706</v>
      </c>
      <c r="BG69" s="10">
        <v>45706</v>
      </c>
      <c r="BH69" s="4" t="s">
        <v>1367</v>
      </c>
      <c r="BI69" s="4" t="s">
        <v>1201</v>
      </c>
      <c r="BJ69" s="4" t="s">
        <v>832</v>
      </c>
      <c r="BK69" s="4" t="s">
        <v>832</v>
      </c>
      <c r="BL69" s="10">
        <v>45737</v>
      </c>
      <c r="BM69" s="10">
        <v>45737</v>
      </c>
      <c r="BN69" s="4" t="s">
        <v>1368</v>
      </c>
      <c r="BO69" s="4">
        <f>COUNTA(Tabla25[[#This Row],[(1)SOLICITUD DE  APERTURA FIRNANCIERA Y PRESUPUESTO 1 (FECHA) ]:[(15) FECHA DE CONTRATACIÓN ADMINISTRATIVO]])</f>
        <v>15</v>
      </c>
      <c r="BP69" s="26">
        <f>Tabla25[[#This Row],[NUMERO OK]]/15</f>
        <v>1</v>
      </c>
      <c r="BQ69" s="4" t="str">
        <f t="shared" ca="1" si="30"/>
        <v>Cumplido</v>
      </c>
      <c r="BS69" s="9"/>
      <c r="BZ69" s="8"/>
    </row>
    <row r="70" spans="1:78" ht="60">
      <c r="A70" s="89">
        <v>2025</v>
      </c>
      <c r="B70" s="90" t="s">
        <v>1109</v>
      </c>
      <c r="C70" s="91" t="s">
        <v>574</v>
      </c>
      <c r="D70" s="92">
        <v>6905</v>
      </c>
      <c r="E70" s="92">
        <v>2910908205</v>
      </c>
      <c r="F70" s="44" t="s">
        <v>41</v>
      </c>
      <c r="G70" s="155" t="s">
        <v>1369</v>
      </c>
      <c r="H70" s="4" t="s">
        <v>145</v>
      </c>
      <c r="I70" s="35" t="s">
        <v>958</v>
      </c>
      <c r="J70" s="4" t="s">
        <v>26</v>
      </c>
      <c r="K70" s="4">
        <f t="shared" si="22"/>
        <v>5</v>
      </c>
      <c r="L70" s="4">
        <f t="shared" si="23"/>
        <v>1</v>
      </c>
      <c r="M70" s="4">
        <f t="shared" si="24"/>
        <v>6</v>
      </c>
      <c r="N70" s="10"/>
      <c r="O70" s="107">
        <v>45719</v>
      </c>
      <c r="P70" s="98">
        <v>45721</v>
      </c>
      <c r="Q70" s="99">
        <f t="shared" si="25"/>
        <v>1.9726027397260273</v>
      </c>
      <c r="R70" s="44">
        <v>60</v>
      </c>
      <c r="S70" s="44">
        <v>0</v>
      </c>
      <c r="T70" s="92">
        <v>0</v>
      </c>
      <c r="U70" s="92">
        <f t="shared" ca="1" si="26"/>
        <v>149</v>
      </c>
      <c r="V70" s="98">
        <f t="shared" si="27"/>
        <v>45781</v>
      </c>
      <c r="W70" s="89" t="s">
        <v>74</v>
      </c>
      <c r="X70" s="44" t="str">
        <f t="shared" ca="1" si="21"/>
        <v>FINALIZADO</v>
      </c>
      <c r="Y70" s="100" t="s">
        <v>93</v>
      </c>
      <c r="Z70" s="101">
        <v>10800000</v>
      </c>
      <c r="AA70" s="101">
        <v>0</v>
      </c>
      <c r="AB70" s="101">
        <v>0</v>
      </c>
      <c r="AC70" s="101">
        <v>0</v>
      </c>
      <c r="AD70" s="102">
        <f t="shared" si="28"/>
        <v>10800000</v>
      </c>
      <c r="AE70" s="103">
        <f t="shared" si="31"/>
        <v>1157142.857142857</v>
      </c>
      <c r="AF70" s="44" t="s">
        <v>1110</v>
      </c>
      <c r="AG70" s="29" t="s">
        <v>1111</v>
      </c>
      <c r="AH70" s="44" t="s">
        <v>55</v>
      </c>
      <c r="AI70" s="29" t="s">
        <v>63</v>
      </c>
      <c r="AJ70" s="89" t="s">
        <v>17</v>
      </c>
      <c r="AK70" s="44" t="s">
        <v>17</v>
      </c>
      <c r="AL70" s="44" t="s">
        <v>17</v>
      </c>
      <c r="AM70" s="44" t="s">
        <v>36</v>
      </c>
      <c r="AN70" s="44" t="s">
        <v>24</v>
      </c>
      <c r="AO70" s="44" t="s">
        <v>24</v>
      </c>
      <c r="AP70" s="44" t="s">
        <v>17</v>
      </c>
      <c r="AQ70" s="44" t="s">
        <v>17</v>
      </c>
      <c r="AR70" s="44" t="s">
        <v>24</v>
      </c>
      <c r="AS70" s="44" t="s">
        <v>24</v>
      </c>
      <c r="AT70" s="44" t="s">
        <v>24</v>
      </c>
      <c r="AU70" s="123" t="s">
        <v>192</v>
      </c>
      <c r="AV70" s="44" cm="1">
        <f t="array" ref="AV70">SUMPRODUCT((AJ70:AT70&lt;&gt;"Pendiente")*(AJ70:AT70&lt;&gt;""))</f>
        <v>10</v>
      </c>
      <c r="AW70" s="44">
        <f>COUNTA(Tabla25[[#This Row],[INVITACIÓN]:[ACTA DE INICIO]])</f>
        <v>11</v>
      </c>
      <c r="AX70" s="106">
        <f t="shared" si="29"/>
        <v>0.90909090909090906</v>
      </c>
      <c r="AY70" s="61">
        <v>45721</v>
      </c>
      <c r="AZ70" s="10">
        <v>45727</v>
      </c>
      <c r="BA70" s="10">
        <v>45722</v>
      </c>
      <c r="BB70" s="10">
        <v>45365</v>
      </c>
      <c r="BC70" s="4" t="s">
        <v>1112</v>
      </c>
      <c r="BD70" s="4" t="s">
        <v>1113</v>
      </c>
      <c r="BE70" s="4" t="s">
        <v>1074</v>
      </c>
      <c r="BF70" s="10">
        <v>45699</v>
      </c>
      <c r="BG70" s="10">
        <v>45699</v>
      </c>
      <c r="BH70" s="4" t="s">
        <v>1114</v>
      </c>
      <c r="BI70" s="10">
        <v>45730</v>
      </c>
      <c r="BJ70" s="4" t="s">
        <v>1074</v>
      </c>
      <c r="BK70" s="4" t="s">
        <v>1074</v>
      </c>
      <c r="BL70" s="4" t="s">
        <v>1074</v>
      </c>
      <c r="BM70" s="4" t="s">
        <v>1074</v>
      </c>
      <c r="BN70" s="4" t="s">
        <v>976</v>
      </c>
      <c r="BO70" s="4">
        <f>COUNTA(Tabla25[[#This Row],[(1)SOLICITUD DE  APERTURA FIRNANCIERA Y PRESUPUESTO 1 (FECHA) ]:[(15) FECHA DE CONTRATACIÓN ADMINISTRATIVO]])</f>
        <v>15</v>
      </c>
      <c r="BP70" s="26">
        <f>Tabla25[[#This Row],[NUMERO OK]]/15</f>
        <v>1</v>
      </c>
      <c r="BQ70" s="4" t="str">
        <f t="shared" ca="1" si="30"/>
        <v>Cumplido</v>
      </c>
      <c r="BS70" s="9"/>
      <c r="BZ70" s="8"/>
    </row>
    <row r="71" spans="1:78" ht="114">
      <c r="A71" s="89">
        <v>2025</v>
      </c>
      <c r="B71" s="90" t="s">
        <v>1171</v>
      </c>
      <c r="C71" s="91" t="s">
        <v>227</v>
      </c>
      <c r="D71" s="44">
        <v>6915</v>
      </c>
      <c r="E71" s="44">
        <v>2910907384</v>
      </c>
      <c r="F71" s="44" t="s">
        <v>73</v>
      </c>
      <c r="G71" s="155" t="s">
        <v>1370</v>
      </c>
      <c r="H71" s="4" t="s">
        <v>145</v>
      </c>
      <c r="I71" s="4" t="s">
        <v>104</v>
      </c>
      <c r="J71" s="4" t="s">
        <v>64</v>
      </c>
      <c r="K71" s="4">
        <f t="shared" si="22"/>
        <v>3</v>
      </c>
      <c r="L71" s="4">
        <f t="shared" si="23"/>
        <v>3</v>
      </c>
      <c r="M71" s="4">
        <f t="shared" si="24"/>
        <v>6</v>
      </c>
      <c r="N71" s="10"/>
      <c r="O71" s="97">
        <v>45757</v>
      </c>
      <c r="P71" s="98">
        <v>45791</v>
      </c>
      <c r="Q71" s="99">
        <f t="shared" si="25"/>
        <v>7.0027397260273974</v>
      </c>
      <c r="R71" s="44">
        <v>213</v>
      </c>
      <c r="S71" s="44">
        <v>0</v>
      </c>
      <c r="T71" s="92">
        <v>0</v>
      </c>
      <c r="U71" s="92">
        <f t="shared" ca="1" si="26"/>
        <v>79</v>
      </c>
      <c r="V71" s="98">
        <f t="shared" si="27"/>
        <v>46004</v>
      </c>
      <c r="W71" s="89" t="s">
        <v>97</v>
      </c>
      <c r="X71" s="44" t="str">
        <f t="shared" ca="1" si="21"/>
        <v>EN EJECUCIÓN</v>
      </c>
      <c r="Y71" s="100" t="s">
        <v>99</v>
      </c>
      <c r="Z71" s="101">
        <v>1562512000</v>
      </c>
      <c r="AA71" s="101">
        <v>0</v>
      </c>
      <c r="AB71" s="101">
        <v>0</v>
      </c>
      <c r="AC71" s="101">
        <v>0</v>
      </c>
      <c r="AD71" s="102">
        <f t="shared" si="28"/>
        <v>1562512000</v>
      </c>
      <c r="AE71" s="103">
        <f t="shared" si="31"/>
        <v>167411999.99999997</v>
      </c>
      <c r="AF71" s="44" t="s">
        <v>1172</v>
      </c>
      <c r="AG71" s="44" t="s">
        <v>1173</v>
      </c>
      <c r="AH71" s="44" t="s">
        <v>22</v>
      </c>
      <c r="AI71" s="44" t="s">
        <v>23</v>
      </c>
      <c r="AJ71" s="89" t="s">
        <v>17</v>
      </c>
      <c r="AK71" s="44" t="s">
        <v>24</v>
      </c>
      <c r="AL71" s="44" t="s">
        <v>17</v>
      </c>
      <c r="AM71" s="44" t="s">
        <v>24</v>
      </c>
      <c r="AN71" s="44" t="s">
        <v>17</v>
      </c>
      <c r="AO71" s="44" t="s">
        <v>24</v>
      </c>
      <c r="AP71" s="44" t="s">
        <v>24</v>
      </c>
      <c r="AQ71" s="44" t="s">
        <v>24</v>
      </c>
      <c r="AR71" s="44" t="s">
        <v>24</v>
      </c>
      <c r="AS71" s="44" t="s">
        <v>24</v>
      </c>
      <c r="AT71" s="44" t="s">
        <v>24</v>
      </c>
      <c r="AU71" s="105" t="s">
        <v>192</v>
      </c>
      <c r="AV71" s="44" cm="1">
        <f t="array" ref="AV71">SUMPRODUCT((AJ71:AT71&lt;&gt;"Pendiente")*(AJ71:AT71&lt;&gt;""))</f>
        <v>11</v>
      </c>
      <c r="AW71" s="44">
        <f>COUNTA(Tabla25[[#This Row],[INVITACIÓN]:[ACTA DE INICIO]])</f>
        <v>11</v>
      </c>
      <c r="AX71" s="106">
        <f t="shared" si="29"/>
        <v>1</v>
      </c>
      <c r="AY71" s="47">
        <v>45768</v>
      </c>
      <c r="AZ71" s="10">
        <v>45770</v>
      </c>
      <c r="BA71" s="10">
        <v>45793</v>
      </c>
      <c r="BB71" s="10">
        <v>45812</v>
      </c>
      <c r="BC71" s="151" t="s">
        <v>1371</v>
      </c>
      <c r="BD71" s="4" t="s">
        <v>1372</v>
      </c>
      <c r="BE71" s="4" t="s">
        <v>1373</v>
      </c>
      <c r="BF71" s="10">
        <v>45674</v>
      </c>
      <c r="BG71" s="10">
        <v>45777</v>
      </c>
      <c r="BH71" s="4" t="s">
        <v>1374</v>
      </c>
      <c r="BI71" s="10">
        <v>45820</v>
      </c>
      <c r="BJ71" s="10">
        <v>45812</v>
      </c>
      <c r="BK71" s="10">
        <v>45824</v>
      </c>
      <c r="BL71" s="10">
        <v>45820</v>
      </c>
      <c r="BM71" s="10">
        <v>45828</v>
      </c>
      <c r="BN71" s="10">
        <v>45834</v>
      </c>
      <c r="BO71" s="4">
        <f>COUNTA(Tabla25[[#This Row],[(1)SOLICITUD DE  APERTURA FIRNANCIERA Y PRESUPUESTO 1 (FECHA) ]:[(15) FECHA DE CONTRATACIÓN ADMINISTRATIVO]])</f>
        <v>15</v>
      </c>
      <c r="BP71" s="26">
        <f>Tabla25[[#This Row],[NUMERO OK]]/15</f>
        <v>1</v>
      </c>
      <c r="BQ71" s="4" t="str">
        <f t="shared" ca="1" si="30"/>
        <v>Cumplido</v>
      </c>
      <c r="BS71" s="9"/>
      <c r="BZ71" s="8"/>
    </row>
    <row r="72" spans="1:78" ht="99.75">
      <c r="A72" s="89">
        <v>2025</v>
      </c>
      <c r="B72" s="90" t="s">
        <v>1167</v>
      </c>
      <c r="C72" s="91" t="s">
        <v>875</v>
      </c>
      <c r="D72" s="44">
        <v>6914</v>
      </c>
      <c r="E72" s="44">
        <v>2453018377</v>
      </c>
      <c r="F72" s="44" t="s">
        <v>73</v>
      </c>
      <c r="G72" s="155" t="s">
        <v>1375</v>
      </c>
      <c r="H72" s="4" t="s">
        <v>135</v>
      </c>
      <c r="I72" s="4" t="s">
        <v>112</v>
      </c>
      <c r="J72" s="4" t="s">
        <v>77</v>
      </c>
      <c r="K72" s="4">
        <f t="shared" si="22"/>
        <v>3</v>
      </c>
      <c r="L72" s="4">
        <f t="shared" si="23"/>
        <v>3</v>
      </c>
      <c r="M72" s="4">
        <f t="shared" si="24"/>
        <v>6</v>
      </c>
      <c r="N72" s="10"/>
      <c r="O72" s="97">
        <v>45758</v>
      </c>
      <c r="P72" s="98">
        <v>45771</v>
      </c>
      <c r="Q72" s="99">
        <f t="shared" si="25"/>
        <v>7.0027397260273974</v>
      </c>
      <c r="R72" s="44">
        <v>213</v>
      </c>
      <c r="S72" s="44">
        <v>0</v>
      </c>
      <c r="T72" s="92">
        <v>0</v>
      </c>
      <c r="U72" s="92">
        <f t="shared" ca="1" si="26"/>
        <v>99</v>
      </c>
      <c r="V72" s="98">
        <f t="shared" si="27"/>
        <v>45984</v>
      </c>
      <c r="W72" s="89" t="s">
        <v>97</v>
      </c>
      <c r="X72" s="44" t="str">
        <f t="shared" ca="1" si="21"/>
        <v>EN EJECUCIÓN</v>
      </c>
      <c r="Y72" s="100" t="s">
        <v>99</v>
      </c>
      <c r="Z72" s="101">
        <v>1443523270</v>
      </c>
      <c r="AA72" s="101">
        <v>0</v>
      </c>
      <c r="AB72" s="101">
        <v>144352327</v>
      </c>
      <c r="AC72" s="101">
        <v>0</v>
      </c>
      <c r="AD72" s="102">
        <f t="shared" si="28"/>
        <v>1587875597</v>
      </c>
      <c r="AE72" s="103">
        <f t="shared" si="31"/>
        <v>154663207.5</v>
      </c>
      <c r="AF72" s="44" t="s">
        <v>1169</v>
      </c>
      <c r="AG72" s="44" t="s">
        <v>1170</v>
      </c>
      <c r="AH72" s="44" t="s">
        <v>34</v>
      </c>
      <c r="AI72" s="44" t="s">
        <v>23</v>
      </c>
      <c r="AJ72" s="89" t="s">
        <v>24</v>
      </c>
      <c r="AK72" s="44" t="s">
        <v>24</v>
      </c>
      <c r="AL72" s="44" t="s">
        <v>17</v>
      </c>
      <c r="AM72" s="44" t="s">
        <v>24</v>
      </c>
      <c r="AN72" s="44" t="s">
        <v>17</v>
      </c>
      <c r="AO72" s="44" t="s">
        <v>24</v>
      </c>
      <c r="AP72" s="44" t="s">
        <v>24</v>
      </c>
      <c r="AQ72" s="44" t="s">
        <v>24</v>
      </c>
      <c r="AR72" s="44" t="s">
        <v>24</v>
      </c>
      <c r="AS72" s="44" t="s">
        <v>24</v>
      </c>
      <c r="AT72" s="44" t="s">
        <v>24</v>
      </c>
      <c r="AU72" s="105" t="s">
        <v>192</v>
      </c>
      <c r="AV72" s="44" cm="1">
        <f t="array" ref="AV72">SUMPRODUCT((AJ72:AT72&lt;&gt;"Pendiente")*(AJ72:AT72&lt;&gt;""))</f>
        <v>11</v>
      </c>
      <c r="AW72" s="44">
        <f>COUNTA(Tabla25[[#This Row],[INVITACIÓN]:[ACTA DE INICIO]])</f>
        <v>11</v>
      </c>
      <c r="AX72" s="106">
        <f t="shared" si="29"/>
        <v>1</v>
      </c>
      <c r="AY72" s="47">
        <v>45768</v>
      </c>
      <c r="AZ72" s="10">
        <v>45763</v>
      </c>
      <c r="BA72" s="10">
        <v>45758</v>
      </c>
      <c r="BB72" s="10">
        <v>45761</v>
      </c>
      <c r="BC72" s="4" t="s">
        <v>1074</v>
      </c>
      <c r="BD72" s="4" t="s">
        <v>1376</v>
      </c>
      <c r="BE72" s="4" t="s">
        <v>1377</v>
      </c>
      <c r="BF72" s="10">
        <v>45723</v>
      </c>
      <c r="BG72" s="10">
        <v>45769</v>
      </c>
      <c r="BH72" s="4" t="s">
        <v>1378</v>
      </c>
      <c r="BI72" s="10">
        <v>45784</v>
      </c>
      <c r="BJ72" s="4" t="s">
        <v>1074</v>
      </c>
      <c r="BK72" s="10">
        <v>45776</v>
      </c>
      <c r="BL72" s="4" t="s">
        <v>1074</v>
      </c>
      <c r="BM72" s="10">
        <v>45790</v>
      </c>
      <c r="BN72" s="10">
        <v>45793</v>
      </c>
      <c r="BO72" s="4">
        <f>COUNTA(Tabla25[[#This Row],[(1)SOLICITUD DE  APERTURA FIRNANCIERA Y PRESUPUESTO 1 (FECHA) ]:[(15) FECHA DE CONTRATACIÓN ADMINISTRATIVO]])</f>
        <v>15</v>
      </c>
      <c r="BP72" s="26">
        <f>Tabla25[[#This Row],[NUMERO OK]]/15</f>
        <v>1</v>
      </c>
      <c r="BQ72" s="4" t="str">
        <f t="shared" ca="1" si="30"/>
        <v>Cumplido</v>
      </c>
      <c r="BS72" s="9"/>
      <c r="BZ72" s="8"/>
    </row>
    <row r="73" spans="1:78" ht="71.25">
      <c r="A73" s="89">
        <v>2025</v>
      </c>
      <c r="B73" s="90" t="s">
        <v>1379</v>
      </c>
      <c r="C73" s="91" t="s">
        <v>1380</v>
      </c>
      <c r="D73" s="44">
        <v>6918</v>
      </c>
      <c r="E73" s="44">
        <v>2910907387</v>
      </c>
      <c r="F73" s="44" t="s">
        <v>73</v>
      </c>
      <c r="G73" s="155" t="s">
        <v>1381</v>
      </c>
      <c r="H73" s="4" t="s">
        <v>127</v>
      </c>
      <c r="I73" s="4" t="s">
        <v>100</v>
      </c>
      <c r="J73" s="4" t="s">
        <v>77</v>
      </c>
      <c r="K73" s="4">
        <f t="shared" si="22"/>
        <v>5</v>
      </c>
      <c r="L73" s="4">
        <f t="shared" si="23"/>
        <v>1</v>
      </c>
      <c r="M73" s="4">
        <f t="shared" si="24"/>
        <v>6</v>
      </c>
      <c r="N73" s="10"/>
      <c r="O73" s="97">
        <v>45772</v>
      </c>
      <c r="P73" s="98">
        <v>45777</v>
      </c>
      <c r="Q73" s="99">
        <f t="shared" si="25"/>
        <v>4.0109589041095886</v>
      </c>
      <c r="R73" s="92">
        <v>122</v>
      </c>
      <c r="S73" s="92">
        <v>0</v>
      </c>
      <c r="T73" s="92">
        <v>0</v>
      </c>
      <c r="U73" s="92">
        <f t="shared" ca="1" si="26"/>
        <v>93</v>
      </c>
      <c r="V73" s="98">
        <f t="shared" si="27"/>
        <v>45899</v>
      </c>
      <c r="W73" s="89" t="s">
        <v>60</v>
      </c>
      <c r="X73" s="44" t="str">
        <f t="shared" ca="1" si="21"/>
        <v>EN EJECUCIÓN</v>
      </c>
      <c r="Y73" s="100" t="s">
        <v>93</v>
      </c>
      <c r="Z73" s="101">
        <v>76000000</v>
      </c>
      <c r="AA73" s="101">
        <v>0</v>
      </c>
      <c r="AB73" s="101">
        <v>0</v>
      </c>
      <c r="AC73" s="101">
        <v>0</v>
      </c>
      <c r="AD73" s="102">
        <f t="shared" si="28"/>
        <v>76000000</v>
      </c>
      <c r="AE73" s="103">
        <f t="shared" si="31"/>
        <v>8142857.1428571418</v>
      </c>
      <c r="AF73" s="44" t="s">
        <v>1382</v>
      </c>
      <c r="AG73" s="44" t="s">
        <v>1383</v>
      </c>
      <c r="AH73" s="44" t="s">
        <v>22</v>
      </c>
      <c r="AI73" s="44" t="s">
        <v>23</v>
      </c>
      <c r="AJ73" s="89" t="s">
        <v>24</v>
      </c>
      <c r="AK73" s="44" t="s">
        <v>24</v>
      </c>
      <c r="AL73" s="44" t="s">
        <v>24</v>
      </c>
      <c r="AM73" s="44" t="s">
        <v>24</v>
      </c>
      <c r="AN73" s="44" t="s">
        <v>24</v>
      </c>
      <c r="AO73" s="44" t="s">
        <v>24</v>
      </c>
      <c r="AP73" s="44" t="s">
        <v>24</v>
      </c>
      <c r="AQ73" s="44" t="s">
        <v>24</v>
      </c>
      <c r="AR73" s="44" t="s">
        <v>24</v>
      </c>
      <c r="AS73" s="44" t="s">
        <v>24</v>
      </c>
      <c r="AT73" s="44" t="s">
        <v>24</v>
      </c>
      <c r="AU73" s="105" t="s">
        <v>192</v>
      </c>
      <c r="AV73" s="44" cm="1">
        <f t="array" ref="AV73">SUMPRODUCT((AJ73:AT73&lt;&gt;"Pendiente")*(AJ73:AT73&lt;&gt;""))</f>
        <v>11</v>
      </c>
      <c r="AW73" s="44">
        <f>COUNTA(Tabla25[[#This Row],[INVITACIÓN]:[ACTA DE INICIO]])</f>
        <v>11</v>
      </c>
      <c r="AX73" s="106">
        <f t="shared" si="29"/>
        <v>1</v>
      </c>
      <c r="AY73" s="47">
        <v>45782</v>
      </c>
      <c r="AZ73" s="10">
        <v>45776</v>
      </c>
      <c r="BA73" s="10">
        <v>45782</v>
      </c>
      <c r="BB73" s="10">
        <v>45796</v>
      </c>
      <c r="BC73" s="4" t="s">
        <v>1384</v>
      </c>
      <c r="BD73" s="4" t="s">
        <v>1385</v>
      </c>
      <c r="BE73" s="4" t="s">
        <v>1386</v>
      </c>
      <c r="BF73" s="10">
        <v>45771</v>
      </c>
      <c r="BG73" s="10">
        <v>45782</v>
      </c>
      <c r="BH73" s="4" t="s">
        <v>1387</v>
      </c>
      <c r="BI73" s="10">
        <v>45795</v>
      </c>
      <c r="BJ73" s="10">
        <v>45796</v>
      </c>
      <c r="BK73" s="10">
        <v>45790</v>
      </c>
      <c r="BL73" s="10">
        <v>45799</v>
      </c>
      <c r="BM73" s="10">
        <v>45793</v>
      </c>
      <c r="BN73" s="10">
        <v>45800</v>
      </c>
      <c r="BO73" s="4">
        <f>COUNTA(Tabla25[[#This Row],[(1)SOLICITUD DE  APERTURA FIRNANCIERA Y PRESUPUESTO 1 (FECHA) ]:[(15) FECHA DE CONTRATACIÓN ADMINISTRATIVO]])</f>
        <v>15</v>
      </c>
      <c r="BP73" s="26">
        <f>Tabla25[[#This Row],[NUMERO OK]]/15</f>
        <v>1</v>
      </c>
      <c r="BQ73" s="4" t="str">
        <f t="shared" ca="1" si="30"/>
        <v>Cumplido</v>
      </c>
      <c r="BS73" s="9"/>
      <c r="BZ73" s="8"/>
    </row>
    <row r="74" spans="1:78" ht="85.5">
      <c r="A74" s="89">
        <v>2025</v>
      </c>
      <c r="B74" s="90" t="s">
        <v>1388</v>
      </c>
      <c r="C74" s="91" t="s">
        <v>917</v>
      </c>
      <c r="D74" s="44">
        <v>6922</v>
      </c>
      <c r="E74" s="44">
        <v>2910907391</v>
      </c>
      <c r="F74" s="44" t="s">
        <v>73</v>
      </c>
      <c r="G74" s="155" t="s">
        <v>1389</v>
      </c>
      <c r="H74" s="4" t="s">
        <v>142</v>
      </c>
      <c r="I74" s="4" t="s">
        <v>112</v>
      </c>
      <c r="J74" s="4" t="s">
        <v>77</v>
      </c>
      <c r="K74" s="4">
        <f t="shared" si="22"/>
        <v>5</v>
      </c>
      <c r="L74" s="4">
        <f t="shared" si="23"/>
        <v>1</v>
      </c>
      <c r="M74" s="4">
        <f t="shared" si="24"/>
        <v>6</v>
      </c>
      <c r="N74" s="10"/>
      <c r="O74" s="97">
        <v>45806</v>
      </c>
      <c r="P74" s="98">
        <v>45819</v>
      </c>
      <c r="Q74" s="99">
        <f t="shared" si="25"/>
        <v>5.9835616438356158</v>
      </c>
      <c r="R74" s="92">
        <v>182</v>
      </c>
      <c r="S74" s="92">
        <v>0</v>
      </c>
      <c r="T74" s="92">
        <v>0</v>
      </c>
      <c r="U74" s="92">
        <f t="shared" ca="1" si="26"/>
        <v>51</v>
      </c>
      <c r="V74" s="98">
        <f t="shared" si="27"/>
        <v>46001</v>
      </c>
      <c r="W74" s="89" t="s">
        <v>68</v>
      </c>
      <c r="X74" s="44" t="str">
        <f t="shared" ca="1" si="21"/>
        <v>EN EJECUCIÓN</v>
      </c>
      <c r="Y74" s="100" t="s">
        <v>93</v>
      </c>
      <c r="Z74" s="101">
        <v>70000000</v>
      </c>
      <c r="AA74" s="101">
        <v>0</v>
      </c>
      <c r="AB74" s="101">
        <v>0</v>
      </c>
      <c r="AC74" s="101">
        <v>0</v>
      </c>
      <c r="AD74" s="102">
        <f t="shared" si="28"/>
        <v>70000000</v>
      </c>
      <c r="AE74" s="103">
        <f t="shared" si="31"/>
        <v>7499999.9999999991</v>
      </c>
      <c r="AF74" s="44" t="s">
        <v>1390</v>
      </c>
      <c r="AG74" s="44" t="s">
        <v>1391</v>
      </c>
      <c r="AH74" s="44" t="s">
        <v>22</v>
      </c>
      <c r="AI74" s="44" t="s">
        <v>23</v>
      </c>
      <c r="AJ74" s="89" t="s">
        <v>24</v>
      </c>
      <c r="AK74" s="44" t="s">
        <v>17</v>
      </c>
      <c r="AL74" s="44" t="s">
        <v>24</v>
      </c>
      <c r="AM74" s="44" t="s">
        <v>24</v>
      </c>
      <c r="AN74" s="44" t="s">
        <v>24</v>
      </c>
      <c r="AO74" s="44" t="s">
        <v>24</v>
      </c>
      <c r="AP74" s="44" t="s">
        <v>24</v>
      </c>
      <c r="AQ74" s="44" t="s">
        <v>24</v>
      </c>
      <c r="AR74" s="44" t="s">
        <v>24</v>
      </c>
      <c r="AS74" s="44" t="s">
        <v>24</v>
      </c>
      <c r="AT74" s="44" t="s">
        <v>24</v>
      </c>
      <c r="AU74" s="105" t="s">
        <v>192</v>
      </c>
      <c r="AV74" s="44" cm="1">
        <f t="array" ref="AV74">SUMPRODUCT((AJ74:AT74&lt;&gt;"Pendiente")*(AJ74:AT74&lt;&gt;""))</f>
        <v>11</v>
      </c>
      <c r="AW74" s="44">
        <f>COUNTA(Tabla25[[#This Row],[INVITACIÓN]:[ACTA DE INICIO]])</f>
        <v>11</v>
      </c>
      <c r="AX74" s="106">
        <f t="shared" si="29"/>
        <v>1</v>
      </c>
      <c r="AY74" s="47">
        <v>45817</v>
      </c>
      <c r="AZ74" s="10">
        <v>45812</v>
      </c>
      <c r="BA74" s="10">
        <v>45821</v>
      </c>
      <c r="BB74" s="10">
        <v>45821</v>
      </c>
      <c r="BC74" s="4" t="s">
        <v>1392</v>
      </c>
      <c r="BD74" s="4" t="s">
        <v>1393</v>
      </c>
      <c r="BE74" s="4" t="s">
        <v>832</v>
      </c>
      <c r="BF74" s="10">
        <v>45820</v>
      </c>
      <c r="BG74" s="10">
        <v>45813</v>
      </c>
      <c r="BH74" s="4" t="s">
        <v>1394</v>
      </c>
      <c r="BI74" s="10">
        <v>45828</v>
      </c>
      <c r="BJ74" s="10">
        <v>45825</v>
      </c>
      <c r="BK74" s="4" t="s">
        <v>832</v>
      </c>
      <c r="BL74" s="10">
        <v>45839</v>
      </c>
      <c r="BM74" s="4" t="s">
        <v>832</v>
      </c>
      <c r="BN74" s="10">
        <v>45845</v>
      </c>
      <c r="BO74" s="4">
        <f>COUNTA(Tabla25[[#This Row],[(1)SOLICITUD DE  APERTURA FIRNANCIERA Y PRESUPUESTO 1 (FECHA) ]:[(15) FECHA DE CONTRATACIÓN ADMINISTRATIVO]])</f>
        <v>15</v>
      </c>
      <c r="BP74" s="26">
        <f>Tabla25[[#This Row],[NUMERO OK]]/15</f>
        <v>1</v>
      </c>
      <c r="BQ74" s="4" t="str">
        <f t="shared" ca="1" si="30"/>
        <v>Cumplido</v>
      </c>
      <c r="BS74" s="9"/>
      <c r="BZ74" s="8"/>
    </row>
    <row r="75" spans="1:78" ht="128.25">
      <c r="A75" s="89">
        <v>2025</v>
      </c>
      <c r="B75" s="90" t="s">
        <v>1395</v>
      </c>
      <c r="C75" s="91" t="s">
        <v>648</v>
      </c>
      <c r="D75" s="44">
        <v>6920</v>
      </c>
      <c r="E75" s="44">
        <v>2910907390</v>
      </c>
      <c r="F75" s="44" t="s">
        <v>85</v>
      </c>
      <c r="G75" s="155" t="s">
        <v>1396</v>
      </c>
      <c r="H75" s="4" t="s">
        <v>142</v>
      </c>
      <c r="I75" s="4" t="s">
        <v>112</v>
      </c>
      <c r="J75" s="4" t="s">
        <v>77</v>
      </c>
      <c r="K75" s="4">
        <f t="shared" si="22"/>
        <v>3</v>
      </c>
      <c r="L75" s="4">
        <f t="shared" si="23"/>
        <v>1</v>
      </c>
      <c r="M75" s="4">
        <f t="shared" si="24"/>
        <v>4</v>
      </c>
      <c r="N75" s="10"/>
      <c r="O75" s="97">
        <v>45791</v>
      </c>
      <c r="P75" s="98">
        <v>45820</v>
      </c>
      <c r="Q75" s="99">
        <f t="shared" si="25"/>
        <v>8.0219178082191771</v>
      </c>
      <c r="R75" s="92">
        <v>244</v>
      </c>
      <c r="S75" s="92">
        <v>14</v>
      </c>
      <c r="T75" s="92">
        <v>0</v>
      </c>
      <c r="U75" s="92">
        <f t="shared" ca="1" si="26"/>
        <v>36</v>
      </c>
      <c r="V75" s="98">
        <f t="shared" si="27"/>
        <v>46078</v>
      </c>
      <c r="W75" s="89" t="s">
        <v>97</v>
      </c>
      <c r="X75" s="44" t="str">
        <f t="shared" ca="1" si="21"/>
        <v>EN EJECUCIÓN</v>
      </c>
      <c r="Y75" s="100" t="s">
        <v>44</v>
      </c>
      <c r="Z75" s="101">
        <v>204472820</v>
      </c>
      <c r="AA75" s="101">
        <v>0</v>
      </c>
      <c r="AB75" s="101">
        <v>0</v>
      </c>
      <c r="AC75" s="101">
        <v>0</v>
      </c>
      <c r="AD75" s="102">
        <f t="shared" si="28"/>
        <v>204472820</v>
      </c>
      <c r="AE75" s="103">
        <f t="shared" si="31"/>
        <v>21907802.142857138</v>
      </c>
      <c r="AF75" s="44" t="s">
        <v>650</v>
      </c>
      <c r="AG75" s="44" t="s">
        <v>1397</v>
      </c>
      <c r="AH75" s="44" t="s">
        <v>22</v>
      </c>
      <c r="AI75" s="29" t="s">
        <v>23</v>
      </c>
      <c r="AJ75" s="89" t="s">
        <v>17</v>
      </c>
      <c r="AK75" s="44" t="s">
        <v>24</v>
      </c>
      <c r="AL75" s="44" t="s">
        <v>17</v>
      </c>
      <c r="AM75" s="44" t="s">
        <v>24</v>
      </c>
      <c r="AN75" s="44" t="s">
        <v>17</v>
      </c>
      <c r="AO75" s="44" t="s">
        <v>24</v>
      </c>
      <c r="AP75" s="44" t="s">
        <v>24</v>
      </c>
      <c r="AQ75" s="44" t="s">
        <v>17</v>
      </c>
      <c r="AR75" s="44" t="s">
        <v>24</v>
      </c>
      <c r="AS75" s="44" t="s">
        <v>24</v>
      </c>
      <c r="AT75" s="44" t="s">
        <v>24</v>
      </c>
      <c r="AU75" s="105" t="s">
        <v>1398</v>
      </c>
      <c r="AV75" s="44" cm="1">
        <f t="array" ref="AV75">SUMPRODUCT((AJ75:AT75&lt;&gt;"Pendiente")*(AJ75:AT75&lt;&gt;""))</f>
        <v>11</v>
      </c>
      <c r="AW75" s="44">
        <f>COUNTA(Tabla25[[#This Row],[INVITACIÓN]:[ACTA DE INICIO]])</f>
        <v>11</v>
      </c>
      <c r="AX75" s="106">
        <f t="shared" si="29"/>
        <v>1</v>
      </c>
      <c r="AY75" s="47">
        <v>45817</v>
      </c>
      <c r="AZ75" s="10">
        <v>45804</v>
      </c>
      <c r="BA75" s="10">
        <v>45835</v>
      </c>
      <c r="BB75" s="10">
        <v>45811</v>
      </c>
      <c r="BC75" s="4" t="s">
        <v>1399</v>
      </c>
      <c r="BD75" s="4" t="s">
        <v>1349</v>
      </c>
      <c r="BE75" s="4" t="s">
        <v>1400</v>
      </c>
      <c r="BF75" s="4" t="s">
        <v>1074</v>
      </c>
      <c r="BG75" s="4" t="s">
        <v>1074</v>
      </c>
      <c r="BH75" s="4" t="s">
        <v>1351</v>
      </c>
      <c r="BI75" s="10">
        <v>45840</v>
      </c>
      <c r="BJ75" s="10">
        <v>45840</v>
      </c>
      <c r="BK75" s="10">
        <v>45840</v>
      </c>
      <c r="BL75" s="10">
        <v>45853</v>
      </c>
      <c r="BM75" s="10">
        <v>45853</v>
      </c>
      <c r="BN75" s="124">
        <v>45863</v>
      </c>
      <c r="BO75" s="4">
        <f>COUNTA(Tabla25[[#This Row],[(1)SOLICITUD DE  APERTURA FIRNANCIERA Y PRESUPUESTO 1 (FECHA) ]:[(15) FECHA DE CONTRATACIÓN ADMINISTRATIVO]])</f>
        <v>15</v>
      </c>
      <c r="BP75" s="26">
        <f>Tabla25[[#This Row],[NUMERO OK]]/15</f>
        <v>1</v>
      </c>
      <c r="BQ75" s="4" t="str">
        <f t="shared" ca="1" si="30"/>
        <v>Cumplido</v>
      </c>
      <c r="BS75" s="9"/>
      <c r="BZ75" s="8"/>
    </row>
    <row r="76" spans="1:78" ht="75">
      <c r="A76" s="89">
        <v>2025</v>
      </c>
      <c r="B76" s="90" t="s">
        <v>1401</v>
      </c>
      <c r="C76" s="91" t="s">
        <v>651</v>
      </c>
      <c r="D76" s="44">
        <v>6921</v>
      </c>
      <c r="E76" s="44">
        <v>2910907389</v>
      </c>
      <c r="F76" s="44" t="s">
        <v>85</v>
      </c>
      <c r="G76" s="155" t="s">
        <v>1402</v>
      </c>
      <c r="H76" s="4" t="s">
        <v>145</v>
      </c>
      <c r="I76" s="4" t="s">
        <v>100</v>
      </c>
      <c r="J76" s="4" t="s">
        <v>48</v>
      </c>
      <c r="K76" s="4">
        <f t="shared" si="22"/>
        <v>3</v>
      </c>
      <c r="L76" s="4">
        <f t="shared" si="23"/>
        <v>3</v>
      </c>
      <c r="M76" s="4">
        <f t="shared" si="24"/>
        <v>6</v>
      </c>
      <c r="N76" s="10"/>
      <c r="O76" s="97">
        <v>45799</v>
      </c>
      <c r="P76" s="98">
        <v>45805</v>
      </c>
      <c r="Q76" s="99">
        <f t="shared" si="25"/>
        <v>7.1342465753424653</v>
      </c>
      <c r="R76" s="92">
        <v>217</v>
      </c>
      <c r="S76" s="92">
        <v>0</v>
      </c>
      <c r="T76" s="92">
        <v>0</v>
      </c>
      <c r="U76" s="92">
        <f t="shared" ca="1" si="26"/>
        <v>65</v>
      </c>
      <c r="V76" s="98">
        <f t="shared" si="27"/>
        <v>46022</v>
      </c>
      <c r="W76" s="89" t="s">
        <v>97</v>
      </c>
      <c r="X76" s="44" t="str">
        <f t="shared" ca="1" si="21"/>
        <v>EN EJECUCIÓN</v>
      </c>
      <c r="Y76" s="100" t="s">
        <v>93</v>
      </c>
      <c r="Z76" s="101">
        <v>531500000</v>
      </c>
      <c r="AA76" s="101">
        <v>0</v>
      </c>
      <c r="AB76" s="101">
        <v>0</v>
      </c>
      <c r="AC76" s="101">
        <v>0</v>
      </c>
      <c r="AD76" s="102">
        <f t="shared" si="28"/>
        <v>531500000</v>
      </c>
      <c r="AE76" s="103">
        <f t="shared" si="31"/>
        <v>56946428.571428567</v>
      </c>
      <c r="AF76" s="104" t="s">
        <v>1403</v>
      </c>
      <c r="AG76" s="29" t="s">
        <v>1404</v>
      </c>
      <c r="AH76" s="44" t="s">
        <v>22</v>
      </c>
      <c r="AI76" s="29" t="s">
        <v>23</v>
      </c>
      <c r="AJ76" s="89" t="s">
        <v>17</v>
      </c>
      <c r="AK76" s="44" t="s">
        <v>24</v>
      </c>
      <c r="AL76" s="44" t="s">
        <v>24</v>
      </c>
      <c r="AM76" s="44" t="s">
        <v>24</v>
      </c>
      <c r="AN76" s="44" t="s">
        <v>17</v>
      </c>
      <c r="AO76" s="44" t="s">
        <v>24</v>
      </c>
      <c r="AP76" s="44" t="s">
        <v>24</v>
      </c>
      <c r="AQ76" s="44" t="s">
        <v>24</v>
      </c>
      <c r="AR76" s="44" t="s">
        <v>24</v>
      </c>
      <c r="AS76" s="44" t="s">
        <v>24</v>
      </c>
      <c r="AT76" s="44" t="s">
        <v>24</v>
      </c>
      <c r="AU76" s="105" t="s">
        <v>192</v>
      </c>
      <c r="AV76" s="44" cm="1">
        <f t="array" ref="AV76">SUMPRODUCT((AJ76:AT76&lt;&gt;"Pendiente")*(AJ76:AT76&lt;&gt;""))</f>
        <v>11</v>
      </c>
      <c r="AW76" s="44">
        <f>COUNTA(Tabla25[[#This Row],[INVITACIÓN]:[ACTA DE INICIO]])</f>
        <v>11</v>
      </c>
      <c r="AX76" s="106">
        <f t="shared" si="29"/>
        <v>1</v>
      </c>
      <c r="AY76" s="47">
        <v>45811</v>
      </c>
      <c r="AZ76" s="10">
        <v>45804</v>
      </c>
      <c r="BA76" s="10">
        <v>45818</v>
      </c>
      <c r="BB76" s="10">
        <v>45846</v>
      </c>
      <c r="BC76" s="152" t="s">
        <v>1405</v>
      </c>
      <c r="BD76" s="4" t="s">
        <v>1406</v>
      </c>
      <c r="BE76" s="4" t="s">
        <v>1407</v>
      </c>
      <c r="BF76" s="10">
        <v>45720</v>
      </c>
      <c r="BG76" s="10">
        <v>45803</v>
      </c>
      <c r="BH76" s="4" t="s">
        <v>1408</v>
      </c>
      <c r="BI76" s="10">
        <v>45825</v>
      </c>
      <c r="BJ76" s="10">
        <v>45846</v>
      </c>
      <c r="BK76" s="10">
        <v>45828</v>
      </c>
      <c r="BM76" s="10">
        <v>45835</v>
      </c>
      <c r="BO76" s="4">
        <f>COUNTA(Tabla25[[#This Row],[(1)SOLICITUD DE  APERTURA FIRNANCIERA Y PRESUPUESTO 1 (FECHA) ]:[(15) FECHA DE CONTRATACIÓN ADMINISTRATIVO]])</f>
        <v>14</v>
      </c>
      <c r="BP76" s="26">
        <f>Tabla25[[#This Row],[NUMERO OK]]/15</f>
        <v>0.93333333333333335</v>
      </c>
      <c r="BQ76" s="4" t="str">
        <f t="shared" ca="1" si="30"/>
        <v>RiesgoMedio</v>
      </c>
      <c r="BS76" s="9"/>
      <c r="BZ76" s="8"/>
    </row>
    <row r="77" spans="1:78" ht="71.25">
      <c r="A77" s="89">
        <v>2025</v>
      </c>
      <c r="B77" s="90" t="s">
        <v>1409</v>
      </c>
      <c r="C77" s="91" t="s">
        <v>680</v>
      </c>
      <c r="D77" s="44">
        <v>6924</v>
      </c>
      <c r="E77" s="44">
        <v>2910907393</v>
      </c>
      <c r="F77" s="44" t="s">
        <v>96</v>
      </c>
      <c r="G77" s="155" t="s">
        <v>1410</v>
      </c>
      <c r="H77" s="4" t="s">
        <v>142</v>
      </c>
      <c r="I77" s="4" t="s">
        <v>104</v>
      </c>
      <c r="J77" s="4" t="s">
        <v>38</v>
      </c>
      <c r="K77" s="4">
        <f t="shared" si="22"/>
        <v>5</v>
      </c>
      <c r="L77" s="4">
        <f t="shared" si="23"/>
        <v>3</v>
      </c>
      <c r="M77" s="4">
        <f t="shared" si="24"/>
        <v>8</v>
      </c>
      <c r="N77" s="10"/>
      <c r="O77" s="97">
        <v>45817</v>
      </c>
      <c r="P77" s="98">
        <v>45832</v>
      </c>
      <c r="Q77" s="99">
        <f t="shared" si="25"/>
        <v>5.8849315068493144</v>
      </c>
      <c r="R77" s="92">
        <v>179</v>
      </c>
      <c r="S77" s="92">
        <v>0</v>
      </c>
      <c r="T77" s="92">
        <v>0</v>
      </c>
      <c r="U77" s="92">
        <f t="shared" ca="1" si="26"/>
        <v>38</v>
      </c>
      <c r="V77" s="98">
        <f t="shared" si="27"/>
        <v>46011</v>
      </c>
      <c r="W77" s="89" t="s">
        <v>97</v>
      </c>
      <c r="X77" s="44" t="str">
        <f t="shared" ca="1" si="21"/>
        <v>EN EJECUCIÓN</v>
      </c>
      <c r="Y77" s="100" t="s">
        <v>33</v>
      </c>
      <c r="Z77" s="101">
        <v>1554017120</v>
      </c>
      <c r="AA77" s="101">
        <v>0</v>
      </c>
      <c r="AB77" s="101">
        <v>0</v>
      </c>
      <c r="AC77" s="101">
        <v>0</v>
      </c>
      <c r="AD77" s="102">
        <f t="shared" si="28"/>
        <v>1554017120</v>
      </c>
      <c r="AE77" s="103">
        <f t="shared" si="31"/>
        <v>166501834.28571427</v>
      </c>
      <c r="AF77" s="104" t="s">
        <v>1411</v>
      </c>
      <c r="AG77" s="44" t="s">
        <v>1412</v>
      </c>
      <c r="AH77" s="44" t="s">
        <v>22</v>
      </c>
      <c r="AI77" s="29" t="s">
        <v>23</v>
      </c>
      <c r="AJ77" s="89" t="s">
        <v>17</v>
      </c>
      <c r="AK77" s="44" t="s">
        <v>24</v>
      </c>
      <c r="AL77" s="44" t="s">
        <v>24</v>
      </c>
      <c r="AM77" s="44" t="s">
        <v>36</v>
      </c>
      <c r="AN77" s="44" t="s">
        <v>17</v>
      </c>
      <c r="AO77" s="44" t="s">
        <v>24</v>
      </c>
      <c r="AP77" s="44" t="s">
        <v>24</v>
      </c>
      <c r="AQ77" s="44" t="s">
        <v>17</v>
      </c>
      <c r="AR77" s="44" t="s">
        <v>24</v>
      </c>
      <c r="AS77" s="44" t="s">
        <v>24</v>
      </c>
      <c r="AT77" s="44" t="s">
        <v>24</v>
      </c>
      <c r="AU77" s="105" t="s">
        <v>1341</v>
      </c>
      <c r="AV77" s="44" cm="1">
        <f t="array" ref="AV77">SUMPRODUCT((AJ77:AT77&lt;&gt;"Pendiente")*(AJ77:AT77&lt;&gt;""))</f>
        <v>10</v>
      </c>
      <c r="AW77" s="44">
        <f>COUNTA(Tabla25[[#This Row],[INVITACIÓN]:[ACTA DE INICIO]])</f>
        <v>11</v>
      </c>
      <c r="AX77" s="106">
        <f t="shared" si="29"/>
        <v>0.90909090909090906</v>
      </c>
      <c r="AY77" s="47">
        <v>45832</v>
      </c>
      <c r="AZ77" s="10">
        <v>45818</v>
      </c>
      <c r="BA77" s="10">
        <v>45841</v>
      </c>
      <c r="BB77" s="10">
        <v>45843</v>
      </c>
      <c r="BC77" s="4" t="s">
        <v>1413</v>
      </c>
      <c r="BD77" s="4" t="s">
        <v>1349</v>
      </c>
      <c r="BE77" s="4" t="s">
        <v>1414</v>
      </c>
      <c r="BF77" s="4" t="s">
        <v>832</v>
      </c>
      <c r="BG77" s="4" t="s">
        <v>832</v>
      </c>
      <c r="BH77" s="4" t="s">
        <v>1351</v>
      </c>
      <c r="BI77" s="10">
        <v>45846</v>
      </c>
      <c r="BJ77" s="10">
        <v>45856</v>
      </c>
      <c r="BK77" s="10">
        <v>45856</v>
      </c>
      <c r="BO77" s="4">
        <f>COUNTA(Tabla25[[#This Row],[(1)SOLICITUD DE  APERTURA FIRNANCIERA Y PRESUPUESTO 1 (FECHA) ]:[(15) FECHA DE CONTRATACIÓN ADMINISTRATIVO]])</f>
        <v>13</v>
      </c>
      <c r="BP77" s="26">
        <f>Tabla25[[#This Row],[NUMERO OK]]/15</f>
        <v>0.8666666666666667</v>
      </c>
      <c r="BQ77" s="4" t="str">
        <f t="shared" ca="1" si="30"/>
        <v>RiesgoMedio</v>
      </c>
      <c r="BS77" s="9"/>
      <c r="BZ77" s="8"/>
    </row>
    <row r="78" spans="1:78" ht="71.25">
      <c r="A78" s="89">
        <v>2025</v>
      </c>
      <c r="B78" s="90" t="s">
        <v>1415</v>
      </c>
      <c r="C78" s="91" t="s">
        <v>1238</v>
      </c>
      <c r="D78" s="44">
        <v>6927</v>
      </c>
      <c r="E78" s="44">
        <v>2910907396</v>
      </c>
      <c r="F78" s="44" t="s">
        <v>114</v>
      </c>
      <c r="G78" s="155" t="s">
        <v>1416</v>
      </c>
      <c r="H78" s="4" t="s">
        <v>145</v>
      </c>
      <c r="I78" s="4" t="s">
        <v>112</v>
      </c>
      <c r="J78" s="4" t="s">
        <v>38</v>
      </c>
      <c r="K78" s="4">
        <f t="shared" si="22"/>
        <v>5</v>
      </c>
      <c r="L78" s="4">
        <f t="shared" si="23"/>
        <v>3</v>
      </c>
      <c r="M78" s="4">
        <f t="shared" si="24"/>
        <v>8</v>
      </c>
      <c r="N78" s="10"/>
      <c r="O78" s="97">
        <v>45833</v>
      </c>
      <c r="P78" s="98">
        <v>45841</v>
      </c>
      <c r="Q78" s="99">
        <f t="shared" si="25"/>
        <v>5.9178082191780819</v>
      </c>
      <c r="R78" s="92">
        <v>180</v>
      </c>
      <c r="S78" s="92">
        <v>0</v>
      </c>
      <c r="T78" s="92">
        <v>0</v>
      </c>
      <c r="U78" s="92">
        <f t="shared" ca="1" si="26"/>
        <v>29</v>
      </c>
      <c r="V78" s="98">
        <f t="shared" si="27"/>
        <v>46021</v>
      </c>
      <c r="W78" s="89" t="s">
        <v>97</v>
      </c>
      <c r="X78" s="44" t="str">
        <f t="shared" ca="1" si="21"/>
        <v>EN EJECUCIÓN</v>
      </c>
      <c r="Y78" s="100" t="s">
        <v>21</v>
      </c>
      <c r="Z78" s="101">
        <v>944690000</v>
      </c>
      <c r="AA78" s="101">
        <v>0</v>
      </c>
      <c r="AB78" s="101">
        <v>0</v>
      </c>
      <c r="AC78" s="101">
        <v>0</v>
      </c>
      <c r="AD78" s="102">
        <f t="shared" si="28"/>
        <v>944690000</v>
      </c>
      <c r="AE78" s="103">
        <f t="shared" si="31"/>
        <v>101216785.7142857</v>
      </c>
      <c r="AF78" s="104" t="s">
        <v>703</v>
      </c>
      <c r="AG78" s="44" t="s">
        <v>1417</v>
      </c>
      <c r="AH78" s="44" t="s">
        <v>22</v>
      </c>
      <c r="AI78" s="29" t="s">
        <v>23</v>
      </c>
      <c r="AJ78" s="89" t="s">
        <v>17</v>
      </c>
      <c r="AK78" s="44" t="s">
        <v>24</v>
      </c>
      <c r="AL78" s="44" t="s">
        <v>24</v>
      </c>
      <c r="AM78" s="44" t="s">
        <v>36</v>
      </c>
      <c r="AN78" s="44" t="s">
        <v>17</v>
      </c>
      <c r="AO78" s="44" t="s">
        <v>24</v>
      </c>
      <c r="AP78" s="44" t="s">
        <v>24</v>
      </c>
      <c r="AQ78" s="44" t="s">
        <v>24</v>
      </c>
      <c r="AR78" s="44" t="s">
        <v>24</v>
      </c>
      <c r="AS78" s="44" t="s">
        <v>24</v>
      </c>
      <c r="AT78" s="44" t="s">
        <v>24</v>
      </c>
      <c r="AU78" s="105" t="s">
        <v>192</v>
      </c>
      <c r="AV78" s="44" cm="1">
        <f t="array" ref="AV78">SUMPRODUCT((AJ78:AT78&lt;&gt;"Pendiente")*(AJ78:AT78&lt;&gt;""))</f>
        <v>10</v>
      </c>
      <c r="AW78" s="44">
        <f>COUNTA(Tabla25[[#This Row],[INVITACIÓN]:[ACTA DE INICIO]])</f>
        <v>11</v>
      </c>
      <c r="AX78" s="106">
        <f t="shared" si="29"/>
        <v>0.90909090909090906</v>
      </c>
      <c r="AY78" s="47">
        <v>45811</v>
      </c>
      <c r="AZ78" s="10">
        <v>45834</v>
      </c>
      <c r="BA78" s="124">
        <v>45848</v>
      </c>
      <c r="BD78" s="4" t="s">
        <v>1418</v>
      </c>
      <c r="BF78" s="10">
        <v>45812</v>
      </c>
      <c r="BG78" s="4" t="s">
        <v>1419</v>
      </c>
      <c r="BH78" s="4" t="s">
        <v>1420</v>
      </c>
      <c r="BO78" s="4">
        <f>COUNTA(Tabla25[[#This Row],[(1)SOLICITUD DE  APERTURA FIRNANCIERA Y PRESUPUESTO 1 (FECHA) ]:[(15) FECHA DE CONTRATACIÓN ADMINISTRATIVO]])</f>
        <v>7</v>
      </c>
      <c r="BP78" s="26">
        <f>Tabla25[[#This Row],[NUMERO OK]]/15</f>
        <v>0.46666666666666667</v>
      </c>
      <c r="BQ78" s="4" t="str">
        <f t="shared" ca="1" si="30"/>
        <v>RiesgoAlto</v>
      </c>
      <c r="BS78" s="9"/>
      <c r="BZ78" s="8"/>
    </row>
    <row r="79" spans="1:78" ht="60">
      <c r="A79" s="89">
        <v>2025</v>
      </c>
      <c r="B79" s="90" t="s">
        <v>1421</v>
      </c>
      <c r="C79" s="91" t="s">
        <v>1422</v>
      </c>
      <c r="D79" s="44">
        <v>6928</v>
      </c>
      <c r="E79" s="44">
        <v>2910907397</v>
      </c>
      <c r="F79" s="44" t="s">
        <v>114</v>
      </c>
      <c r="G79" s="155" t="s">
        <v>1423</v>
      </c>
      <c r="H79" s="4" t="s">
        <v>142</v>
      </c>
      <c r="I79" s="4" t="s">
        <v>104</v>
      </c>
      <c r="J79" s="4" t="s">
        <v>14</v>
      </c>
      <c r="K79" s="4">
        <f t="shared" si="22"/>
        <v>5</v>
      </c>
      <c r="L79" s="4">
        <f t="shared" si="23"/>
        <v>1</v>
      </c>
      <c r="M79" s="4">
        <f t="shared" si="24"/>
        <v>6</v>
      </c>
      <c r="N79" s="10"/>
      <c r="O79" s="97">
        <v>45834</v>
      </c>
      <c r="P79" s="98">
        <v>45842</v>
      </c>
      <c r="Q79" s="99">
        <f t="shared" si="25"/>
        <v>4.4383561643835616</v>
      </c>
      <c r="R79" s="92">
        <v>134</v>
      </c>
      <c r="S79" s="92">
        <v>0</v>
      </c>
      <c r="T79" s="92">
        <v>1</v>
      </c>
      <c r="U79" s="92">
        <f t="shared" ca="1" si="26"/>
        <v>29</v>
      </c>
      <c r="V79" s="98">
        <f t="shared" si="27"/>
        <v>45977</v>
      </c>
      <c r="W79" s="89" t="s">
        <v>97</v>
      </c>
      <c r="X79" s="44" t="str">
        <f t="shared" ca="1" si="21"/>
        <v>EN EJECUCIÓN</v>
      </c>
      <c r="Y79" s="100" t="s">
        <v>93</v>
      </c>
      <c r="Z79" s="101">
        <v>495604000</v>
      </c>
      <c r="AA79" s="101">
        <v>0</v>
      </c>
      <c r="AB79" s="101">
        <v>0</v>
      </c>
      <c r="AC79" s="101">
        <v>0</v>
      </c>
      <c r="AD79" s="102">
        <f t="shared" si="28"/>
        <v>495604000</v>
      </c>
      <c r="AE79" s="103">
        <f t="shared" si="31"/>
        <v>53100428.571428567</v>
      </c>
      <c r="AF79" s="104" t="s">
        <v>708</v>
      </c>
      <c r="AG79" s="29" t="s">
        <v>1424</v>
      </c>
      <c r="AH79" s="44" t="s">
        <v>22</v>
      </c>
      <c r="AI79" s="29" t="s">
        <v>23</v>
      </c>
      <c r="AJ79" s="89" t="s">
        <v>17</v>
      </c>
      <c r="AK79" s="44" t="s">
        <v>24</v>
      </c>
      <c r="AL79" s="44" t="s">
        <v>24</v>
      </c>
      <c r="AM79" s="44" t="s">
        <v>24</v>
      </c>
      <c r="AN79" s="44" t="s">
        <v>17</v>
      </c>
      <c r="AO79" s="44" t="s">
        <v>24</v>
      </c>
      <c r="AP79" s="44" t="s">
        <v>24</v>
      </c>
      <c r="AQ79" s="44" t="s">
        <v>24</v>
      </c>
      <c r="AR79" s="44" t="s">
        <v>24</v>
      </c>
      <c r="AS79" s="44" t="s">
        <v>24</v>
      </c>
      <c r="AT79" s="44" t="s">
        <v>24</v>
      </c>
      <c r="AU79" s="105" t="s">
        <v>192</v>
      </c>
      <c r="AV79" s="44" cm="1">
        <f t="array" ref="AV79">SUMPRODUCT((AJ79:AT79&lt;&gt;"Pendiente")*(AJ79:AT79&lt;&gt;""))</f>
        <v>11</v>
      </c>
      <c r="AW79" s="44">
        <f>COUNTA(Tabla25[[#This Row],[INVITACIÓN]:[ACTA DE INICIO]])</f>
        <v>11</v>
      </c>
      <c r="AX79" s="106">
        <f t="shared" si="29"/>
        <v>1</v>
      </c>
      <c r="AY79" s="47">
        <v>45841</v>
      </c>
      <c r="AZ79" s="10">
        <v>45840</v>
      </c>
      <c r="BA79" s="10">
        <v>45835</v>
      </c>
      <c r="BB79" s="10">
        <v>45839</v>
      </c>
      <c r="BC79" s="4" t="s">
        <v>1425</v>
      </c>
      <c r="BD79" s="4" t="s">
        <v>1426</v>
      </c>
      <c r="BE79" s="4" t="s">
        <v>1427</v>
      </c>
      <c r="BF79" s="10">
        <v>45721</v>
      </c>
      <c r="BG79" s="10">
        <v>45849</v>
      </c>
      <c r="BH79" s="4" t="s">
        <v>1428</v>
      </c>
      <c r="BI79" s="10">
        <v>45847</v>
      </c>
      <c r="BJ79" s="10">
        <v>45848</v>
      </c>
      <c r="BK79" s="10">
        <v>45835</v>
      </c>
      <c r="BL79" s="10">
        <v>45848</v>
      </c>
      <c r="BM79" s="10">
        <v>45847</v>
      </c>
      <c r="BN79" s="10">
        <v>45849</v>
      </c>
      <c r="BO79" s="4">
        <f>COUNTA(Tabla25[[#This Row],[(1)SOLICITUD DE  APERTURA FIRNANCIERA Y PRESUPUESTO 1 (FECHA) ]:[(15) FECHA DE CONTRATACIÓN ADMINISTRATIVO]])</f>
        <v>15</v>
      </c>
      <c r="BP79" s="26">
        <f>Tabla25[[#This Row],[NUMERO OK]]/15</f>
        <v>1</v>
      </c>
      <c r="BQ79" s="4" t="str">
        <f t="shared" ca="1" si="30"/>
        <v>Cumplido</v>
      </c>
      <c r="BS79" s="9"/>
      <c r="BZ79" s="8"/>
    </row>
    <row r="80" spans="1:78" ht="57">
      <c r="A80" s="89">
        <v>2025</v>
      </c>
      <c r="B80" s="90" t="s">
        <v>1429</v>
      </c>
      <c r="C80" s="91" t="s">
        <v>302</v>
      </c>
      <c r="D80" s="44">
        <v>6936</v>
      </c>
      <c r="E80" s="167"/>
      <c r="F80" s="44" t="s">
        <v>85</v>
      </c>
      <c r="G80" s="44"/>
      <c r="K80" s="4">
        <f t="shared" si="22"/>
        <v>5</v>
      </c>
      <c r="L80" s="4">
        <f t="shared" si="23"/>
        <v>1</v>
      </c>
      <c r="M80" s="4">
        <f t="shared" si="24"/>
        <v>6</v>
      </c>
      <c r="N80" s="10"/>
      <c r="O80" s="97">
        <v>45866</v>
      </c>
      <c r="P80" s="98"/>
      <c r="Q80" s="99">
        <f t="shared" si="25"/>
        <v>3.0246575342465754</v>
      </c>
      <c r="R80" s="92">
        <v>92</v>
      </c>
      <c r="S80" s="92">
        <v>0</v>
      </c>
      <c r="T80" s="92">
        <v>0</v>
      </c>
      <c r="U80" s="92" t="str">
        <f ca="1">IF(R80="","",IF(P80="","0",TODAY()-P80-S80+T80))</f>
        <v>0</v>
      </c>
      <c r="V80" s="98" t="str">
        <f t="shared" si="27"/>
        <v/>
      </c>
      <c r="W80" s="89" t="s">
        <v>111</v>
      </c>
      <c r="X80" s="44" t="str">
        <f t="shared" ca="1" si="21"/>
        <v>SUSCRITO</v>
      </c>
      <c r="Y80" s="100" t="s">
        <v>54</v>
      </c>
      <c r="Z80" s="101">
        <v>42257500</v>
      </c>
      <c r="AA80" s="101">
        <v>0</v>
      </c>
      <c r="AB80" s="101">
        <v>0</v>
      </c>
      <c r="AC80" s="101">
        <v>0</v>
      </c>
      <c r="AD80" s="102">
        <f t="shared" si="28"/>
        <v>42257500</v>
      </c>
      <c r="AE80" s="103">
        <f t="shared" si="31"/>
        <v>4527589.2857142854</v>
      </c>
      <c r="AF80" s="104" t="s">
        <v>1430</v>
      </c>
      <c r="AG80" s="29" t="s">
        <v>1431</v>
      </c>
      <c r="AH80" s="44" t="s">
        <v>22</v>
      </c>
      <c r="AI80" s="29" t="s">
        <v>23</v>
      </c>
      <c r="AJ80" s="89" t="s">
        <v>17</v>
      </c>
      <c r="AK80" s="44" t="s">
        <v>24</v>
      </c>
      <c r="AL80" s="44" t="s">
        <v>17</v>
      </c>
      <c r="AM80" s="44" t="s">
        <v>24</v>
      </c>
      <c r="AN80" s="44" t="s">
        <v>17</v>
      </c>
      <c r="AO80" s="44" t="s">
        <v>17</v>
      </c>
      <c r="AP80" s="44" t="s">
        <v>24</v>
      </c>
      <c r="AQ80" s="44" t="s">
        <v>24</v>
      </c>
      <c r="AR80" s="44" t="s">
        <v>36</v>
      </c>
      <c r="AS80" s="44" t="s">
        <v>36</v>
      </c>
      <c r="AT80" s="44" t="s">
        <v>36</v>
      </c>
      <c r="AU80" s="105" t="s">
        <v>192</v>
      </c>
      <c r="AV80" s="44" cm="1">
        <f t="array" ref="AV80">SUMPRODUCT((AJ80:AT80&lt;&gt;"Pendiente")*(AJ80:AT80&lt;&gt;""))</f>
        <v>8</v>
      </c>
      <c r="AW80" s="44">
        <f>COUNTA(Tabla25[[#This Row],[INVITACIÓN]:[ACTA DE INICIO]])</f>
        <v>11</v>
      </c>
      <c r="AX80" s="106">
        <f t="shared" si="29"/>
        <v>0.72727272727272729</v>
      </c>
      <c r="AY80" s="47"/>
      <c r="BO80" s="4">
        <f>COUNTA(Tabla25[[#This Row],[(1)SOLICITUD DE  APERTURA FIRNANCIERA Y PRESUPUESTO 1 (FECHA) ]:[(15) FECHA DE CONTRATACIÓN ADMINISTRATIVO]])</f>
        <v>0</v>
      </c>
      <c r="BP80" s="26">
        <f>Tabla25[[#This Row],[NUMERO OK]]/15</f>
        <v>0</v>
      </c>
      <c r="BQ80" s="4" t="str">
        <f t="shared" ca="1" si="30"/>
        <v>N/A</v>
      </c>
      <c r="BS80" s="9"/>
      <c r="BZ80" s="8"/>
    </row>
    <row r="81" spans="1:78" ht="45">
      <c r="A81" s="89">
        <v>2025</v>
      </c>
      <c r="B81" s="90" t="s">
        <v>1432</v>
      </c>
      <c r="C81" s="91" t="s">
        <v>745</v>
      </c>
      <c r="D81" s="44">
        <v>6931</v>
      </c>
      <c r="E81" s="167">
        <v>2910907398</v>
      </c>
      <c r="F81" s="44" t="s">
        <v>121</v>
      </c>
      <c r="G81" s="155" t="s">
        <v>1433</v>
      </c>
      <c r="H81" s="4" t="s">
        <v>139</v>
      </c>
      <c r="I81" s="4" t="s">
        <v>112</v>
      </c>
      <c r="J81" s="4" t="s">
        <v>83</v>
      </c>
      <c r="K81" s="4">
        <f t="shared" si="22"/>
        <v>5</v>
      </c>
      <c r="L81" s="4">
        <f t="shared" si="23"/>
        <v>1</v>
      </c>
      <c r="M81" s="4">
        <f t="shared" si="24"/>
        <v>6</v>
      </c>
      <c r="N81" s="10"/>
      <c r="O81" s="97">
        <v>45849</v>
      </c>
      <c r="P81" s="98"/>
      <c r="Q81" s="99">
        <f t="shared" si="25"/>
        <v>5.5561643835616437</v>
      </c>
      <c r="R81" s="92">
        <v>169</v>
      </c>
      <c r="S81" s="92">
        <v>0</v>
      </c>
      <c r="T81" s="92">
        <v>0</v>
      </c>
      <c r="U81" s="92" t="str">
        <f t="shared" ca="1" si="26"/>
        <v>0</v>
      </c>
      <c r="V81" s="98" t="str">
        <f t="shared" si="27"/>
        <v/>
      </c>
      <c r="W81" s="89" t="s">
        <v>97</v>
      </c>
      <c r="X81" s="44" t="str">
        <f t="shared" ca="1" si="21"/>
        <v>SUSCRITO</v>
      </c>
      <c r="Y81" s="100" t="s">
        <v>54</v>
      </c>
      <c r="Z81" s="101">
        <v>490000000</v>
      </c>
      <c r="AA81" s="101">
        <v>0</v>
      </c>
      <c r="AB81" s="101">
        <v>0</v>
      </c>
      <c r="AC81" s="101">
        <v>0</v>
      </c>
      <c r="AD81" s="102">
        <f t="shared" si="28"/>
        <v>490000000</v>
      </c>
      <c r="AE81" s="103">
        <f t="shared" si="31"/>
        <v>52499999.999999993</v>
      </c>
      <c r="AF81" s="104" t="s">
        <v>1434</v>
      </c>
      <c r="AG81" s="29" t="s">
        <v>1435</v>
      </c>
      <c r="AH81" s="44" t="s">
        <v>22</v>
      </c>
      <c r="AI81" s="29" t="s">
        <v>23</v>
      </c>
      <c r="AJ81" s="89" t="s">
        <v>17</v>
      </c>
      <c r="AK81" s="44" t="s">
        <v>24</v>
      </c>
      <c r="AL81" s="44" t="s">
        <v>17</v>
      </c>
      <c r="AM81" s="44" t="s">
        <v>24</v>
      </c>
      <c r="AN81" s="44" t="s">
        <v>17</v>
      </c>
      <c r="AO81" s="44" t="s">
        <v>24</v>
      </c>
      <c r="AP81" s="44" t="s">
        <v>24</v>
      </c>
      <c r="AQ81" s="44" t="s">
        <v>24</v>
      </c>
      <c r="AR81" s="44" t="s">
        <v>24</v>
      </c>
      <c r="AS81" s="44" t="s">
        <v>24</v>
      </c>
      <c r="AT81" s="44" t="s">
        <v>36</v>
      </c>
      <c r="AU81" s="105" t="s">
        <v>192</v>
      </c>
      <c r="AV81" s="44" cm="1">
        <f t="array" ref="AV81">SUMPRODUCT((AJ81:AT81&lt;&gt;"Pendiente")*(AJ81:AT81&lt;&gt;""))</f>
        <v>10</v>
      </c>
      <c r="AW81" s="44">
        <f>COUNTA(Tabla25[[#This Row],[INVITACIÓN]:[ACTA DE INICIO]])</f>
        <v>11</v>
      </c>
      <c r="AX81" s="106">
        <f t="shared" si="29"/>
        <v>0.90909090909090906</v>
      </c>
      <c r="AY81" s="47">
        <v>45853</v>
      </c>
      <c r="AZ81" s="10">
        <v>45854</v>
      </c>
      <c r="BA81" s="10">
        <v>45856</v>
      </c>
      <c r="BC81" s="4" t="s">
        <v>1436</v>
      </c>
      <c r="BD81" s="4" t="s">
        <v>1437</v>
      </c>
      <c r="BE81" s="4" t="s">
        <v>1438</v>
      </c>
      <c r="BF81" s="10">
        <v>45859</v>
      </c>
      <c r="BG81" s="10">
        <v>45863</v>
      </c>
      <c r="BH81" s="4" t="s">
        <v>1439</v>
      </c>
      <c r="BO81" s="4">
        <f>COUNTA(Tabla25[[#This Row],[(1)SOLICITUD DE  APERTURA FIRNANCIERA Y PRESUPUESTO 1 (FECHA) ]:[(15) FECHA DE CONTRATACIÓN ADMINISTRATIVO]])</f>
        <v>9</v>
      </c>
      <c r="BP81" s="26">
        <f>Tabla25[[#This Row],[NUMERO OK]]/15</f>
        <v>0.6</v>
      </c>
      <c r="BQ81" s="4" t="str">
        <f t="shared" ca="1" si="30"/>
        <v>N/A</v>
      </c>
      <c r="BS81" s="9"/>
      <c r="BZ81" s="8"/>
    </row>
    <row r="82" spans="1:78" ht="105">
      <c r="A82" s="89">
        <v>2025</v>
      </c>
      <c r="B82" s="90" t="s">
        <v>1440</v>
      </c>
      <c r="C82" s="91" t="s">
        <v>1441</v>
      </c>
      <c r="D82" s="44">
        <v>6929</v>
      </c>
      <c r="E82" s="44">
        <v>2453018380</v>
      </c>
      <c r="F82" s="44" t="s">
        <v>106</v>
      </c>
      <c r="G82" s="155" t="s">
        <v>1442</v>
      </c>
      <c r="H82" s="4" t="s">
        <v>145</v>
      </c>
      <c r="I82" s="4" t="s">
        <v>100</v>
      </c>
      <c r="J82" s="4" t="s">
        <v>14</v>
      </c>
      <c r="K82" s="4">
        <f t="shared" si="22"/>
        <v>5</v>
      </c>
      <c r="L82" s="4">
        <f t="shared" si="23"/>
        <v>1</v>
      </c>
      <c r="M82" s="4">
        <f t="shared" si="24"/>
        <v>6</v>
      </c>
      <c r="N82" s="10"/>
      <c r="O82" s="97">
        <v>45845</v>
      </c>
      <c r="P82" s="98">
        <v>45854</v>
      </c>
      <c r="Q82" s="99">
        <f t="shared" si="25"/>
        <v>5.5232876712328762</v>
      </c>
      <c r="R82" s="92">
        <v>168</v>
      </c>
      <c r="S82" s="92">
        <v>0</v>
      </c>
      <c r="T82" s="92">
        <v>0</v>
      </c>
      <c r="U82" s="92">
        <f t="shared" ca="1" si="26"/>
        <v>16</v>
      </c>
      <c r="V82" s="98">
        <f t="shared" si="27"/>
        <v>46022</v>
      </c>
      <c r="W82" s="89" t="s">
        <v>74</v>
      </c>
      <c r="X82" s="44" t="str">
        <f t="shared" ca="1" si="21"/>
        <v>EN EJECUCIÓN</v>
      </c>
      <c r="Y82" s="100" t="s">
        <v>99</v>
      </c>
      <c r="Z82" s="101">
        <v>374100000</v>
      </c>
      <c r="AA82" s="101">
        <v>0</v>
      </c>
      <c r="AB82" s="101">
        <v>41566667</v>
      </c>
      <c r="AC82" s="101">
        <v>0</v>
      </c>
      <c r="AD82" s="102">
        <f t="shared" si="28"/>
        <v>415666667</v>
      </c>
      <c r="AE82" s="103">
        <f t="shared" si="31"/>
        <v>40082142.857142851</v>
      </c>
      <c r="AF82" s="44" t="s">
        <v>693</v>
      </c>
      <c r="AG82" s="44" t="s">
        <v>1443</v>
      </c>
      <c r="AH82" s="44" t="s">
        <v>34</v>
      </c>
      <c r="AI82" s="29" t="s">
        <v>23</v>
      </c>
      <c r="AJ82" s="89" t="s">
        <v>17</v>
      </c>
      <c r="AK82" s="44" t="s">
        <v>24</v>
      </c>
      <c r="AL82" s="44" t="s">
        <v>17</v>
      </c>
      <c r="AM82" s="44" t="s">
        <v>36</v>
      </c>
      <c r="AN82" s="44" t="s">
        <v>24</v>
      </c>
      <c r="AO82" s="44" t="s">
        <v>36</v>
      </c>
      <c r="AP82" s="44" t="s">
        <v>24</v>
      </c>
      <c r="AQ82" s="44" t="s">
        <v>24</v>
      </c>
      <c r="AR82" s="44" t="s">
        <v>24</v>
      </c>
      <c r="AS82" s="44" t="s">
        <v>24</v>
      </c>
      <c r="AT82" s="44" t="s">
        <v>24</v>
      </c>
      <c r="AU82" s="105" t="s">
        <v>192</v>
      </c>
      <c r="AV82" s="44" cm="1">
        <f t="array" ref="AV82">SUMPRODUCT((AJ82:AT82&lt;&gt;"Pendiente")*(AJ82:AT82&lt;&gt;""))</f>
        <v>9</v>
      </c>
      <c r="AW82" s="44">
        <f>COUNTA(Tabla25[[#This Row],[INVITACIÓN]:[ACTA DE INICIO]])</f>
        <v>11</v>
      </c>
      <c r="AX82" s="106">
        <f t="shared" si="29"/>
        <v>0.81818181818181823</v>
      </c>
      <c r="AY82" s="47">
        <v>45854</v>
      </c>
      <c r="AZ82" s="10">
        <v>45852</v>
      </c>
      <c r="BA82" s="10">
        <v>45853</v>
      </c>
      <c r="BB82" s="10">
        <v>45856</v>
      </c>
      <c r="BD82" s="4" t="s">
        <v>1444</v>
      </c>
      <c r="BE82" s="4" t="s">
        <v>1445</v>
      </c>
      <c r="BF82" s="10">
        <v>45848</v>
      </c>
      <c r="BG82" s="10">
        <v>45848</v>
      </c>
      <c r="BH82" s="4" t="s">
        <v>1446</v>
      </c>
      <c r="BI82" s="10">
        <v>45854</v>
      </c>
      <c r="BJ82" s="10">
        <v>45859</v>
      </c>
      <c r="BK82" s="10">
        <v>45854</v>
      </c>
      <c r="BO82" s="4">
        <f>COUNTA(Tabla25[[#This Row],[(1)SOLICITUD DE  APERTURA FIRNANCIERA Y PRESUPUESTO 1 (FECHA) ]:[(15) FECHA DE CONTRATACIÓN ADMINISTRATIVO]])</f>
        <v>12</v>
      </c>
      <c r="BP82" s="26">
        <f>Tabla25[[#This Row],[NUMERO OK]]/15</f>
        <v>0.8</v>
      </c>
      <c r="BQ82" s="4" t="str">
        <f t="shared" ca="1" si="30"/>
        <v>RiesgoMedio</v>
      </c>
      <c r="BS82" s="9"/>
      <c r="BZ82" s="8"/>
    </row>
    <row r="83" spans="1:78" ht="57">
      <c r="A83" s="89">
        <v>2025</v>
      </c>
      <c r="B83" s="90" t="s">
        <v>1447</v>
      </c>
      <c r="C83" s="91" t="s">
        <v>1448</v>
      </c>
      <c r="D83" s="44">
        <v>6930</v>
      </c>
      <c r="E83" s="44">
        <v>2453018381</v>
      </c>
      <c r="F83" s="44" t="s">
        <v>114</v>
      </c>
      <c r="G83" s="155" t="s">
        <v>1449</v>
      </c>
      <c r="H83" s="4" t="s">
        <v>142</v>
      </c>
      <c r="I83" s="4" t="s">
        <v>104</v>
      </c>
      <c r="J83" s="4" t="s">
        <v>26</v>
      </c>
      <c r="K83" s="4">
        <f t="shared" si="22"/>
        <v>5</v>
      </c>
      <c r="L83" s="4">
        <f t="shared" si="23"/>
        <v>1</v>
      </c>
      <c r="M83" s="4">
        <f t="shared" si="24"/>
        <v>6</v>
      </c>
      <c r="N83" s="10"/>
      <c r="O83" s="97">
        <v>45848</v>
      </c>
      <c r="P83" s="98">
        <v>45849</v>
      </c>
      <c r="Q83" s="99">
        <f t="shared" si="25"/>
        <v>4.0109589041095886</v>
      </c>
      <c r="R83" s="92">
        <v>122</v>
      </c>
      <c r="S83" s="92">
        <v>0</v>
      </c>
      <c r="T83" s="92">
        <v>0</v>
      </c>
      <c r="U83" s="92">
        <f ca="1">IF(R83="","",IF(P83="","0",TODAY()-P83-S83+T83))</f>
        <v>21</v>
      </c>
      <c r="V83" s="98">
        <f t="shared" si="27"/>
        <v>45971</v>
      </c>
      <c r="W83" s="89" t="s">
        <v>97</v>
      </c>
      <c r="X83" s="44" t="str">
        <f t="shared" ca="1" si="21"/>
        <v>EN EJECUCIÓN</v>
      </c>
      <c r="Y83" s="100" t="s">
        <v>93</v>
      </c>
      <c r="Z83" s="101">
        <v>275000000</v>
      </c>
      <c r="AA83" s="101">
        <v>0</v>
      </c>
      <c r="AB83" s="101">
        <v>70000000</v>
      </c>
      <c r="AC83" s="101">
        <v>0</v>
      </c>
      <c r="AD83" s="102">
        <f t="shared" si="28"/>
        <v>345000000</v>
      </c>
      <c r="AE83" s="103">
        <f t="shared" si="31"/>
        <v>29464285.714285713</v>
      </c>
      <c r="AF83" s="104" t="s">
        <v>1450</v>
      </c>
      <c r="AG83" s="44" t="s">
        <v>345</v>
      </c>
      <c r="AH83" s="44" t="s">
        <v>34</v>
      </c>
      <c r="AI83" s="29" t="s">
        <v>23</v>
      </c>
      <c r="AJ83" s="89" t="s">
        <v>17</v>
      </c>
      <c r="AK83" s="44" t="s">
        <v>24</v>
      </c>
      <c r="AL83" s="44" t="s">
        <v>17</v>
      </c>
      <c r="AM83" s="44" t="s">
        <v>24</v>
      </c>
      <c r="AN83" s="44" t="s">
        <v>17</v>
      </c>
      <c r="AO83" s="44" t="s">
        <v>24</v>
      </c>
      <c r="AP83" s="44" t="s">
        <v>24</v>
      </c>
      <c r="AQ83" s="44" t="s">
        <v>24</v>
      </c>
      <c r="AR83" s="44" t="s">
        <v>24</v>
      </c>
      <c r="AS83" s="44" t="s">
        <v>24</v>
      </c>
      <c r="AT83" s="44" t="s">
        <v>24</v>
      </c>
      <c r="AU83" s="105" t="s">
        <v>192</v>
      </c>
      <c r="AV83" s="44" cm="1">
        <f t="array" ref="AV83">SUMPRODUCT((AJ83:AT83&lt;&gt;"Pendiente")*(AJ83:AT83&lt;&gt;""))</f>
        <v>11</v>
      </c>
      <c r="AW83" s="44">
        <f>COUNTA(Tabla25[[#This Row],[INVITACIÓN]:[ACTA DE INICIO]])</f>
        <v>11</v>
      </c>
      <c r="AX83" s="106">
        <f t="shared" si="29"/>
        <v>1</v>
      </c>
      <c r="AY83" s="47">
        <v>45853</v>
      </c>
      <c r="AZ83" s="10">
        <v>45852</v>
      </c>
      <c r="BA83" s="10">
        <v>45853</v>
      </c>
      <c r="BB83" s="10">
        <v>45853</v>
      </c>
      <c r="BC83" s="4" t="s">
        <v>1451</v>
      </c>
      <c r="BD83" s="4" t="s">
        <v>1452</v>
      </c>
      <c r="BE83" s="4" t="s">
        <v>1453</v>
      </c>
      <c r="BF83" s="10">
        <v>45848</v>
      </c>
      <c r="BG83" s="10">
        <v>45853</v>
      </c>
      <c r="BH83" s="4" t="s">
        <v>1454</v>
      </c>
      <c r="BI83" s="10">
        <v>45853</v>
      </c>
      <c r="BJ83" s="10">
        <v>45854</v>
      </c>
      <c r="BK83" s="10">
        <v>45854</v>
      </c>
      <c r="BL83" s="10">
        <v>45854</v>
      </c>
      <c r="BM83" s="4" t="s">
        <v>1455</v>
      </c>
      <c r="BN83" s="10">
        <v>45856</v>
      </c>
      <c r="BO83" s="4">
        <f>COUNTA(Tabla25[[#This Row],[(1)SOLICITUD DE  APERTURA FIRNANCIERA Y PRESUPUESTO 1 (FECHA) ]:[(15) FECHA DE CONTRATACIÓN ADMINISTRATIVO]])</f>
        <v>15</v>
      </c>
      <c r="BP83" s="26">
        <f>Tabla25[[#This Row],[NUMERO OK]]/15</f>
        <v>1</v>
      </c>
      <c r="BQ83" s="4" t="str">
        <f t="shared" ca="1" si="30"/>
        <v>Cumplido</v>
      </c>
      <c r="BS83" s="9"/>
      <c r="BZ83" s="8"/>
    </row>
    <row r="84" spans="1:78" ht="102" customHeight="1">
      <c r="A84" s="89">
        <v>2025</v>
      </c>
      <c r="B84" s="90" t="s">
        <v>1456</v>
      </c>
      <c r="C84" s="91" t="s">
        <v>1001</v>
      </c>
      <c r="D84" s="44">
        <v>6932</v>
      </c>
      <c r="E84" s="44">
        <v>2453018382</v>
      </c>
      <c r="F84" s="44" t="s">
        <v>121</v>
      </c>
      <c r="G84" s="44"/>
      <c r="H84" s="160" t="s">
        <v>123</v>
      </c>
      <c r="I84" s="160" t="s">
        <v>104</v>
      </c>
      <c r="J84" s="160" t="s">
        <v>26</v>
      </c>
      <c r="K84" s="4">
        <f t="shared" si="22"/>
        <v>5</v>
      </c>
      <c r="L84" s="4">
        <f t="shared" si="23"/>
        <v>1</v>
      </c>
      <c r="M84" s="4">
        <f t="shared" si="24"/>
        <v>6</v>
      </c>
      <c r="N84" s="10"/>
      <c r="O84" s="97">
        <v>45856</v>
      </c>
      <c r="P84" s="98"/>
      <c r="Q84" s="99">
        <f t="shared" si="25"/>
        <v>2.9917808219178079</v>
      </c>
      <c r="R84" s="92">
        <v>91</v>
      </c>
      <c r="S84" s="92">
        <v>0</v>
      </c>
      <c r="T84" s="92">
        <v>0</v>
      </c>
      <c r="U84" s="92" t="str">
        <f t="shared" ca="1" si="26"/>
        <v>0</v>
      </c>
      <c r="V84" s="98" t="str">
        <f t="shared" si="27"/>
        <v/>
      </c>
      <c r="W84" s="89" t="s">
        <v>18</v>
      </c>
      <c r="X84" s="44" t="str">
        <f t="shared" ref="X84:X115" ca="1" si="32">IF(V84="", "SUSCRITO", IF(V84&lt;=TODAY(), "FINALIZADO", "EN EJECUCIÓN"))</f>
        <v>SUSCRITO</v>
      </c>
      <c r="Y84" s="100" t="s">
        <v>93</v>
      </c>
      <c r="Z84" s="101">
        <v>207261600</v>
      </c>
      <c r="AA84" s="101">
        <v>0</v>
      </c>
      <c r="AB84" s="101">
        <v>18505500</v>
      </c>
      <c r="AC84" s="101">
        <v>0</v>
      </c>
      <c r="AD84" s="102">
        <f t="shared" si="28"/>
        <v>225767100</v>
      </c>
      <c r="AE84" s="103">
        <f t="shared" si="31"/>
        <v>22206599.999999996</v>
      </c>
      <c r="AF84" s="44" t="s">
        <v>1457</v>
      </c>
      <c r="AG84" s="29" t="s">
        <v>1458</v>
      </c>
      <c r="AH84" s="44" t="s">
        <v>34</v>
      </c>
      <c r="AI84" s="29" t="s">
        <v>23</v>
      </c>
      <c r="AJ84" s="89" t="s">
        <v>17</v>
      </c>
      <c r="AK84" s="44" t="s">
        <v>24</v>
      </c>
      <c r="AL84" s="44" t="s">
        <v>17</v>
      </c>
      <c r="AM84" s="44" t="s">
        <v>24</v>
      </c>
      <c r="AN84" s="44" t="s">
        <v>17</v>
      </c>
      <c r="AO84" s="44" t="s">
        <v>24</v>
      </c>
      <c r="AP84" s="44" t="s">
        <v>24</v>
      </c>
      <c r="AQ84" s="44" t="s">
        <v>24</v>
      </c>
      <c r="AR84" s="44" t="s">
        <v>24</v>
      </c>
      <c r="AS84" s="44" t="s">
        <v>24</v>
      </c>
      <c r="AT84" s="44" t="s">
        <v>36</v>
      </c>
      <c r="AU84" s="105" t="s">
        <v>192</v>
      </c>
      <c r="AV84" s="44" cm="1">
        <f t="array" ref="AV84">SUMPRODUCT((AJ84:AT84&lt;&gt;"Pendiente")*(AJ84:AT84&lt;&gt;""))</f>
        <v>10</v>
      </c>
      <c r="AW84" s="44">
        <f>COUNTA(Tabla25[[#This Row],[INVITACIÓN]:[ACTA DE INICIO]])</f>
        <v>11</v>
      </c>
      <c r="AX84" s="106">
        <f t="shared" si="29"/>
        <v>0.90909090909090906</v>
      </c>
      <c r="AY84" s="47"/>
      <c r="BO84" s="4">
        <f>COUNTA(Tabla25[[#This Row],[(1)SOLICITUD DE  APERTURA FIRNANCIERA Y PRESUPUESTO 1 (FECHA) ]:[(15) FECHA DE CONTRATACIÓN ADMINISTRATIVO]])</f>
        <v>0</v>
      </c>
      <c r="BP84" s="26">
        <f>Tabla25[[#This Row],[NUMERO OK]]/15</f>
        <v>0</v>
      </c>
      <c r="BQ84" s="4" t="str">
        <f t="shared" ca="1" si="30"/>
        <v>N/A</v>
      </c>
      <c r="BS84" s="9"/>
      <c r="BZ84" s="8"/>
    </row>
    <row r="85" spans="1:78" ht="85.5">
      <c r="A85" s="89">
        <v>2025</v>
      </c>
      <c r="B85" s="90" t="s">
        <v>1459</v>
      </c>
      <c r="C85" s="91" t="s">
        <v>1460</v>
      </c>
      <c r="D85" s="44">
        <v>6933</v>
      </c>
      <c r="E85" s="44">
        <v>2910907399</v>
      </c>
      <c r="F85" s="44" t="s">
        <v>129</v>
      </c>
      <c r="G85" s="155" t="s">
        <v>1461</v>
      </c>
      <c r="H85" s="161" t="s">
        <v>123</v>
      </c>
      <c r="I85" s="161" t="s">
        <v>100</v>
      </c>
      <c r="J85" s="161" t="s">
        <v>26</v>
      </c>
      <c r="K85" s="4">
        <f t="shared" si="22"/>
        <v>5</v>
      </c>
      <c r="L85" s="4">
        <f t="shared" si="23"/>
        <v>1</v>
      </c>
      <c r="M85" s="4">
        <f t="shared" si="24"/>
        <v>6</v>
      </c>
      <c r="N85" s="10"/>
      <c r="O85" s="97">
        <v>45859</v>
      </c>
      <c r="P85" s="98"/>
      <c r="Q85" s="99">
        <f t="shared" si="25"/>
        <v>5.5232876712328762</v>
      </c>
      <c r="R85" s="92">
        <v>168</v>
      </c>
      <c r="S85" s="92">
        <v>0</v>
      </c>
      <c r="T85" s="92">
        <v>0</v>
      </c>
      <c r="U85" s="92" t="str">
        <f ca="1">IF(R85="","",IF(P85="","0",TODAY()-P85-S85+T85))</f>
        <v>0</v>
      </c>
      <c r="V85" s="98" t="str">
        <f t="shared" si="27"/>
        <v/>
      </c>
      <c r="W85" s="89" t="s">
        <v>97</v>
      </c>
      <c r="X85" s="44" t="str">
        <f t="shared" ca="1" si="32"/>
        <v>SUSCRITO</v>
      </c>
      <c r="Y85" s="100" t="s">
        <v>93</v>
      </c>
      <c r="Z85" s="101">
        <v>205400000</v>
      </c>
      <c r="AA85" s="101">
        <v>0</v>
      </c>
      <c r="AB85" s="101">
        <v>0</v>
      </c>
      <c r="AC85" s="101">
        <v>0</v>
      </c>
      <c r="AD85" s="102">
        <f t="shared" si="28"/>
        <v>205400000</v>
      </c>
      <c r="AE85" s="103">
        <f t="shared" si="31"/>
        <v>22007142.857142854</v>
      </c>
      <c r="AF85" s="44" t="s">
        <v>1462</v>
      </c>
      <c r="AG85" s="29" t="s">
        <v>1463</v>
      </c>
      <c r="AH85" s="44" t="s">
        <v>45</v>
      </c>
      <c r="AI85" s="29" t="s">
        <v>23</v>
      </c>
      <c r="AJ85" s="89" t="s">
        <v>17</v>
      </c>
      <c r="AK85" s="44" t="s">
        <v>17</v>
      </c>
      <c r="AL85" s="44" t="s">
        <v>24</v>
      </c>
      <c r="AM85" s="44" t="s">
        <v>24</v>
      </c>
      <c r="AN85" s="44" t="s">
        <v>17</v>
      </c>
      <c r="AO85" s="44" t="s">
        <v>24</v>
      </c>
      <c r="AP85" s="44" t="s">
        <v>24</v>
      </c>
      <c r="AQ85" s="44" t="s">
        <v>17</v>
      </c>
      <c r="AR85" s="44" t="s">
        <v>36</v>
      </c>
      <c r="AS85" s="44" t="s">
        <v>36</v>
      </c>
      <c r="AT85" s="44" t="s">
        <v>36</v>
      </c>
      <c r="AU85" s="105" t="s">
        <v>192</v>
      </c>
      <c r="AV85" s="44" cm="1">
        <f t="array" ref="AV85">SUMPRODUCT((AJ85:AT85&lt;&gt;"Pendiente")*(AJ85:AT85&lt;&gt;""))</f>
        <v>8</v>
      </c>
      <c r="AW85" s="44">
        <f>COUNTA(Tabla25[[#This Row],[INVITACIÓN]:[ACTA DE INICIO]])</f>
        <v>11</v>
      </c>
      <c r="AX85" s="106">
        <f t="shared" si="29"/>
        <v>0.72727272727272729</v>
      </c>
      <c r="AY85" s="47"/>
      <c r="AZ85" s="10">
        <v>45863</v>
      </c>
      <c r="BA85" s="10">
        <v>45868</v>
      </c>
      <c r="BB85" s="10">
        <v>45867</v>
      </c>
      <c r="BC85" s="4" t="s">
        <v>1464</v>
      </c>
      <c r="BD85" s="4" t="s">
        <v>1021</v>
      </c>
      <c r="BE85" s="4" t="s">
        <v>1465</v>
      </c>
      <c r="BJ85" s="10">
        <v>45867</v>
      </c>
      <c r="BK85" s="10">
        <v>45864</v>
      </c>
      <c r="BO85" s="4">
        <f>COUNTA(Tabla25[[#This Row],[(1)SOLICITUD DE  APERTURA FIRNANCIERA Y PRESUPUESTO 1 (FECHA) ]:[(15) FECHA DE CONTRATACIÓN ADMINISTRATIVO]])</f>
        <v>8</v>
      </c>
      <c r="BP85" s="26">
        <f>Tabla25[[#This Row],[NUMERO OK]]/15</f>
        <v>0.53333333333333333</v>
      </c>
      <c r="BQ85" s="4" t="str">
        <f t="shared" ca="1" si="30"/>
        <v>N/A</v>
      </c>
      <c r="BS85" s="9"/>
      <c r="BZ85" s="8"/>
    </row>
    <row r="86" spans="1:78" ht="90">
      <c r="A86" s="89">
        <v>2025</v>
      </c>
      <c r="B86" s="90" t="s">
        <v>1466</v>
      </c>
      <c r="C86" s="91" t="s">
        <v>1467</v>
      </c>
      <c r="D86" s="44">
        <v>6935</v>
      </c>
      <c r="E86" s="166"/>
      <c r="F86" s="44" t="s">
        <v>121</v>
      </c>
      <c r="G86" s="44"/>
      <c r="H86" s="160" t="s">
        <v>135</v>
      </c>
      <c r="I86" s="160" t="s">
        <v>104</v>
      </c>
      <c r="J86" s="160" t="s">
        <v>77</v>
      </c>
      <c r="K86" s="4">
        <f t="shared" si="22"/>
        <v>5</v>
      </c>
      <c r="L86" s="4">
        <f t="shared" si="23"/>
        <v>5</v>
      </c>
      <c r="M86" s="4">
        <f t="shared" si="24"/>
        <v>10</v>
      </c>
      <c r="N86" s="10"/>
      <c r="O86" s="97">
        <v>45862</v>
      </c>
      <c r="P86" s="98"/>
      <c r="Q86" s="99">
        <f t="shared" si="25"/>
        <v>4.4712328767123282</v>
      </c>
      <c r="R86" s="92">
        <v>136</v>
      </c>
      <c r="S86" s="92">
        <v>0</v>
      </c>
      <c r="T86" s="92">
        <v>0</v>
      </c>
      <c r="U86" s="92" t="str">
        <f t="shared" ca="1" si="26"/>
        <v>0</v>
      </c>
      <c r="V86" s="98" t="str">
        <f t="shared" si="27"/>
        <v/>
      </c>
      <c r="W86" s="89" t="s">
        <v>97</v>
      </c>
      <c r="X86" s="44" t="str">
        <f t="shared" ca="1" si="32"/>
        <v>SUSCRITO</v>
      </c>
      <c r="Y86" s="100" t="s">
        <v>54</v>
      </c>
      <c r="Z86" s="101">
        <v>10000000000</v>
      </c>
      <c r="AA86" s="101">
        <v>0</v>
      </c>
      <c r="AB86" s="101">
        <v>1329166667</v>
      </c>
      <c r="AC86" s="101">
        <v>0</v>
      </c>
      <c r="AD86" s="102">
        <f t="shared" si="28"/>
        <v>11329166667</v>
      </c>
      <c r="AE86" s="103">
        <f t="shared" si="31"/>
        <v>1071428571.4285713</v>
      </c>
      <c r="AF86" s="44" t="s">
        <v>1468</v>
      </c>
      <c r="AG86" s="44" t="s">
        <v>345</v>
      </c>
      <c r="AH86" s="44" t="s">
        <v>34</v>
      </c>
      <c r="AI86" s="29" t="s">
        <v>23</v>
      </c>
      <c r="AJ86" s="89" t="s">
        <v>17</v>
      </c>
      <c r="AK86" s="44" t="s">
        <v>24</v>
      </c>
      <c r="AL86" s="44" t="s">
        <v>24</v>
      </c>
      <c r="AM86" s="44" t="s">
        <v>36</v>
      </c>
      <c r="AN86" s="44" t="s">
        <v>17</v>
      </c>
      <c r="AO86" s="44" t="s">
        <v>24</v>
      </c>
      <c r="AP86" s="44" t="s">
        <v>24</v>
      </c>
      <c r="AQ86" s="44" t="s">
        <v>24</v>
      </c>
      <c r="AR86" s="44" t="s">
        <v>36</v>
      </c>
      <c r="AS86" s="44" t="s">
        <v>36</v>
      </c>
      <c r="AT86" s="44" t="s">
        <v>36</v>
      </c>
      <c r="AU86" s="105" t="s">
        <v>192</v>
      </c>
      <c r="AV86" s="44" cm="1">
        <f t="array" ref="AV86">SUMPRODUCT((AJ86:AT86&lt;&gt;"Pendiente")*(AJ86:AT86&lt;&gt;""))</f>
        <v>7</v>
      </c>
      <c r="AW86" s="44">
        <f>COUNTA(Tabla25[[#This Row],[INVITACIÓN]:[ACTA DE INICIO]])</f>
        <v>11</v>
      </c>
      <c r="AX86" s="106">
        <f t="shared" si="29"/>
        <v>0.63636363636363635</v>
      </c>
      <c r="AY86" s="47"/>
      <c r="AZ86" s="10">
        <v>45867</v>
      </c>
      <c r="BO86" s="4">
        <f>COUNTA(Tabla25[[#This Row],[(1)SOLICITUD DE  APERTURA FIRNANCIERA Y PRESUPUESTO 1 (FECHA) ]:[(15) FECHA DE CONTRATACIÓN ADMINISTRATIVO]])</f>
        <v>1</v>
      </c>
      <c r="BP86" s="26">
        <f>Tabla25[[#This Row],[NUMERO OK]]/15</f>
        <v>6.6666666666666666E-2</v>
      </c>
      <c r="BQ86" s="4" t="str">
        <f t="shared" ca="1" si="30"/>
        <v>N/A</v>
      </c>
      <c r="BS86" s="9"/>
      <c r="BZ86" s="8"/>
    </row>
    <row r="87" spans="1:78" ht="90">
      <c r="A87" s="89">
        <v>2025</v>
      </c>
      <c r="B87" s="90" t="s">
        <v>1469</v>
      </c>
      <c r="C87" s="91" t="s">
        <v>748</v>
      </c>
      <c r="D87" s="44">
        <v>6934</v>
      </c>
      <c r="E87" s="44">
        <v>2910907401</v>
      </c>
      <c r="F87" s="44" t="s">
        <v>121</v>
      </c>
      <c r="G87" s="44"/>
      <c r="H87" s="161" t="s">
        <v>139</v>
      </c>
      <c r="I87" s="161" t="s">
        <v>112</v>
      </c>
      <c r="J87" s="161" t="s">
        <v>38</v>
      </c>
      <c r="K87" s="4">
        <f t="shared" si="22"/>
        <v>5</v>
      </c>
      <c r="L87" s="4">
        <f t="shared" si="23"/>
        <v>3</v>
      </c>
      <c r="M87" s="4">
        <f t="shared" si="24"/>
        <v>8</v>
      </c>
      <c r="N87" s="10"/>
      <c r="O87" s="97">
        <v>45862</v>
      </c>
      <c r="P87" s="98"/>
      <c r="Q87" s="99">
        <f t="shared" si="25"/>
        <v>4.9972602739726026</v>
      </c>
      <c r="R87" s="92">
        <v>152</v>
      </c>
      <c r="S87" s="92">
        <v>0</v>
      </c>
      <c r="T87" s="92">
        <v>0</v>
      </c>
      <c r="U87" s="92" t="str">
        <f t="shared" ca="1" si="26"/>
        <v>0</v>
      </c>
      <c r="V87" s="98" t="str">
        <f t="shared" si="27"/>
        <v/>
      </c>
      <c r="W87" s="89" t="s">
        <v>97</v>
      </c>
      <c r="X87" s="44" t="str">
        <f t="shared" ca="1" si="32"/>
        <v>SUSCRITO</v>
      </c>
      <c r="Y87" s="100" t="s">
        <v>44</v>
      </c>
      <c r="Z87" s="101">
        <v>685000000</v>
      </c>
      <c r="AA87" s="101">
        <v>0</v>
      </c>
      <c r="AB87" s="101">
        <v>0</v>
      </c>
      <c r="AC87" s="101">
        <v>0</v>
      </c>
      <c r="AD87" s="102">
        <f t="shared" si="28"/>
        <v>685000000</v>
      </c>
      <c r="AE87" s="103">
        <f t="shared" si="31"/>
        <v>73392857.142857134</v>
      </c>
      <c r="AF87" s="44" t="s">
        <v>1470</v>
      </c>
      <c r="AG87" s="29" t="s">
        <v>1471</v>
      </c>
      <c r="AH87" s="44" t="s">
        <v>22</v>
      </c>
      <c r="AI87" s="29" t="s">
        <v>23</v>
      </c>
      <c r="AJ87" s="89" t="s">
        <v>17</v>
      </c>
      <c r="AK87" s="44" t="s">
        <v>24</v>
      </c>
      <c r="AL87" s="44" t="s">
        <v>24</v>
      </c>
      <c r="AM87" s="44" t="s">
        <v>36</v>
      </c>
      <c r="AN87" s="44" t="s">
        <v>17</v>
      </c>
      <c r="AO87" s="44" t="s">
        <v>36</v>
      </c>
      <c r="AP87" s="44" t="s">
        <v>24</v>
      </c>
      <c r="AQ87" s="44" t="s">
        <v>24</v>
      </c>
      <c r="AR87" s="44" t="s">
        <v>24</v>
      </c>
      <c r="AS87" s="44" t="s">
        <v>24</v>
      </c>
      <c r="AT87" s="44" t="s">
        <v>36</v>
      </c>
      <c r="AU87" s="105" t="s">
        <v>192</v>
      </c>
      <c r="AV87" s="44" cm="1">
        <f t="array" ref="AV87">SUMPRODUCT((AJ87:AT87&lt;&gt;"Pendiente")*(AJ87:AT87&lt;&gt;""))</f>
        <v>8</v>
      </c>
      <c r="AW87" s="44">
        <f>COUNTA(Tabla25[[#This Row],[INVITACIÓN]:[ACTA DE INICIO]])</f>
        <v>11</v>
      </c>
      <c r="AX87" s="106">
        <f t="shared" si="29"/>
        <v>0.72727272727272729</v>
      </c>
      <c r="AY87" s="47">
        <v>45866</v>
      </c>
      <c r="AZ87" s="10">
        <v>45867</v>
      </c>
      <c r="BO87" s="4">
        <f>COUNTA(Tabla25[[#This Row],[(1)SOLICITUD DE  APERTURA FIRNANCIERA Y PRESUPUESTO 1 (FECHA) ]:[(15) FECHA DE CONTRATACIÓN ADMINISTRATIVO]])</f>
        <v>2</v>
      </c>
      <c r="BP87" s="26">
        <f>Tabla25[[#This Row],[NUMERO OK]]/15</f>
        <v>0.13333333333333333</v>
      </c>
      <c r="BQ87" s="4" t="str">
        <f t="shared" ca="1" si="30"/>
        <v>N/A</v>
      </c>
      <c r="BS87" s="9"/>
      <c r="BZ87" s="8"/>
    </row>
    <row r="88" spans="1:78">
      <c r="A88" s="89"/>
      <c r="B88" s="90"/>
      <c r="C88" s="91"/>
      <c r="D88" s="44"/>
      <c r="E88" s="44"/>
      <c r="F88" s="44"/>
      <c r="G88" s="44"/>
      <c r="K88" s="4" t="str">
        <f t="shared" si="22"/>
        <v/>
      </c>
      <c r="L88" s="4" t="str">
        <f t="shared" si="23"/>
        <v/>
      </c>
      <c r="M88" s="4" t="str">
        <f t="shared" si="24"/>
        <v/>
      </c>
      <c r="N88" s="10"/>
      <c r="O88" s="97"/>
      <c r="P88" s="98"/>
      <c r="Q88" s="99" t="str">
        <f t="shared" si="25"/>
        <v/>
      </c>
      <c r="R88" s="92"/>
      <c r="S88" s="92"/>
      <c r="T88" s="92"/>
      <c r="U88" s="92" t="str">
        <f t="shared" ca="1" si="26"/>
        <v/>
      </c>
      <c r="V88" s="98" t="str">
        <f t="shared" si="27"/>
        <v/>
      </c>
      <c r="W88" s="89"/>
      <c r="X88" s="44" t="str">
        <f t="shared" ca="1" si="32"/>
        <v>SUSCRITO</v>
      </c>
      <c r="Y88" s="100"/>
      <c r="Z88" s="101"/>
      <c r="AA88" s="101"/>
      <c r="AB88" s="101"/>
      <c r="AC88" s="101"/>
      <c r="AD88" s="102">
        <f t="shared" si="28"/>
        <v>0</v>
      </c>
      <c r="AE88" s="103">
        <f t="shared" si="31"/>
        <v>0</v>
      </c>
      <c r="AF88" s="104"/>
      <c r="AG88" s="29"/>
      <c r="AH88" s="44"/>
      <c r="AI88" s="29"/>
      <c r="AJ88" s="89"/>
      <c r="AK88" s="44"/>
      <c r="AL88" s="44"/>
      <c r="AM88" s="44"/>
      <c r="AN88" s="44"/>
      <c r="AO88" s="44"/>
      <c r="AP88" s="44"/>
      <c r="AQ88" s="44"/>
      <c r="AR88" s="44"/>
      <c r="AS88" s="44"/>
      <c r="AT88" s="44"/>
      <c r="AU88" s="105"/>
      <c r="AV88" s="44" cm="1">
        <f t="array" ref="AV88">SUMPRODUCT((AJ88:AT88&lt;&gt;"Pendiente")*(AJ88:AT88&lt;&gt;""))</f>
        <v>0</v>
      </c>
      <c r="AW88" s="44">
        <f>COUNTA(Tabla25[[#This Row],[INVITACIÓN]:[ACTA DE INICIO]])</f>
        <v>0</v>
      </c>
      <c r="AX88" s="106" t="e">
        <f t="shared" si="29"/>
        <v>#DIV/0!</v>
      </c>
      <c r="AY88" s="47"/>
      <c r="BO88" s="4">
        <f>COUNTA(Tabla25[[#This Row],[(1)SOLICITUD DE  APERTURA FIRNANCIERA Y PRESUPUESTO 1 (FECHA) ]:[(15) FECHA DE CONTRATACIÓN ADMINISTRATIVO]])</f>
        <v>0</v>
      </c>
      <c r="BP88" s="26">
        <f>Tabla25[[#This Row],[NUMERO OK]]/15</f>
        <v>0</v>
      </c>
      <c r="BQ88" s="4" t="str">
        <f t="shared" ca="1" si="30"/>
        <v>N/A</v>
      </c>
      <c r="BS88" s="9"/>
      <c r="BZ88" s="8"/>
    </row>
    <row r="89" spans="1:78">
      <c r="A89" s="89"/>
      <c r="B89" s="90"/>
      <c r="C89" s="91"/>
      <c r="D89" s="44"/>
      <c r="E89" s="44"/>
      <c r="F89" s="44"/>
      <c r="G89" s="44"/>
      <c r="K89" s="4" t="str">
        <f t="shared" si="22"/>
        <v/>
      </c>
      <c r="L89" s="4" t="str">
        <f t="shared" si="23"/>
        <v/>
      </c>
      <c r="M89" s="4" t="str">
        <f t="shared" si="24"/>
        <v/>
      </c>
      <c r="N89" s="10"/>
      <c r="O89" s="97"/>
      <c r="P89" s="98"/>
      <c r="Q89" s="99" t="str">
        <f t="shared" si="25"/>
        <v/>
      </c>
      <c r="R89" s="92"/>
      <c r="S89" s="92"/>
      <c r="T89" s="92"/>
      <c r="U89" s="92" t="str">
        <f t="shared" ca="1" si="26"/>
        <v/>
      </c>
      <c r="V89" s="98" t="str">
        <f t="shared" si="27"/>
        <v/>
      </c>
      <c r="W89" s="89"/>
      <c r="X89" s="44" t="str">
        <f t="shared" ca="1" si="32"/>
        <v>SUSCRITO</v>
      </c>
      <c r="Y89" s="100"/>
      <c r="Z89" s="101"/>
      <c r="AA89" s="101"/>
      <c r="AB89" s="101"/>
      <c r="AC89" s="101"/>
      <c r="AD89" s="102">
        <f t="shared" si="28"/>
        <v>0</v>
      </c>
      <c r="AE89" s="103">
        <f t="shared" si="31"/>
        <v>0</v>
      </c>
      <c r="AF89" s="104"/>
      <c r="AG89" s="29"/>
      <c r="AH89" s="44"/>
      <c r="AI89" s="29"/>
      <c r="AJ89" s="89"/>
      <c r="AK89" s="44"/>
      <c r="AL89" s="44"/>
      <c r="AM89" s="44"/>
      <c r="AN89" s="44"/>
      <c r="AO89" s="44"/>
      <c r="AP89" s="44"/>
      <c r="AQ89" s="44"/>
      <c r="AR89" s="44"/>
      <c r="AS89" s="44"/>
      <c r="AT89" s="44"/>
      <c r="AU89" s="105"/>
      <c r="AV89" s="44" cm="1">
        <f t="array" ref="AV89">SUMPRODUCT((AJ89:AT89&lt;&gt;"Pendiente")*(AJ89:AT89&lt;&gt;""))</f>
        <v>0</v>
      </c>
      <c r="AW89" s="44">
        <f>COUNTA(Tabla25[[#This Row],[INVITACIÓN]:[ACTA DE INICIO]])</f>
        <v>0</v>
      </c>
      <c r="AX89" s="106" t="e">
        <f t="shared" si="29"/>
        <v>#DIV/0!</v>
      </c>
      <c r="AY89" s="47"/>
      <c r="BO89" s="4">
        <f>COUNTA(Tabla25[[#This Row],[(1)SOLICITUD DE  APERTURA FIRNANCIERA Y PRESUPUESTO 1 (FECHA) ]:[(15) FECHA DE CONTRATACIÓN ADMINISTRATIVO]])</f>
        <v>0</v>
      </c>
      <c r="BP89" s="26">
        <f>Tabla25[[#This Row],[NUMERO OK]]/15</f>
        <v>0</v>
      </c>
      <c r="BQ89" s="4" t="str">
        <f t="shared" ca="1" si="30"/>
        <v>N/A</v>
      </c>
      <c r="BS89" s="9"/>
      <c r="BZ89" s="8"/>
    </row>
    <row r="90" spans="1:78">
      <c r="A90" s="89"/>
      <c r="B90" s="90"/>
      <c r="C90" s="91"/>
      <c r="D90" s="44"/>
      <c r="E90" s="44"/>
      <c r="F90" s="44"/>
      <c r="G90" s="44"/>
      <c r="K90" s="4" t="str">
        <f t="shared" si="22"/>
        <v/>
      </c>
      <c r="L90" s="4" t="str">
        <f t="shared" si="23"/>
        <v/>
      </c>
      <c r="M90" s="4" t="str">
        <f t="shared" si="24"/>
        <v/>
      </c>
      <c r="N90" s="10"/>
      <c r="O90" s="97"/>
      <c r="P90" s="98"/>
      <c r="Q90" s="99" t="str">
        <f t="shared" si="25"/>
        <v/>
      </c>
      <c r="R90" s="92"/>
      <c r="S90" s="92"/>
      <c r="T90" s="92"/>
      <c r="U90" s="92" t="str">
        <f t="shared" ca="1" si="26"/>
        <v/>
      </c>
      <c r="V90" s="98" t="str">
        <f t="shared" si="27"/>
        <v/>
      </c>
      <c r="W90" s="89"/>
      <c r="X90" s="44" t="str">
        <f t="shared" ca="1" si="32"/>
        <v>SUSCRITO</v>
      </c>
      <c r="Y90" s="100"/>
      <c r="Z90" s="101"/>
      <c r="AA90" s="101"/>
      <c r="AB90" s="101"/>
      <c r="AC90" s="101"/>
      <c r="AD90" s="102">
        <f t="shared" si="28"/>
        <v>0</v>
      </c>
      <c r="AE90" s="103">
        <f t="shared" si="31"/>
        <v>0</v>
      </c>
      <c r="AF90" s="104"/>
      <c r="AG90" s="29"/>
      <c r="AH90" s="44"/>
      <c r="AI90" s="29"/>
      <c r="AJ90" s="89"/>
      <c r="AK90" s="44"/>
      <c r="AL90" s="44"/>
      <c r="AM90" s="44"/>
      <c r="AN90" s="44"/>
      <c r="AO90" s="44"/>
      <c r="AP90" s="44"/>
      <c r="AQ90" s="44"/>
      <c r="AR90" s="44"/>
      <c r="AS90" s="44"/>
      <c r="AT90" s="44"/>
      <c r="AU90" s="105"/>
      <c r="AV90" s="44" cm="1">
        <f t="array" ref="AV90">SUMPRODUCT((AJ90:AT90&lt;&gt;"Pendiente")*(AJ90:AT90&lt;&gt;""))</f>
        <v>0</v>
      </c>
      <c r="AW90" s="44">
        <f>COUNTA(Tabla25[[#This Row],[INVITACIÓN]:[ACTA DE INICIO]])</f>
        <v>0</v>
      </c>
      <c r="AX90" s="106" t="e">
        <f t="shared" si="29"/>
        <v>#DIV/0!</v>
      </c>
      <c r="AY90" s="47"/>
      <c r="BO90" s="4">
        <f>COUNTA(Tabla25[[#This Row],[(1)SOLICITUD DE  APERTURA FIRNANCIERA Y PRESUPUESTO 1 (FECHA) ]:[(15) FECHA DE CONTRATACIÓN ADMINISTRATIVO]])</f>
        <v>0</v>
      </c>
      <c r="BP90" s="26">
        <f>Tabla25[[#This Row],[NUMERO OK]]/15</f>
        <v>0</v>
      </c>
      <c r="BQ90" s="4" t="str">
        <f t="shared" ca="1" si="30"/>
        <v>N/A</v>
      </c>
      <c r="BS90" s="9"/>
      <c r="BZ90" s="8"/>
    </row>
    <row r="91" spans="1:78">
      <c r="A91" s="89"/>
      <c r="B91" s="90"/>
      <c r="C91" s="91"/>
      <c r="D91" s="44"/>
      <c r="E91" s="44"/>
      <c r="F91" s="44"/>
      <c r="G91" s="44"/>
      <c r="K91" s="4" t="str">
        <f t="shared" si="22"/>
        <v/>
      </c>
      <c r="L91" s="4" t="str">
        <f t="shared" si="23"/>
        <v/>
      </c>
      <c r="M91" s="4" t="str">
        <f t="shared" si="24"/>
        <v/>
      </c>
      <c r="N91" s="10"/>
      <c r="O91" s="97"/>
      <c r="P91" s="98"/>
      <c r="Q91" s="99" t="str">
        <f t="shared" si="25"/>
        <v/>
      </c>
      <c r="R91" s="92"/>
      <c r="S91" s="92"/>
      <c r="T91" s="92"/>
      <c r="U91" s="92" t="str">
        <f t="shared" ca="1" si="26"/>
        <v/>
      </c>
      <c r="V91" s="98" t="str">
        <f t="shared" si="27"/>
        <v/>
      </c>
      <c r="W91" s="89"/>
      <c r="X91" s="44" t="str">
        <f t="shared" ca="1" si="32"/>
        <v>SUSCRITO</v>
      </c>
      <c r="Y91" s="100"/>
      <c r="Z91" s="101"/>
      <c r="AA91" s="101"/>
      <c r="AB91" s="101"/>
      <c r="AC91" s="101"/>
      <c r="AD91" s="102">
        <f t="shared" si="28"/>
        <v>0</v>
      </c>
      <c r="AE91" s="103">
        <f t="shared" si="31"/>
        <v>0</v>
      </c>
      <c r="AF91" s="104"/>
      <c r="AG91" s="29"/>
      <c r="AH91" s="44"/>
      <c r="AI91" s="29"/>
      <c r="AJ91" s="89"/>
      <c r="AK91" s="44"/>
      <c r="AL91" s="44"/>
      <c r="AM91" s="44"/>
      <c r="AN91" s="44"/>
      <c r="AO91" s="44"/>
      <c r="AP91" s="44"/>
      <c r="AQ91" s="44"/>
      <c r="AR91" s="44"/>
      <c r="AS91" s="44"/>
      <c r="AT91" s="44"/>
      <c r="AU91" s="105"/>
      <c r="AV91" s="44" cm="1">
        <f t="array" ref="AV91">SUMPRODUCT((AJ91:AT91&lt;&gt;"Pendiente")*(AJ91:AT91&lt;&gt;""))</f>
        <v>0</v>
      </c>
      <c r="AW91" s="44">
        <f>COUNTA(Tabla25[[#This Row],[INVITACIÓN]:[ACTA DE INICIO]])</f>
        <v>0</v>
      </c>
      <c r="AX91" s="106" t="e">
        <f t="shared" si="29"/>
        <v>#DIV/0!</v>
      </c>
      <c r="AY91" s="47"/>
      <c r="BO91" s="4">
        <f>COUNTA(Tabla25[[#This Row],[(1)SOLICITUD DE  APERTURA FIRNANCIERA Y PRESUPUESTO 1 (FECHA) ]:[(15) FECHA DE CONTRATACIÓN ADMINISTRATIVO]])</f>
        <v>0</v>
      </c>
      <c r="BP91" s="26">
        <f>Tabla25[[#This Row],[NUMERO OK]]/15</f>
        <v>0</v>
      </c>
      <c r="BQ91" s="4" t="str">
        <f t="shared" ca="1" si="30"/>
        <v>N/A</v>
      </c>
      <c r="BS91" s="9"/>
      <c r="BZ91" s="8"/>
    </row>
    <row r="92" spans="1:78">
      <c r="A92" s="89"/>
      <c r="B92" s="90"/>
      <c r="C92" s="91"/>
      <c r="D92" s="44"/>
      <c r="E92" s="44"/>
      <c r="F92" s="44"/>
      <c r="G92" s="44"/>
      <c r="K92" s="4" t="str">
        <f t="shared" si="22"/>
        <v/>
      </c>
      <c r="L92" s="4" t="str">
        <f t="shared" si="23"/>
        <v/>
      </c>
      <c r="M92" s="4" t="str">
        <f t="shared" si="24"/>
        <v/>
      </c>
      <c r="N92" s="10"/>
      <c r="O92" s="97"/>
      <c r="P92" s="98"/>
      <c r="Q92" s="99" t="str">
        <f t="shared" si="25"/>
        <v/>
      </c>
      <c r="R92" s="92"/>
      <c r="S92" s="92"/>
      <c r="T92" s="92"/>
      <c r="U92" s="92" t="str">
        <f t="shared" ca="1" si="26"/>
        <v/>
      </c>
      <c r="V92" s="98" t="str">
        <f t="shared" si="27"/>
        <v/>
      </c>
      <c r="W92" s="89"/>
      <c r="X92" s="44" t="str">
        <f t="shared" ca="1" si="32"/>
        <v>SUSCRITO</v>
      </c>
      <c r="Y92" s="100"/>
      <c r="Z92" s="101"/>
      <c r="AA92" s="101"/>
      <c r="AB92" s="101"/>
      <c r="AC92" s="101"/>
      <c r="AD92" s="102">
        <f t="shared" si="28"/>
        <v>0</v>
      </c>
      <c r="AE92" s="103">
        <f t="shared" si="31"/>
        <v>0</v>
      </c>
      <c r="AF92" s="104"/>
      <c r="AG92" s="29"/>
      <c r="AH92" s="44"/>
      <c r="AI92" s="29"/>
      <c r="AJ92" s="89"/>
      <c r="AK92" s="44"/>
      <c r="AL92" s="44"/>
      <c r="AM92" s="44"/>
      <c r="AN92" s="44"/>
      <c r="AO92" s="44"/>
      <c r="AP92" s="44"/>
      <c r="AQ92" s="44"/>
      <c r="AR92" s="44"/>
      <c r="AS92" s="44"/>
      <c r="AT92" s="44"/>
      <c r="AU92" s="105"/>
      <c r="AV92" s="44" cm="1">
        <f t="array" ref="AV92">SUMPRODUCT((AJ92:AT92&lt;&gt;"Pendiente")*(AJ92:AT92&lt;&gt;""))</f>
        <v>0</v>
      </c>
      <c r="AW92" s="44">
        <f>COUNTA(Tabla25[[#This Row],[INVITACIÓN]:[ACTA DE INICIO]])</f>
        <v>0</v>
      </c>
      <c r="AX92" s="106" t="e">
        <f t="shared" si="29"/>
        <v>#DIV/0!</v>
      </c>
      <c r="AY92" s="47"/>
      <c r="BO92" s="4">
        <f>COUNTA(Tabla25[[#This Row],[(1)SOLICITUD DE  APERTURA FIRNANCIERA Y PRESUPUESTO 1 (FECHA) ]:[(15) FECHA DE CONTRATACIÓN ADMINISTRATIVO]])</f>
        <v>0</v>
      </c>
      <c r="BP92" s="26">
        <f>Tabla25[[#This Row],[NUMERO OK]]/15</f>
        <v>0</v>
      </c>
      <c r="BQ92" s="4" t="str">
        <f t="shared" ca="1" si="30"/>
        <v>N/A</v>
      </c>
      <c r="BS92" s="9"/>
      <c r="BZ92" s="8"/>
    </row>
    <row r="93" spans="1:78">
      <c r="A93" s="89"/>
      <c r="B93" s="90"/>
      <c r="C93" s="91"/>
      <c r="D93" s="44"/>
      <c r="E93" s="44"/>
      <c r="F93" s="44"/>
      <c r="G93" s="44"/>
      <c r="K93" s="4" t="str">
        <f t="shared" si="22"/>
        <v/>
      </c>
      <c r="L93" s="4" t="str">
        <f t="shared" si="23"/>
        <v/>
      </c>
      <c r="M93" s="4" t="str">
        <f t="shared" si="24"/>
        <v/>
      </c>
      <c r="N93" s="10"/>
      <c r="O93" s="97"/>
      <c r="P93" s="98"/>
      <c r="Q93" s="99" t="str">
        <f t="shared" si="25"/>
        <v/>
      </c>
      <c r="R93" s="92"/>
      <c r="S93" s="92"/>
      <c r="T93" s="92"/>
      <c r="U93" s="92" t="str">
        <f t="shared" ca="1" si="26"/>
        <v/>
      </c>
      <c r="V93" s="98" t="str">
        <f t="shared" si="27"/>
        <v/>
      </c>
      <c r="W93" s="89"/>
      <c r="X93" s="44" t="str">
        <f t="shared" ca="1" si="32"/>
        <v>SUSCRITO</v>
      </c>
      <c r="Y93" s="100"/>
      <c r="Z93" s="101"/>
      <c r="AA93" s="101"/>
      <c r="AB93" s="101"/>
      <c r="AC93" s="101"/>
      <c r="AD93" s="102">
        <f t="shared" si="28"/>
        <v>0</v>
      </c>
      <c r="AE93" s="103">
        <f t="shared" si="31"/>
        <v>0</v>
      </c>
      <c r="AF93" s="104"/>
      <c r="AG93" s="29"/>
      <c r="AH93" s="44"/>
      <c r="AI93" s="29"/>
      <c r="AJ93" s="89"/>
      <c r="AK93" s="44"/>
      <c r="AL93" s="44"/>
      <c r="AM93" s="44"/>
      <c r="AN93" s="44"/>
      <c r="AO93" s="44"/>
      <c r="AP93" s="44"/>
      <c r="AQ93" s="44"/>
      <c r="AR93" s="44"/>
      <c r="AS93" s="44"/>
      <c r="AT93" s="44"/>
      <c r="AU93" s="105"/>
      <c r="AV93" s="44" cm="1">
        <f t="array" ref="AV93">SUMPRODUCT((AJ93:AT93&lt;&gt;"Pendiente")*(AJ93:AT93&lt;&gt;""))</f>
        <v>0</v>
      </c>
      <c r="AW93" s="44">
        <f>COUNTA(Tabla25[[#This Row],[INVITACIÓN]:[ACTA DE INICIO]])</f>
        <v>0</v>
      </c>
      <c r="AX93" s="106" t="e">
        <f t="shared" si="29"/>
        <v>#DIV/0!</v>
      </c>
      <c r="AY93" s="47"/>
      <c r="BO93" s="4">
        <f>COUNTA(Tabla25[[#This Row],[(1)SOLICITUD DE  APERTURA FIRNANCIERA Y PRESUPUESTO 1 (FECHA) ]:[(15) FECHA DE CONTRATACIÓN ADMINISTRATIVO]])</f>
        <v>0</v>
      </c>
      <c r="BP93" s="26">
        <f>Tabla25[[#This Row],[NUMERO OK]]/15</f>
        <v>0</v>
      </c>
      <c r="BQ93" s="4" t="str">
        <f t="shared" ca="1" si="30"/>
        <v>N/A</v>
      </c>
      <c r="BS93" s="9"/>
      <c r="BZ93" s="8"/>
    </row>
    <row r="94" spans="1:78">
      <c r="A94" s="89"/>
      <c r="B94" s="90"/>
      <c r="C94" s="91"/>
      <c r="D94" s="44"/>
      <c r="E94" s="44"/>
      <c r="F94" s="44"/>
      <c r="G94" s="44"/>
      <c r="K94" s="4" t="str">
        <f t="shared" si="22"/>
        <v/>
      </c>
      <c r="L94" s="4" t="str">
        <f t="shared" si="23"/>
        <v/>
      </c>
      <c r="M94" s="4" t="str">
        <f t="shared" si="24"/>
        <v/>
      </c>
      <c r="N94" s="10"/>
      <c r="O94" s="97"/>
      <c r="P94" s="98"/>
      <c r="Q94" s="99" t="str">
        <f t="shared" si="25"/>
        <v/>
      </c>
      <c r="R94" s="92"/>
      <c r="S94" s="92"/>
      <c r="T94" s="92"/>
      <c r="U94" s="92" t="str">
        <f t="shared" ca="1" si="26"/>
        <v/>
      </c>
      <c r="V94" s="98" t="str">
        <f t="shared" si="27"/>
        <v/>
      </c>
      <c r="W94" s="89"/>
      <c r="X94" s="44" t="str">
        <f t="shared" ca="1" si="32"/>
        <v>SUSCRITO</v>
      </c>
      <c r="Y94" s="100"/>
      <c r="Z94" s="101"/>
      <c r="AA94" s="101"/>
      <c r="AB94" s="101"/>
      <c r="AC94" s="101"/>
      <c r="AD94" s="102">
        <f t="shared" si="28"/>
        <v>0</v>
      </c>
      <c r="AE94" s="103">
        <f t="shared" si="31"/>
        <v>0</v>
      </c>
      <c r="AF94" s="104"/>
      <c r="AG94" s="29"/>
      <c r="AH94" s="44"/>
      <c r="AI94" s="29"/>
      <c r="AJ94" s="89"/>
      <c r="AK94" s="44"/>
      <c r="AL94" s="44"/>
      <c r="AM94" s="44"/>
      <c r="AN94" s="44"/>
      <c r="AO94" s="44"/>
      <c r="AP94" s="44"/>
      <c r="AQ94" s="44"/>
      <c r="AR94" s="44"/>
      <c r="AS94" s="44"/>
      <c r="AT94" s="44"/>
      <c r="AU94" s="105"/>
      <c r="AV94" s="44" cm="1">
        <f t="array" ref="AV94">SUMPRODUCT((AJ94:AT94&lt;&gt;"Pendiente")*(AJ94:AT94&lt;&gt;""))</f>
        <v>0</v>
      </c>
      <c r="AW94" s="44">
        <f>COUNTA(Tabla25[[#This Row],[INVITACIÓN]:[ACTA DE INICIO]])</f>
        <v>0</v>
      </c>
      <c r="AX94" s="106" t="e">
        <f t="shared" si="29"/>
        <v>#DIV/0!</v>
      </c>
      <c r="AY94" s="47"/>
      <c r="BO94" s="4">
        <f>COUNTA(Tabla25[[#This Row],[(1)SOLICITUD DE  APERTURA FIRNANCIERA Y PRESUPUESTO 1 (FECHA) ]:[(15) FECHA DE CONTRATACIÓN ADMINISTRATIVO]])</f>
        <v>0</v>
      </c>
      <c r="BP94" s="26">
        <f>Tabla25[[#This Row],[NUMERO OK]]/15</f>
        <v>0</v>
      </c>
      <c r="BQ94" s="4" t="str">
        <f t="shared" ca="1" si="30"/>
        <v>N/A</v>
      </c>
      <c r="BS94" s="9"/>
      <c r="BZ94" s="8"/>
    </row>
    <row r="95" spans="1:78">
      <c r="A95" s="89"/>
      <c r="B95" s="90"/>
      <c r="C95" s="91"/>
      <c r="D95" s="44"/>
      <c r="E95" s="44"/>
      <c r="F95" s="44"/>
      <c r="G95" s="44"/>
      <c r="K95" s="4" t="str">
        <f t="shared" si="22"/>
        <v/>
      </c>
      <c r="L95" s="4" t="str">
        <f t="shared" si="23"/>
        <v/>
      </c>
      <c r="M95" s="4" t="str">
        <f t="shared" si="24"/>
        <v/>
      </c>
      <c r="N95" s="10"/>
      <c r="O95" s="97"/>
      <c r="P95" s="98"/>
      <c r="Q95" s="99" t="str">
        <f t="shared" si="25"/>
        <v/>
      </c>
      <c r="R95" s="92"/>
      <c r="S95" s="92"/>
      <c r="T95" s="92"/>
      <c r="U95" s="92" t="str">
        <f t="shared" ca="1" si="26"/>
        <v/>
      </c>
      <c r="V95" s="98" t="str">
        <f t="shared" si="27"/>
        <v/>
      </c>
      <c r="W95" s="89"/>
      <c r="X95" s="44" t="str">
        <f t="shared" ca="1" si="32"/>
        <v>SUSCRITO</v>
      </c>
      <c r="Y95" s="100"/>
      <c r="Z95" s="101"/>
      <c r="AA95" s="101"/>
      <c r="AB95" s="101"/>
      <c r="AC95" s="101"/>
      <c r="AD95" s="102">
        <f t="shared" si="28"/>
        <v>0</v>
      </c>
      <c r="AE95" s="103">
        <f t="shared" si="31"/>
        <v>0</v>
      </c>
      <c r="AF95" s="104"/>
      <c r="AG95" s="29"/>
      <c r="AH95" s="44"/>
      <c r="AI95" s="29"/>
      <c r="AJ95" s="89"/>
      <c r="AK95" s="44"/>
      <c r="AL95" s="44"/>
      <c r="AM95" s="44"/>
      <c r="AN95" s="44"/>
      <c r="AO95" s="44"/>
      <c r="AP95" s="44"/>
      <c r="AQ95" s="44"/>
      <c r="AR95" s="44"/>
      <c r="AS95" s="44"/>
      <c r="AT95" s="44"/>
      <c r="AU95" s="105"/>
      <c r="AV95" s="44" cm="1">
        <f t="array" ref="AV95">SUMPRODUCT((AJ95:AT95&lt;&gt;"Pendiente")*(AJ95:AT95&lt;&gt;""))</f>
        <v>0</v>
      </c>
      <c r="AW95" s="44">
        <f>COUNTA(Tabla25[[#This Row],[INVITACIÓN]:[ACTA DE INICIO]])</f>
        <v>0</v>
      </c>
      <c r="AX95" s="106" t="e">
        <f t="shared" si="29"/>
        <v>#DIV/0!</v>
      </c>
      <c r="AY95" s="47"/>
      <c r="BO95" s="4">
        <f>COUNTA(Tabla25[[#This Row],[(1)SOLICITUD DE  APERTURA FIRNANCIERA Y PRESUPUESTO 1 (FECHA) ]:[(15) FECHA DE CONTRATACIÓN ADMINISTRATIVO]])</f>
        <v>0</v>
      </c>
      <c r="BP95" s="26">
        <f>Tabla25[[#This Row],[NUMERO OK]]/15</f>
        <v>0</v>
      </c>
      <c r="BQ95" s="4" t="str">
        <f t="shared" ca="1" si="30"/>
        <v>N/A</v>
      </c>
      <c r="BS95" s="9"/>
      <c r="BZ95" s="8"/>
    </row>
    <row r="96" spans="1:78">
      <c r="A96" s="89"/>
      <c r="B96" s="90"/>
      <c r="C96" s="91"/>
      <c r="D96" s="44"/>
      <c r="E96" s="44"/>
      <c r="F96" s="44"/>
      <c r="G96" s="44"/>
      <c r="K96" s="4" t="str">
        <f t="shared" si="22"/>
        <v/>
      </c>
      <c r="L96" s="4" t="str">
        <f t="shared" si="23"/>
        <v/>
      </c>
      <c r="M96" s="4" t="str">
        <f t="shared" si="24"/>
        <v/>
      </c>
      <c r="N96" s="10"/>
      <c r="O96" s="97"/>
      <c r="P96" s="98"/>
      <c r="Q96" s="99" t="str">
        <f t="shared" si="25"/>
        <v/>
      </c>
      <c r="R96" s="92"/>
      <c r="S96" s="92"/>
      <c r="T96" s="92"/>
      <c r="U96" s="92" t="str">
        <f t="shared" ca="1" si="26"/>
        <v/>
      </c>
      <c r="V96" s="98" t="str">
        <f t="shared" si="27"/>
        <v/>
      </c>
      <c r="W96" s="89"/>
      <c r="X96" s="44" t="str">
        <f t="shared" ca="1" si="32"/>
        <v>SUSCRITO</v>
      </c>
      <c r="Y96" s="100"/>
      <c r="Z96" s="101"/>
      <c r="AA96" s="101"/>
      <c r="AB96" s="101"/>
      <c r="AC96" s="101"/>
      <c r="AD96" s="102">
        <f t="shared" si="28"/>
        <v>0</v>
      </c>
      <c r="AE96" s="103">
        <f t="shared" si="31"/>
        <v>0</v>
      </c>
      <c r="AF96" s="104"/>
      <c r="AG96" s="29"/>
      <c r="AH96" s="44"/>
      <c r="AI96" s="29"/>
      <c r="AJ96" s="89"/>
      <c r="AK96" s="44"/>
      <c r="AL96" s="44"/>
      <c r="AM96" s="44"/>
      <c r="AN96" s="44"/>
      <c r="AO96" s="44"/>
      <c r="AP96" s="44"/>
      <c r="AQ96" s="44"/>
      <c r="AR96" s="44"/>
      <c r="AS96" s="44"/>
      <c r="AT96" s="44"/>
      <c r="AU96" s="105"/>
      <c r="AV96" s="44" cm="1">
        <f t="array" ref="AV96">SUMPRODUCT((AJ96:AT96&lt;&gt;"Pendiente")*(AJ96:AT96&lt;&gt;""))</f>
        <v>0</v>
      </c>
      <c r="AW96" s="44">
        <f>COUNTA(Tabla25[[#This Row],[INVITACIÓN]:[ACTA DE INICIO]])</f>
        <v>0</v>
      </c>
      <c r="AX96" s="106" t="e">
        <f t="shared" si="29"/>
        <v>#DIV/0!</v>
      </c>
      <c r="AY96" s="47"/>
      <c r="BO96" s="4">
        <f>COUNTA(Tabla25[[#This Row],[(1)SOLICITUD DE  APERTURA FIRNANCIERA Y PRESUPUESTO 1 (FECHA) ]:[(15) FECHA DE CONTRATACIÓN ADMINISTRATIVO]])</f>
        <v>0</v>
      </c>
      <c r="BP96" s="26">
        <f>Tabla25[[#This Row],[NUMERO OK]]/15</f>
        <v>0</v>
      </c>
      <c r="BQ96" s="4" t="str">
        <f t="shared" ca="1" si="30"/>
        <v>N/A</v>
      </c>
      <c r="BS96" s="9"/>
      <c r="BZ96" s="8"/>
    </row>
    <row r="97" spans="1:78">
      <c r="A97" s="89"/>
      <c r="B97" s="90"/>
      <c r="C97" s="91"/>
      <c r="D97" s="44"/>
      <c r="E97" s="44"/>
      <c r="F97" s="44"/>
      <c r="G97" s="44"/>
      <c r="K97" s="4" t="str">
        <f t="shared" si="22"/>
        <v/>
      </c>
      <c r="L97" s="4" t="str">
        <f t="shared" si="23"/>
        <v/>
      </c>
      <c r="M97" s="4" t="str">
        <f t="shared" si="24"/>
        <v/>
      </c>
      <c r="N97" s="10"/>
      <c r="O97" s="97"/>
      <c r="P97" s="98"/>
      <c r="Q97" s="99" t="str">
        <f t="shared" si="25"/>
        <v/>
      </c>
      <c r="R97" s="92"/>
      <c r="S97" s="92"/>
      <c r="T97" s="92"/>
      <c r="U97" s="92" t="str">
        <f t="shared" ca="1" si="26"/>
        <v/>
      </c>
      <c r="V97" s="98" t="str">
        <f t="shared" si="27"/>
        <v/>
      </c>
      <c r="W97" s="89"/>
      <c r="X97" s="44" t="str">
        <f t="shared" ca="1" si="32"/>
        <v>SUSCRITO</v>
      </c>
      <c r="Y97" s="100"/>
      <c r="Z97" s="101"/>
      <c r="AA97" s="101"/>
      <c r="AB97" s="101"/>
      <c r="AC97" s="101"/>
      <c r="AD97" s="102">
        <f t="shared" si="28"/>
        <v>0</v>
      </c>
      <c r="AE97" s="103">
        <f t="shared" si="31"/>
        <v>0</v>
      </c>
      <c r="AF97" s="104"/>
      <c r="AG97" s="29"/>
      <c r="AH97" s="44"/>
      <c r="AI97" s="29"/>
      <c r="AJ97" s="89"/>
      <c r="AK97" s="44"/>
      <c r="AL97" s="44"/>
      <c r="AM97" s="44"/>
      <c r="AN97" s="44"/>
      <c r="AO97" s="44"/>
      <c r="AP97" s="44"/>
      <c r="AQ97" s="44"/>
      <c r="AR97" s="44"/>
      <c r="AS97" s="44"/>
      <c r="AT97" s="44"/>
      <c r="AU97" s="105"/>
      <c r="AV97" s="44" cm="1">
        <f t="array" ref="AV97">SUMPRODUCT((AJ97:AT97&lt;&gt;"Pendiente")*(AJ97:AT97&lt;&gt;""))</f>
        <v>0</v>
      </c>
      <c r="AW97" s="44">
        <f>COUNTA(Tabla25[[#This Row],[INVITACIÓN]:[ACTA DE INICIO]])</f>
        <v>0</v>
      </c>
      <c r="AX97" s="106" t="e">
        <f t="shared" si="29"/>
        <v>#DIV/0!</v>
      </c>
      <c r="AY97" s="47"/>
      <c r="BO97" s="4">
        <f>COUNTA(Tabla25[[#This Row],[(1)SOLICITUD DE  APERTURA FIRNANCIERA Y PRESUPUESTO 1 (FECHA) ]:[(15) FECHA DE CONTRATACIÓN ADMINISTRATIVO]])</f>
        <v>0</v>
      </c>
      <c r="BP97" s="26">
        <f>Tabla25[[#This Row],[NUMERO OK]]/15</f>
        <v>0</v>
      </c>
      <c r="BQ97" s="4" t="str">
        <f t="shared" ca="1" si="30"/>
        <v>N/A</v>
      </c>
      <c r="BS97" s="9"/>
      <c r="BZ97" s="8"/>
    </row>
    <row r="98" spans="1:78">
      <c r="A98" s="89"/>
      <c r="B98" s="90"/>
      <c r="C98" s="91"/>
      <c r="D98" s="44"/>
      <c r="E98" s="44"/>
      <c r="F98" s="44"/>
      <c r="G98" s="44"/>
      <c r="K98" s="4" t="str">
        <f t="shared" si="22"/>
        <v/>
      </c>
      <c r="L98" s="4" t="str">
        <f t="shared" si="23"/>
        <v/>
      </c>
      <c r="M98" s="4" t="str">
        <f t="shared" si="24"/>
        <v/>
      </c>
      <c r="N98" s="10"/>
      <c r="O98" s="97"/>
      <c r="P98" s="98"/>
      <c r="Q98" s="99" t="str">
        <f t="shared" si="25"/>
        <v/>
      </c>
      <c r="R98" s="92"/>
      <c r="S98" s="92"/>
      <c r="T98" s="92"/>
      <c r="U98" s="92" t="str">
        <f t="shared" ca="1" si="26"/>
        <v/>
      </c>
      <c r="V98" s="98" t="str">
        <f t="shared" si="27"/>
        <v/>
      </c>
      <c r="W98" s="89"/>
      <c r="X98" s="44" t="str">
        <f t="shared" ca="1" si="32"/>
        <v>SUSCRITO</v>
      </c>
      <c r="Y98" s="100"/>
      <c r="Z98" s="101"/>
      <c r="AA98" s="101"/>
      <c r="AB98" s="101"/>
      <c r="AC98" s="101"/>
      <c r="AD98" s="102">
        <f t="shared" si="28"/>
        <v>0</v>
      </c>
      <c r="AE98" s="103">
        <f t="shared" si="31"/>
        <v>0</v>
      </c>
      <c r="AF98" s="104"/>
      <c r="AG98" s="29"/>
      <c r="AH98" s="44"/>
      <c r="AI98" s="29"/>
      <c r="AJ98" s="89"/>
      <c r="AK98" s="44"/>
      <c r="AL98" s="44"/>
      <c r="AM98" s="44"/>
      <c r="AN98" s="44"/>
      <c r="AO98" s="44"/>
      <c r="AP98" s="44"/>
      <c r="AQ98" s="44"/>
      <c r="AR98" s="44"/>
      <c r="AS98" s="44"/>
      <c r="AT98" s="44"/>
      <c r="AU98" s="105"/>
      <c r="AV98" s="44" cm="1">
        <f t="array" ref="AV98">SUMPRODUCT((AJ98:AT98&lt;&gt;"Pendiente")*(AJ98:AT98&lt;&gt;""))</f>
        <v>0</v>
      </c>
      <c r="AW98" s="44">
        <f>COUNTA(Tabla25[[#This Row],[INVITACIÓN]:[ACTA DE INICIO]])</f>
        <v>0</v>
      </c>
      <c r="AX98" s="106" t="e">
        <f t="shared" si="29"/>
        <v>#DIV/0!</v>
      </c>
      <c r="AY98" s="47"/>
      <c r="BO98" s="4">
        <f>COUNTA(Tabla25[[#This Row],[(1)SOLICITUD DE  APERTURA FIRNANCIERA Y PRESUPUESTO 1 (FECHA) ]:[(15) FECHA DE CONTRATACIÓN ADMINISTRATIVO]])</f>
        <v>0</v>
      </c>
      <c r="BP98" s="26">
        <f>Tabla25[[#This Row],[NUMERO OK]]/15</f>
        <v>0</v>
      </c>
      <c r="BQ98" s="4" t="str">
        <f t="shared" ca="1" si="30"/>
        <v>N/A</v>
      </c>
      <c r="BS98" s="9"/>
      <c r="BZ98" s="8"/>
    </row>
    <row r="99" spans="1:78">
      <c r="A99" s="89"/>
      <c r="B99" s="90"/>
      <c r="C99" s="91"/>
      <c r="D99" s="44"/>
      <c r="E99" s="44"/>
      <c r="F99" s="44"/>
      <c r="G99" s="44"/>
      <c r="K99" s="4" t="str">
        <f t="shared" ref="K99:K122" si="33">IF(Q99="","",(IF(Q99&lt;=7,5,IF(Q99&lt;=12,3,1))))</f>
        <v/>
      </c>
      <c r="L99" s="4" t="str">
        <f t="shared" ref="L99:L122" si="34">IF(AD99=0,"",IF(AD99&lt;=500000000,1,IF(AD99&lt;=2847000000,3,5)))</f>
        <v/>
      </c>
      <c r="M99" s="4" t="str">
        <f t="shared" ref="M99:M122" si="35">IF(K99="","",IF(Q99&lt;=7,5,IF(Q99&lt;=12,3,1))+IF(AD99&lt;=500000000,1,IF(AD99&lt;=2847000000,3,5)))</f>
        <v/>
      </c>
      <c r="N99" s="10"/>
      <c r="O99" s="97"/>
      <c r="P99" s="98"/>
      <c r="Q99" s="99" t="str">
        <f t="shared" ref="Q99:Q122" si="36">IF(R99="", "",((R99+T99)/(365/12)))</f>
        <v/>
      </c>
      <c r="R99" s="92"/>
      <c r="S99" s="92"/>
      <c r="T99" s="92"/>
      <c r="U99" s="92" t="str">
        <f t="shared" ca="1" si="26"/>
        <v/>
      </c>
      <c r="V99" s="98" t="str">
        <f t="shared" ref="V99:V122" si="37">IF(P99="", "",P99+R99+T99+S99)</f>
        <v/>
      </c>
      <c r="W99" s="89"/>
      <c r="X99" s="44" t="str">
        <f t="shared" ca="1" si="32"/>
        <v>SUSCRITO</v>
      </c>
      <c r="Y99" s="100"/>
      <c r="Z99" s="101"/>
      <c r="AA99" s="101"/>
      <c r="AB99" s="101"/>
      <c r="AC99" s="101"/>
      <c r="AD99" s="102">
        <f t="shared" ref="AD99:AD122" si="38">Z99+AB99+AA99+AC99</f>
        <v>0</v>
      </c>
      <c r="AE99" s="103">
        <f t="shared" si="31"/>
        <v>0</v>
      </c>
      <c r="AF99" s="104"/>
      <c r="AG99" s="29"/>
      <c r="AH99" s="44"/>
      <c r="AI99" s="29"/>
      <c r="AJ99" s="89"/>
      <c r="AK99" s="44"/>
      <c r="AL99" s="44"/>
      <c r="AM99" s="44"/>
      <c r="AN99" s="44"/>
      <c r="AO99" s="44"/>
      <c r="AP99" s="44"/>
      <c r="AQ99" s="44"/>
      <c r="AR99" s="44"/>
      <c r="AS99" s="44"/>
      <c r="AT99" s="44"/>
      <c r="AU99" s="105"/>
      <c r="AV99" s="44" cm="1">
        <f t="array" ref="AV99">SUMPRODUCT((AJ99:AT99&lt;&gt;"Pendiente")*(AJ99:AT99&lt;&gt;""))</f>
        <v>0</v>
      </c>
      <c r="AW99" s="44">
        <f>COUNTA(Tabla25[[#This Row],[INVITACIÓN]:[ACTA DE INICIO]])</f>
        <v>0</v>
      </c>
      <c r="AX99" s="106" t="e">
        <f t="shared" ref="AX99:AX122" si="39">AV99/AW99</f>
        <v>#DIV/0!</v>
      </c>
      <c r="AY99" s="47"/>
      <c r="BO99" s="4">
        <f>COUNTA(Tabla25[[#This Row],[(1)SOLICITUD DE  APERTURA FIRNANCIERA Y PRESUPUESTO 1 (FECHA) ]:[(15) FECHA DE CONTRATACIÓN ADMINISTRATIVO]])</f>
        <v>0</v>
      </c>
      <c r="BP99" s="26">
        <f>Tabla25[[#This Row],[NUMERO OK]]/15</f>
        <v>0</v>
      </c>
      <c r="BQ99" s="4" t="str">
        <f t="shared" ref="BQ99:BQ122" ca="1" si="40">IF(ISBLANK(P99),"N/A",
   IF(TODAY()-P99&lt;=15,
      IF(BP99=100%,"EnTiempos","EnProceso"),
      IF(BP99&lt;80%,"RiesgoAlto",
         IF(BP99&lt;100%,"RiesgoMedio","Cumplido")
      )
   )
)</f>
        <v>N/A</v>
      </c>
      <c r="BS99" s="9"/>
      <c r="BZ99" s="8"/>
    </row>
    <row r="100" spans="1:78">
      <c r="A100" s="89"/>
      <c r="B100" s="90"/>
      <c r="C100" s="91"/>
      <c r="D100" s="44"/>
      <c r="E100" s="44"/>
      <c r="F100" s="44"/>
      <c r="G100" s="44"/>
      <c r="K100" s="4" t="str">
        <f t="shared" si="33"/>
        <v/>
      </c>
      <c r="L100" s="4" t="str">
        <f t="shared" si="34"/>
        <v/>
      </c>
      <c r="M100" s="4" t="str">
        <f t="shared" si="35"/>
        <v/>
      </c>
      <c r="N100" s="10"/>
      <c r="O100" s="97"/>
      <c r="P100" s="98"/>
      <c r="Q100" s="99" t="str">
        <f t="shared" si="36"/>
        <v/>
      </c>
      <c r="R100" s="92"/>
      <c r="S100" s="92"/>
      <c r="T100" s="92"/>
      <c r="U100" s="92" t="str">
        <f t="shared" ca="1" si="26"/>
        <v/>
      </c>
      <c r="V100" s="98" t="str">
        <f t="shared" si="37"/>
        <v/>
      </c>
      <c r="W100" s="89"/>
      <c r="X100" s="44" t="str">
        <f t="shared" ca="1" si="32"/>
        <v>SUSCRITO</v>
      </c>
      <c r="Y100" s="100"/>
      <c r="Z100" s="101"/>
      <c r="AA100" s="101"/>
      <c r="AB100" s="101"/>
      <c r="AC100" s="101"/>
      <c r="AD100" s="102">
        <f t="shared" si="38"/>
        <v>0</v>
      </c>
      <c r="AE100" s="103">
        <f t="shared" si="31"/>
        <v>0</v>
      </c>
      <c r="AF100" s="104"/>
      <c r="AG100" s="29"/>
      <c r="AH100" s="44"/>
      <c r="AI100" s="29"/>
      <c r="AJ100" s="89"/>
      <c r="AK100" s="44"/>
      <c r="AL100" s="44"/>
      <c r="AM100" s="44"/>
      <c r="AN100" s="44"/>
      <c r="AO100" s="44"/>
      <c r="AP100" s="44"/>
      <c r="AQ100" s="44"/>
      <c r="AR100" s="44"/>
      <c r="AS100" s="44"/>
      <c r="AT100" s="44"/>
      <c r="AU100" s="105"/>
      <c r="AV100" s="44" cm="1">
        <f t="array" ref="AV100">SUMPRODUCT((AJ100:AT100&lt;&gt;"Pendiente")*(AJ100:AT100&lt;&gt;""))</f>
        <v>0</v>
      </c>
      <c r="AW100" s="44">
        <f>COUNTA(Tabla25[[#This Row],[INVITACIÓN]:[ACTA DE INICIO]])</f>
        <v>0</v>
      </c>
      <c r="AX100" s="106" t="e">
        <f t="shared" si="39"/>
        <v>#DIV/0!</v>
      </c>
      <c r="AY100" s="47"/>
      <c r="BO100" s="4">
        <f>COUNTA(Tabla25[[#This Row],[(1)SOLICITUD DE  APERTURA FIRNANCIERA Y PRESUPUESTO 1 (FECHA) ]:[(15) FECHA DE CONTRATACIÓN ADMINISTRATIVO]])</f>
        <v>0</v>
      </c>
      <c r="BP100" s="26">
        <f>Tabla25[[#This Row],[NUMERO OK]]/15</f>
        <v>0</v>
      </c>
      <c r="BQ100" s="4" t="str">
        <f t="shared" ca="1" si="40"/>
        <v>N/A</v>
      </c>
      <c r="BS100" s="9"/>
      <c r="BZ100" s="8"/>
    </row>
    <row r="101" spans="1:78">
      <c r="A101" s="89"/>
      <c r="B101" s="90"/>
      <c r="C101" s="91"/>
      <c r="D101" s="44"/>
      <c r="E101" s="44"/>
      <c r="F101" s="44"/>
      <c r="G101" s="44"/>
      <c r="K101" s="4" t="str">
        <f t="shared" si="33"/>
        <v/>
      </c>
      <c r="L101" s="4" t="str">
        <f t="shared" si="34"/>
        <v/>
      </c>
      <c r="M101" s="4" t="str">
        <f t="shared" si="35"/>
        <v/>
      </c>
      <c r="N101" s="10"/>
      <c r="O101" s="97"/>
      <c r="P101" s="98"/>
      <c r="Q101" s="99" t="str">
        <f t="shared" si="36"/>
        <v/>
      </c>
      <c r="R101" s="92"/>
      <c r="S101" s="92"/>
      <c r="T101" s="92"/>
      <c r="U101" s="92" t="str">
        <f t="shared" ca="1" si="26"/>
        <v/>
      </c>
      <c r="V101" s="98" t="str">
        <f t="shared" si="37"/>
        <v/>
      </c>
      <c r="W101" s="89"/>
      <c r="X101" s="44" t="str">
        <f t="shared" ca="1" si="32"/>
        <v>SUSCRITO</v>
      </c>
      <c r="Y101" s="100"/>
      <c r="Z101" s="101"/>
      <c r="AA101" s="101"/>
      <c r="AB101" s="101"/>
      <c r="AC101" s="101"/>
      <c r="AD101" s="102">
        <f t="shared" si="38"/>
        <v>0</v>
      </c>
      <c r="AE101" s="103">
        <f t="shared" ref="AE101:AE122" si="41">((Z101+AA101)*12%)/112%</f>
        <v>0</v>
      </c>
      <c r="AF101" s="104"/>
      <c r="AG101" s="29"/>
      <c r="AH101" s="44"/>
      <c r="AI101" s="29"/>
      <c r="AJ101" s="89"/>
      <c r="AK101" s="44"/>
      <c r="AL101" s="44"/>
      <c r="AM101" s="44"/>
      <c r="AN101" s="44"/>
      <c r="AO101" s="44"/>
      <c r="AP101" s="44"/>
      <c r="AQ101" s="44"/>
      <c r="AR101" s="44"/>
      <c r="AS101" s="44"/>
      <c r="AT101" s="44"/>
      <c r="AU101" s="105"/>
      <c r="AV101" s="44" cm="1">
        <f t="array" ref="AV101">SUMPRODUCT((AJ101:AT101&lt;&gt;"Pendiente")*(AJ101:AT101&lt;&gt;""))</f>
        <v>0</v>
      </c>
      <c r="AW101" s="44">
        <f>COUNTA(Tabla25[[#This Row],[INVITACIÓN]:[ACTA DE INICIO]])</f>
        <v>0</v>
      </c>
      <c r="AX101" s="106" t="e">
        <f t="shared" si="39"/>
        <v>#DIV/0!</v>
      </c>
      <c r="AY101" s="47"/>
      <c r="BO101" s="4">
        <f>COUNTA(Tabla25[[#This Row],[(1)SOLICITUD DE  APERTURA FIRNANCIERA Y PRESUPUESTO 1 (FECHA) ]:[(15) FECHA DE CONTRATACIÓN ADMINISTRATIVO]])</f>
        <v>0</v>
      </c>
      <c r="BP101" s="26">
        <f>Tabla25[[#This Row],[NUMERO OK]]/15</f>
        <v>0</v>
      </c>
      <c r="BQ101" s="4" t="str">
        <f t="shared" ca="1" si="40"/>
        <v>N/A</v>
      </c>
      <c r="BS101" s="9"/>
      <c r="BZ101" s="8"/>
    </row>
    <row r="102" spans="1:78">
      <c r="A102" s="89"/>
      <c r="B102" s="90"/>
      <c r="C102" s="91"/>
      <c r="D102" s="44"/>
      <c r="E102" s="44"/>
      <c r="F102" s="44"/>
      <c r="G102" s="44"/>
      <c r="K102" s="4" t="str">
        <f t="shared" si="33"/>
        <v/>
      </c>
      <c r="L102" s="4" t="str">
        <f t="shared" si="34"/>
        <v/>
      </c>
      <c r="M102" s="4" t="str">
        <f t="shared" si="35"/>
        <v/>
      </c>
      <c r="N102" s="10"/>
      <c r="O102" s="97"/>
      <c r="P102" s="98"/>
      <c r="Q102" s="99" t="str">
        <f t="shared" si="36"/>
        <v/>
      </c>
      <c r="R102" s="92"/>
      <c r="S102" s="92"/>
      <c r="T102" s="92"/>
      <c r="U102" s="92" t="str">
        <f t="shared" ca="1" si="26"/>
        <v/>
      </c>
      <c r="V102" s="98" t="str">
        <f t="shared" si="37"/>
        <v/>
      </c>
      <c r="W102" s="89"/>
      <c r="X102" s="44" t="str">
        <f t="shared" ca="1" si="32"/>
        <v>SUSCRITO</v>
      </c>
      <c r="Y102" s="100"/>
      <c r="Z102" s="101"/>
      <c r="AA102" s="101"/>
      <c r="AB102" s="101"/>
      <c r="AC102" s="101"/>
      <c r="AD102" s="102">
        <f t="shared" si="38"/>
        <v>0</v>
      </c>
      <c r="AE102" s="103">
        <f t="shared" si="41"/>
        <v>0</v>
      </c>
      <c r="AF102" s="104"/>
      <c r="AG102" s="29"/>
      <c r="AH102" s="44"/>
      <c r="AI102" s="29"/>
      <c r="AJ102" s="89"/>
      <c r="AK102" s="44"/>
      <c r="AL102" s="44"/>
      <c r="AM102" s="44"/>
      <c r="AN102" s="44"/>
      <c r="AO102" s="44"/>
      <c r="AP102" s="44"/>
      <c r="AQ102" s="44"/>
      <c r="AR102" s="44"/>
      <c r="AS102" s="44"/>
      <c r="AT102" s="44"/>
      <c r="AU102" s="105"/>
      <c r="AV102" s="44" cm="1">
        <f t="array" ref="AV102">SUMPRODUCT((AJ102:AT102&lt;&gt;"Pendiente")*(AJ102:AT102&lt;&gt;""))</f>
        <v>0</v>
      </c>
      <c r="AW102" s="44">
        <f>COUNTA(Tabla25[[#This Row],[INVITACIÓN]:[ACTA DE INICIO]])</f>
        <v>0</v>
      </c>
      <c r="AX102" s="106" t="e">
        <f t="shared" si="39"/>
        <v>#DIV/0!</v>
      </c>
      <c r="AY102" s="47"/>
      <c r="BO102" s="4">
        <f>COUNTA(Tabla25[[#This Row],[(1)SOLICITUD DE  APERTURA FIRNANCIERA Y PRESUPUESTO 1 (FECHA) ]:[(15) FECHA DE CONTRATACIÓN ADMINISTRATIVO]])</f>
        <v>0</v>
      </c>
      <c r="BP102" s="26">
        <f>Tabla25[[#This Row],[NUMERO OK]]/15</f>
        <v>0</v>
      </c>
      <c r="BQ102" s="4" t="str">
        <f t="shared" ca="1" si="40"/>
        <v>N/A</v>
      </c>
      <c r="BS102" s="9"/>
      <c r="BZ102" s="8"/>
    </row>
    <row r="103" spans="1:78">
      <c r="A103" s="89"/>
      <c r="B103" s="90"/>
      <c r="C103" s="91"/>
      <c r="D103" s="44"/>
      <c r="E103" s="44"/>
      <c r="F103" s="44"/>
      <c r="G103" s="44"/>
      <c r="K103" s="4" t="str">
        <f t="shared" si="33"/>
        <v/>
      </c>
      <c r="L103" s="4" t="str">
        <f t="shared" si="34"/>
        <v/>
      </c>
      <c r="M103" s="4" t="str">
        <f t="shared" si="35"/>
        <v/>
      </c>
      <c r="N103" s="10"/>
      <c r="O103" s="97"/>
      <c r="P103" s="98"/>
      <c r="Q103" s="99" t="str">
        <f t="shared" si="36"/>
        <v/>
      </c>
      <c r="R103" s="92"/>
      <c r="S103" s="92"/>
      <c r="T103" s="92"/>
      <c r="U103" s="92" t="str">
        <f t="shared" ca="1" si="26"/>
        <v/>
      </c>
      <c r="V103" s="98" t="str">
        <f t="shared" si="37"/>
        <v/>
      </c>
      <c r="W103" s="89"/>
      <c r="X103" s="44" t="str">
        <f t="shared" ca="1" si="32"/>
        <v>SUSCRITO</v>
      </c>
      <c r="Y103" s="100"/>
      <c r="Z103" s="101"/>
      <c r="AA103" s="101"/>
      <c r="AB103" s="101"/>
      <c r="AC103" s="101"/>
      <c r="AD103" s="102">
        <f t="shared" si="38"/>
        <v>0</v>
      </c>
      <c r="AE103" s="103">
        <f t="shared" si="41"/>
        <v>0</v>
      </c>
      <c r="AF103" s="104"/>
      <c r="AG103" s="29"/>
      <c r="AH103" s="44"/>
      <c r="AI103" s="29"/>
      <c r="AJ103" s="89"/>
      <c r="AK103" s="44"/>
      <c r="AL103" s="44"/>
      <c r="AM103" s="44"/>
      <c r="AN103" s="44"/>
      <c r="AO103" s="44"/>
      <c r="AP103" s="44"/>
      <c r="AQ103" s="44"/>
      <c r="AR103" s="44"/>
      <c r="AS103" s="44"/>
      <c r="AT103" s="44"/>
      <c r="AU103" s="105"/>
      <c r="AV103" s="44" cm="1">
        <f t="array" ref="AV103">SUMPRODUCT((AJ103:AT103&lt;&gt;"Pendiente")*(AJ103:AT103&lt;&gt;""))</f>
        <v>0</v>
      </c>
      <c r="AW103" s="44">
        <f>COUNTA(Tabla25[[#This Row],[INVITACIÓN]:[ACTA DE INICIO]])</f>
        <v>0</v>
      </c>
      <c r="AX103" s="106" t="e">
        <f t="shared" si="39"/>
        <v>#DIV/0!</v>
      </c>
      <c r="AY103" s="47"/>
      <c r="BO103" s="4">
        <f>COUNTA(Tabla25[[#This Row],[(1)SOLICITUD DE  APERTURA FIRNANCIERA Y PRESUPUESTO 1 (FECHA) ]:[(15) FECHA DE CONTRATACIÓN ADMINISTRATIVO]])</f>
        <v>0</v>
      </c>
      <c r="BP103" s="26">
        <f>Tabla25[[#This Row],[NUMERO OK]]/15</f>
        <v>0</v>
      </c>
      <c r="BQ103" s="4" t="str">
        <f t="shared" ca="1" si="40"/>
        <v>N/A</v>
      </c>
      <c r="BS103" s="9"/>
      <c r="BZ103" s="8"/>
    </row>
    <row r="104" spans="1:78">
      <c r="A104" s="89"/>
      <c r="B104" s="90"/>
      <c r="C104" s="91"/>
      <c r="D104" s="44"/>
      <c r="E104" s="44"/>
      <c r="F104" s="44"/>
      <c r="G104" s="44"/>
      <c r="K104" s="4" t="str">
        <f t="shared" si="33"/>
        <v/>
      </c>
      <c r="L104" s="4" t="str">
        <f t="shared" si="34"/>
        <v/>
      </c>
      <c r="M104" s="4" t="str">
        <f t="shared" si="35"/>
        <v/>
      </c>
      <c r="N104" s="10"/>
      <c r="O104" s="97"/>
      <c r="P104" s="98"/>
      <c r="Q104" s="99" t="str">
        <f t="shared" si="36"/>
        <v/>
      </c>
      <c r="R104" s="92"/>
      <c r="S104" s="92"/>
      <c r="T104" s="92"/>
      <c r="U104" s="92" t="str">
        <f t="shared" ca="1" si="26"/>
        <v/>
      </c>
      <c r="V104" s="98" t="str">
        <f t="shared" si="37"/>
        <v/>
      </c>
      <c r="W104" s="89"/>
      <c r="X104" s="44" t="str">
        <f t="shared" ca="1" si="32"/>
        <v>SUSCRITO</v>
      </c>
      <c r="Y104" s="100"/>
      <c r="Z104" s="101"/>
      <c r="AA104" s="101"/>
      <c r="AB104" s="101"/>
      <c r="AC104" s="101"/>
      <c r="AD104" s="102">
        <f t="shared" si="38"/>
        <v>0</v>
      </c>
      <c r="AE104" s="103">
        <f t="shared" si="41"/>
        <v>0</v>
      </c>
      <c r="AF104" s="104"/>
      <c r="AG104" s="29"/>
      <c r="AH104" s="44"/>
      <c r="AI104" s="29"/>
      <c r="AJ104" s="89"/>
      <c r="AK104" s="44"/>
      <c r="AL104" s="44"/>
      <c r="AM104" s="44"/>
      <c r="AN104" s="44"/>
      <c r="AO104" s="44"/>
      <c r="AP104" s="44"/>
      <c r="AQ104" s="44"/>
      <c r="AR104" s="44"/>
      <c r="AS104" s="44"/>
      <c r="AT104" s="44"/>
      <c r="AU104" s="105"/>
      <c r="AV104" s="44" cm="1">
        <f t="array" ref="AV104">SUMPRODUCT((AJ104:AT104&lt;&gt;"Pendiente")*(AJ104:AT104&lt;&gt;""))</f>
        <v>0</v>
      </c>
      <c r="AW104" s="44">
        <f>COUNTA(Tabla25[[#This Row],[INVITACIÓN]:[ACTA DE INICIO]])</f>
        <v>0</v>
      </c>
      <c r="AX104" s="106" t="e">
        <f t="shared" si="39"/>
        <v>#DIV/0!</v>
      </c>
      <c r="AY104" s="47"/>
      <c r="BO104" s="4">
        <f>COUNTA(Tabla25[[#This Row],[(1)SOLICITUD DE  APERTURA FIRNANCIERA Y PRESUPUESTO 1 (FECHA) ]:[(15) FECHA DE CONTRATACIÓN ADMINISTRATIVO]])</f>
        <v>0</v>
      </c>
      <c r="BP104" s="26">
        <f>Tabla25[[#This Row],[NUMERO OK]]/15</f>
        <v>0</v>
      </c>
      <c r="BQ104" s="4" t="str">
        <f t="shared" ca="1" si="40"/>
        <v>N/A</v>
      </c>
      <c r="BS104" s="9"/>
      <c r="BZ104" s="8"/>
    </row>
    <row r="105" spans="1:78">
      <c r="A105" s="89"/>
      <c r="B105" s="90"/>
      <c r="C105" s="91"/>
      <c r="D105" s="44"/>
      <c r="E105" s="44"/>
      <c r="F105" s="44"/>
      <c r="G105" s="44"/>
      <c r="K105" s="4" t="str">
        <f t="shared" si="33"/>
        <v/>
      </c>
      <c r="L105" s="4" t="str">
        <f t="shared" si="34"/>
        <v/>
      </c>
      <c r="M105" s="4" t="str">
        <f t="shared" si="35"/>
        <v/>
      </c>
      <c r="N105" s="10"/>
      <c r="O105" s="97"/>
      <c r="P105" s="98"/>
      <c r="Q105" s="99" t="str">
        <f t="shared" si="36"/>
        <v/>
      </c>
      <c r="R105" s="92"/>
      <c r="S105" s="92"/>
      <c r="T105" s="92"/>
      <c r="U105" s="92" t="str">
        <f t="shared" ca="1" si="26"/>
        <v/>
      </c>
      <c r="V105" s="98" t="str">
        <f t="shared" si="37"/>
        <v/>
      </c>
      <c r="W105" s="89"/>
      <c r="X105" s="44" t="str">
        <f t="shared" ca="1" si="32"/>
        <v>SUSCRITO</v>
      </c>
      <c r="Y105" s="100"/>
      <c r="Z105" s="101"/>
      <c r="AA105" s="101"/>
      <c r="AB105" s="101"/>
      <c r="AC105" s="101"/>
      <c r="AD105" s="102">
        <f t="shared" si="38"/>
        <v>0</v>
      </c>
      <c r="AE105" s="103">
        <f t="shared" si="41"/>
        <v>0</v>
      </c>
      <c r="AF105" s="104"/>
      <c r="AG105" s="29"/>
      <c r="AH105" s="44"/>
      <c r="AI105" s="29"/>
      <c r="AJ105" s="89"/>
      <c r="AK105" s="44"/>
      <c r="AL105" s="44"/>
      <c r="AM105" s="44"/>
      <c r="AN105" s="44"/>
      <c r="AO105" s="44"/>
      <c r="AP105" s="44"/>
      <c r="AQ105" s="44"/>
      <c r="AR105" s="44"/>
      <c r="AS105" s="44"/>
      <c r="AT105" s="44"/>
      <c r="AU105" s="105"/>
      <c r="AV105" s="44" cm="1">
        <f t="array" ref="AV105">SUMPRODUCT((AJ105:AT105&lt;&gt;"Pendiente")*(AJ105:AT105&lt;&gt;""))</f>
        <v>0</v>
      </c>
      <c r="AW105" s="44">
        <f>COUNTA(Tabla25[[#This Row],[INVITACIÓN]:[ACTA DE INICIO]])</f>
        <v>0</v>
      </c>
      <c r="AX105" s="106" t="e">
        <f t="shared" si="39"/>
        <v>#DIV/0!</v>
      </c>
      <c r="AY105" s="47"/>
      <c r="BO105" s="4">
        <f>COUNTA(Tabla25[[#This Row],[(1)SOLICITUD DE  APERTURA FIRNANCIERA Y PRESUPUESTO 1 (FECHA) ]:[(15) FECHA DE CONTRATACIÓN ADMINISTRATIVO]])</f>
        <v>0</v>
      </c>
      <c r="BP105" s="26">
        <f>Tabla25[[#This Row],[NUMERO OK]]/15</f>
        <v>0</v>
      </c>
      <c r="BQ105" s="4" t="str">
        <f t="shared" ca="1" si="40"/>
        <v>N/A</v>
      </c>
      <c r="BS105" s="9"/>
      <c r="BZ105" s="8"/>
    </row>
    <row r="106" spans="1:78">
      <c r="A106" s="89"/>
      <c r="B106" s="90"/>
      <c r="C106" s="91"/>
      <c r="D106" s="44"/>
      <c r="E106" s="44"/>
      <c r="F106" s="44"/>
      <c r="G106" s="44"/>
      <c r="K106" s="4" t="str">
        <f t="shared" si="33"/>
        <v/>
      </c>
      <c r="L106" s="4" t="str">
        <f t="shared" si="34"/>
        <v/>
      </c>
      <c r="M106" s="4" t="str">
        <f t="shared" si="35"/>
        <v/>
      </c>
      <c r="N106" s="10"/>
      <c r="O106" s="97"/>
      <c r="P106" s="98"/>
      <c r="Q106" s="99" t="str">
        <f t="shared" si="36"/>
        <v/>
      </c>
      <c r="R106" s="92"/>
      <c r="S106" s="92"/>
      <c r="T106" s="92"/>
      <c r="U106" s="92" t="str">
        <f t="shared" ca="1" si="26"/>
        <v/>
      </c>
      <c r="V106" s="98" t="str">
        <f t="shared" si="37"/>
        <v/>
      </c>
      <c r="W106" s="89"/>
      <c r="X106" s="44" t="str">
        <f t="shared" ca="1" si="32"/>
        <v>SUSCRITO</v>
      </c>
      <c r="Y106" s="100"/>
      <c r="Z106" s="101"/>
      <c r="AA106" s="101"/>
      <c r="AB106" s="101"/>
      <c r="AC106" s="101"/>
      <c r="AD106" s="102">
        <f t="shared" si="38"/>
        <v>0</v>
      </c>
      <c r="AE106" s="103">
        <f t="shared" si="41"/>
        <v>0</v>
      </c>
      <c r="AF106" s="104"/>
      <c r="AG106" s="29"/>
      <c r="AH106" s="44"/>
      <c r="AI106" s="29"/>
      <c r="AJ106" s="89"/>
      <c r="AK106" s="44"/>
      <c r="AL106" s="44"/>
      <c r="AM106" s="44"/>
      <c r="AN106" s="44"/>
      <c r="AO106" s="44"/>
      <c r="AP106" s="44"/>
      <c r="AQ106" s="44"/>
      <c r="AR106" s="44"/>
      <c r="AS106" s="44"/>
      <c r="AT106" s="44"/>
      <c r="AU106" s="105"/>
      <c r="AV106" s="44" cm="1">
        <f t="array" ref="AV106">SUMPRODUCT((AJ106:AT106&lt;&gt;"Pendiente")*(AJ106:AT106&lt;&gt;""))</f>
        <v>0</v>
      </c>
      <c r="AW106" s="44">
        <f>COUNTA(Tabla25[[#This Row],[INVITACIÓN]:[ACTA DE INICIO]])</f>
        <v>0</v>
      </c>
      <c r="AX106" s="106" t="e">
        <f t="shared" si="39"/>
        <v>#DIV/0!</v>
      </c>
      <c r="AY106" s="47"/>
      <c r="BO106" s="4">
        <f>COUNTA(Tabla25[[#This Row],[(1)SOLICITUD DE  APERTURA FIRNANCIERA Y PRESUPUESTO 1 (FECHA) ]:[(15) FECHA DE CONTRATACIÓN ADMINISTRATIVO]])</f>
        <v>0</v>
      </c>
      <c r="BP106" s="26">
        <f>Tabla25[[#This Row],[NUMERO OK]]/15</f>
        <v>0</v>
      </c>
      <c r="BQ106" s="4" t="str">
        <f t="shared" ca="1" si="40"/>
        <v>N/A</v>
      </c>
      <c r="BS106" s="9"/>
      <c r="BZ106" s="8"/>
    </row>
    <row r="107" spans="1:78">
      <c r="A107" s="89"/>
      <c r="B107" s="90"/>
      <c r="C107" s="91"/>
      <c r="D107" s="44"/>
      <c r="E107" s="44"/>
      <c r="F107" s="44"/>
      <c r="G107" s="44"/>
      <c r="K107" s="4" t="str">
        <f t="shared" si="33"/>
        <v/>
      </c>
      <c r="L107" s="4" t="str">
        <f t="shared" si="34"/>
        <v/>
      </c>
      <c r="M107" s="4" t="str">
        <f t="shared" si="35"/>
        <v/>
      </c>
      <c r="N107" s="10"/>
      <c r="O107" s="97"/>
      <c r="P107" s="98"/>
      <c r="Q107" s="99" t="str">
        <f t="shared" si="36"/>
        <v/>
      </c>
      <c r="R107" s="92"/>
      <c r="S107" s="92"/>
      <c r="T107" s="92"/>
      <c r="U107" s="92" t="str">
        <f t="shared" ca="1" si="26"/>
        <v/>
      </c>
      <c r="V107" s="98" t="str">
        <f t="shared" si="37"/>
        <v/>
      </c>
      <c r="W107" s="89"/>
      <c r="X107" s="44" t="str">
        <f t="shared" ca="1" si="32"/>
        <v>SUSCRITO</v>
      </c>
      <c r="Y107" s="100"/>
      <c r="Z107" s="101"/>
      <c r="AA107" s="101"/>
      <c r="AB107" s="101"/>
      <c r="AC107" s="101"/>
      <c r="AD107" s="102">
        <f t="shared" si="38"/>
        <v>0</v>
      </c>
      <c r="AE107" s="103">
        <f t="shared" si="41"/>
        <v>0</v>
      </c>
      <c r="AF107" s="104"/>
      <c r="AG107" s="29"/>
      <c r="AH107" s="44"/>
      <c r="AI107" s="29"/>
      <c r="AJ107" s="89"/>
      <c r="AK107" s="44"/>
      <c r="AL107" s="44"/>
      <c r="AM107" s="44"/>
      <c r="AN107" s="44"/>
      <c r="AO107" s="44"/>
      <c r="AP107" s="44"/>
      <c r="AQ107" s="44"/>
      <c r="AR107" s="44"/>
      <c r="AS107" s="44"/>
      <c r="AT107" s="44"/>
      <c r="AU107" s="105"/>
      <c r="AV107" s="44" cm="1">
        <f t="array" ref="AV107">SUMPRODUCT((AJ107:AT107&lt;&gt;"Pendiente")*(AJ107:AT107&lt;&gt;""))</f>
        <v>0</v>
      </c>
      <c r="AW107" s="44">
        <f>COUNTA(Tabla25[[#This Row],[INVITACIÓN]:[ACTA DE INICIO]])</f>
        <v>0</v>
      </c>
      <c r="AX107" s="106" t="e">
        <f t="shared" si="39"/>
        <v>#DIV/0!</v>
      </c>
      <c r="AY107" s="47"/>
      <c r="BO107" s="4">
        <f>COUNTA(Tabla25[[#This Row],[(1)SOLICITUD DE  APERTURA FIRNANCIERA Y PRESUPUESTO 1 (FECHA) ]:[(15) FECHA DE CONTRATACIÓN ADMINISTRATIVO]])</f>
        <v>0</v>
      </c>
      <c r="BP107" s="26">
        <f>Tabla25[[#This Row],[NUMERO OK]]/15</f>
        <v>0</v>
      </c>
      <c r="BQ107" s="4" t="str">
        <f t="shared" ca="1" si="40"/>
        <v>N/A</v>
      </c>
      <c r="BS107" s="9"/>
      <c r="BZ107" s="8"/>
    </row>
    <row r="108" spans="1:78">
      <c r="A108" s="89"/>
      <c r="B108" s="90"/>
      <c r="C108" s="91"/>
      <c r="D108" s="44"/>
      <c r="E108" s="44"/>
      <c r="F108" s="44"/>
      <c r="G108" s="44"/>
      <c r="K108" s="4" t="str">
        <f t="shared" si="33"/>
        <v/>
      </c>
      <c r="L108" s="4" t="str">
        <f t="shared" si="34"/>
        <v/>
      </c>
      <c r="M108" s="4" t="str">
        <f t="shared" si="35"/>
        <v/>
      </c>
      <c r="N108" s="10"/>
      <c r="O108" s="97"/>
      <c r="P108" s="98"/>
      <c r="Q108" s="99" t="str">
        <f t="shared" si="36"/>
        <v/>
      </c>
      <c r="R108" s="92"/>
      <c r="S108" s="92"/>
      <c r="T108" s="92"/>
      <c r="U108" s="92" t="str">
        <f t="shared" ca="1" si="26"/>
        <v/>
      </c>
      <c r="V108" s="98" t="str">
        <f t="shared" si="37"/>
        <v/>
      </c>
      <c r="W108" s="89"/>
      <c r="X108" s="44" t="str">
        <f t="shared" ca="1" si="32"/>
        <v>SUSCRITO</v>
      </c>
      <c r="Y108" s="100"/>
      <c r="Z108" s="101"/>
      <c r="AA108" s="101"/>
      <c r="AB108" s="101"/>
      <c r="AC108" s="101"/>
      <c r="AD108" s="102">
        <f t="shared" si="38"/>
        <v>0</v>
      </c>
      <c r="AE108" s="103">
        <f t="shared" si="41"/>
        <v>0</v>
      </c>
      <c r="AF108" s="104"/>
      <c r="AG108" s="29"/>
      <c r="AH108" s="44"/>
      <c r="AI108" s="29"/>
      <c r="AJ108" s="89"/>
      <c r="AK108" s="44"/>
      <c r="AL108" s="44"/>
      <c r="AM108" s="44"/>
      <c r="AN108" s="44"/>
      <c r="AO108" s="44"/>
      <c r="AP108" s="44"/>
      <c r="AQ108" s="44"/>
      <c r="AR108" s="44"/>
      <c r="AS108" s="44"/>
      <c r="AT108" s="44"/>
      <c r="AU108" s="105"/>
      <c r="AV108" s="44" cm="1">
        <f t="array" ref="AV108">SUMPRODUCT((AJ108:AT108&lt;&gt;"Pendiente")*(AJ108:AT108&lt;&gt;""))</f>
        <v>0</v>
      </c>
      <c r="AW108" s="44">
        <f>COUNTA(Tabla25[[#This Row],[INVITACIÓN]:[ACTA DE INICIO]])</f>
        <v>0</v>
      </c>
      <c r="AX108" s="106" t="e">
        <f t="shared" si="39"/>
        <v>#DIV/0!</v>
      </c>
      <c r="AY108" s="47"/>
      <c r="BO108" s="4">
        <f>COUNTA(Tabla25[[#This Row],[(1)SOLICITUD DE  APERTURA FIRNANCIERA Y PRESUPUESTO 1 (FECHA) ]:[(15) FECHA DE CONTRATACIÓN ADMINISTRATIVO]])</f>
        <v>0</v>
      </c>
      <c r="BP108" s="26">
        <f>Tabla25[[#This Row],[NUMERO OK]]/15</f>
        <v>0</v>
      </c>
      <c r="BQ108" s="4" t="str">
        <f t="shared" ca="1" si="40"/>
        <v>N/A</v>
      </c>
      <c r="BS108" s="9"/>
      <c r="BZ108" s="8"/>
    </row>
    <row r="109" spans="1:78">
      <c r="A109" s="89"/>
      <c r="B109" s="90"/>
      <c r="C109" s="91"/>
      <c r="D109" s="44"/>
      <c r="E109" s="44"/>
      <c r="F109" s="44"/>
      <c r="G109" s="44"/>
      <c r="K109" s="4" t="str">
        <f t="shared" si="33"/>
        <v/>
      </c>
      <c r="L109" s="4" t="str">
        <f t="shared" si="34"/>
        <v/>
      </c>
      <c r="M109" s="4" t="str">
        <f t="shared" si="35"/>
        <v/>
      </c>
      <c r="N109" s="10"/>
      <c r="O109" s="97"/>
      <c r="P109" s="98"/>
      <c r="Q109" s="99" t="str">
        <f t="shared" si="36"/>
        <v/>
      </c>
      <c r="R109" s="92"/>
      <c r="S109" s="92"/>
      <c r="T109" s="92"/>
      <c r="U109" s="92" t="str">
        <f t="shared" ca="1" si="26"/>
        <v/>
      </c>
      <c r="V109" s="98" t="str">
        <f t="shared" si="37"/>
        <v/>
      </c>
      <c r="W109" s="89"/>
      <c r="X109" s="44" t="str">
        <f t="shared" ca="1" si="32"/>
        <v>SUSCRITO</v>
      </c>
      <c r="Y109" s="100"/>
      <c r="Z109" s="101"/>
      <c r="AA109" s="101"/>
      <c r="AB109" s="101"/>
      <c r="AC109" s="101"/>
      <c r="AD109" s="102">
        <f t="shared" si="38"/>
        <v>0</v>
      </c>
      <c r="AE109" s="103">
        <f t="shared" si="41"/>
        <v>0</v>
      </c>
      <c r="AF109" s="104"/>
      <c r="AG109" s="29"/>
      <c r="AH109" s="44"/>
      <c r="AI109" s="29"/>
      <c r="AJ109" s="89"/>
      <c r="AK109" s="44"/>
      <c r="AL109" s="44"/>
      <c r="AM109" s="44"/>
      <c r="AN109" s="44"/>
      <c r="AO109" s="44"/>
      <c r="AP109" s="44"/>
      <c r="AQ109" s="44"/>
      <c r="AR109" s="44"/>
      <c r="AS109" s="44"/>
      <c r="AT109" s="44"/>
      <c r="AU109" s="105"/>
      <c r="AV109" s="44" cm="1">
        <f t="array" ref="AV109">SUMPRODUCT((AJ109:AT109&lt;&gt;"Pendiente")*(AJ109:AT109&lt;&gt;""))</f>
        <v>0</v>
      </c>
      <c r="AW109" s="44">
        <f>COUNTA(Tabla25[[#This Row],[INVITACIÓN]:[ACTA DE INICIO]])</f>
        <v>0</v>
      </c>
      <c r="AX109" s="106" t="e">
        <f t="shared" si="39"/>
        <v>#DIV/0!</v>
      </c>
      <c r="AY109" s="47"/>
      <c r="BO109" s="4">
        <f>COUNTA(Tabla25[[#This Row],[(1)SOLICITUD DE  APERTURA FIRNANCIERA Y PRESUPUESTO 1 (FECHA) ]:[(15) FECHA DE CONTRATACIÓN ADMINISTRATIVO]])</f>
        <v>0</v>
      </c>
      <c r="BP109" s="26">
        <f>Tabla25[[#This Row],[NUMERO OK]]/15</f>
        <v>0</v>
      </c>
      <c r="BQ109" s="4" t="str">
        <f t="shared" ca="1" si="40"/>
        <v>N/A</v>
      </c>
      <c r="BS109" s="9"/>
      <c r="BZ109" s="8"/>
    </row>
    <row r="110" spans="1:78">
      <c r="A110" s="89"/>
      <c r="B110" s="90"/>
      <c r="C110" s="91"/>
      <c r="D110" s="44"/>
      <c r="E110" s="44"/>
      <c r="F110" s="44"/>
      <c r="G110" s="44"/>
      <c r="K110" s="4" t="str">
        <f t="shared" si="33"/>
        <v/>
      </c>
      <c r="L110" s="4" t="str">
        <f t="shared" si="34"/>
        <v/>
      </c>
      <c r="M110" s="4" t="str">
        <f t="shared" si="35"/>
        <v/>
      </c>
      <c r="N110" s="10"/>
      <c r="O110" s="97"/>
      <c r="P110" s="98"/>
      <c r="Q110" s="99" t="str">
        <f t="shared" si="36"/>
        <v/>
      </c>
      <c r="R110" s="92"/>
      <c r="S110" s="92"/>
      <c r="T110" s="92"/>
      <c r="U110" s="92" t="str">
        <f t="shared" ca="1" si="26"/>
        <v/>
      </c>
      <c r="V110" s="98" t="str">
        <f t="shared" si="37"/>
        <v/>
      </c>
      <c r="W110" s="89"/>
      <c r="X110" s="44" t="str">
        <f t="shared" ca="1" si="32"/>
        <v>SUSCRITO</v>
      </c>
      <c r="Y110" s="100"/>
      <c r="Z110" s="101"/>
      <c r="AA110" s="101"/>
      <c r="AB110" s="101"/>
      <c r="AC110" s="101"/>
      <c r="AD110" s="102">
        <f t="shared" si="38"/>
        <v>0</v>
      </c>
      <c r="AE110" s="103">
        <f t="shared" si="41"/>
        <v>0</v>
      </c>
      <c r="AF110" s="104"/>
      <c r="AG110" s="29"/>
      <c r="AH110" s="44"/>
      <c r="AI110" s="29"/>
      <c r="AJ110" s="89"/>
      <c r="AK110" s="44"/>
      <c r="AL110" s="44"/>
      <c r="AM110" s="44"/>
      <c r="AN110" s="44"/>
      <c r="AO110" s="44"/>
      <c r="AP110" s="44"/>
      <c r="AQ110" s="44"/>
      <c r="AR110" s="44"/>
      <c r="AS110" s="44"/>
      <c r="AT110" s="44"/>
      <c r="AU110" s="105"/>
      <c r="AV110" s="44" cm="1">
        <f t="array" ref="AV110">SUMPRODUCT((AJ110:AT110&lt;&gt;"Pendiente")*(AJ110:AT110&lt;&gt;""))</f>
        <v>0</v>
      </c>
      <c r="AW110" s="44">
        <f>COUNTA(Tabla25[[#This Row],[INVITACIÓN]:[ACTA DE INICIO]])</f>
        <v>0</v>
      </c>
      <c r="AX110" s="106" t="e">
        <f t="shared" si="39"/>
        <v>#DIV/0!</v>
      </c>
      <c r="AY110" s="47"/>
      <c r="BO110" s="4">
        <f>COUNTA(Tabla25[[#This Row],[(1)SOLICITUD DE  APERTURA FIRNANCIERA Y PRESUPUESTO 1 (FECHA) ]:[(15) FECHA DE CONTRATACIÓN ADMINISTRATIVO]])</f>
        <v>0</v>
      </c>
      <c r="BP110" s="26">
        <f>Tabla25[[#This Row],[NUMERO OK]]/15</f>
        <v>0</v>
      </c>
      <c r="BQ110" s="4" t="str">
        <f t="shared" ca="1" si="40"/>
        <v>N/A</v>
      </c>
      <c r="BS110" s="9"/>
      <c r="BZ110" s="8"/>
    </row>
    <row r="111" spans="1:78">
      <c r="A111" s="89"/>
      <c r="B111" s="90"/>
      <c r="C111" s="91"/>
      <c r="D111" s="44"/>
      <c r="E111" s="44"/>
      <c r="F111" s="44"/>
      <c r="G111" s="44"/>
      <c r="K111" s="4" t="str">
        <f t="shared" si="33"/>
        <v/>
      </c>
      <c r="L111" s="4" t="str">
        <f t="shared" si="34"/>
        <v/>
      </c>
      <c r="M111" s="4" t="str">
        <f t="shared" si="35"/>
        <v/>
      </c>
      <c r="N111" s="10"/>
      <c r="O111" s="97"/>
      <c r="P111" s="98"/>
      <c r="Q111" s="99" t="str">
        <f t="shared" si="36"/>
        <v/>
      </c>
      <c r="R111" s="92"/>
      <c r="S111" s="92"/>
      <c r="T111" s="92"/>
      <c r="U111" s="92" t="str">
        <f t="shared" ca="1" si="26"/>
        <v/>
      </c>
      <c r="V111" s="98" t="str">
        <f t="shared" si="37"/>
        <v/>
      </c>
      <c r="W111" s="89"/>
      <c r="X111" s="44" t="str">
        <f t="shared" ca="1" si="32"/>
        <v>SUSCRITO</v>
      </c>
      <c r="Y111" s="100"/>
      <c r="Z111" s="101"/>
      <c r="AA111" s="101"/>
      <c r="AB111" s="101"/>
      <c r="AC111" s="101"/>
      <c r="AD111" s="102">
        <f t="shared" si="38"/>
        <v>0</v>
      </c>
      <c r="AE111" s="103">
        <f t="shared" si="41"/>
        <v>0</v>
      </c>
      <c r="AF111" s="104"/>
      <c r="AG111" s="29"/>
      <c r="AH111" s="44"/>
      <c r="AI111" s="29"/>
      <c r="AJ111" s="89"/>
      <c r="AK111" s="44"/>
      <c r="AL111" s="44"/>
      <c r="AM111" s="44"/>
      <c r="AN111" s="44"/>
      <c r="AO111" s="44"/>
      <c r="AP111" s="44"/>
      <c r="AQ111" s="44"/>
      <c r="AR111" s="44"/>
      <c r="AS111" s="44"/>
      <c r="AT111" s="44"/>
      <c r="AU111" s="105"/>
      <c r="AV111" s="44" cm="1">
        <f t="array" ref="AV111">SUMPRODUCT((AJ111:AT111&lt;&gt;"Pendiente")*(AJ111:AT111&lt;&gt;""))</f>
        <v>0</v>
      </c>
      <c r="AW111" s="44">
        <f>COUNTA(Tabla25[[#This Row],[INVITACIÓN]:[ACTA DE INICIO]])</f>
        <v>0</v>
      </c>
      <c r="AX111" s="106" t="e">
        <f t="shared" si="39"/>
        <v>#DIV/0!</v>
      </c>
      <c r="AY111" s="47"/>
      <c r="BO111" s="4">
        <f>COUNTA(Tabla25[[#This Row],[(1)SOLICITUD DE  APERTURA FIRNANCIERA Y PRESUPUESTO 1 (FECHA) ]:[(15) FECHA DE CONTRATACIÓN ADMINISTRATIVO]])</f>
        <v>0</v>
      </c>
      <c r="BP111" s="26">
        <f>Tabla25[[#This Row],[NUMERO OK]]/15</f>
        <v>0</v>
      </c>
      <c r="BQ111" s="4" t="str">
        <f t="shared" ca="1" si="40"/>
        <v>N/A</v>
      </c>
      <c r="BS111" s="9"/>
      <c r="BZ111" s="8"/>
    </row>
    <row r="112" spans="1:78">
      <c r="A112" s="89"/>
      <c r="B112" s="90"/>
      <c r="C112" s="91"/>
      <c r="D112" s="44"/>
      <c r="E112" s="44"/>
      <c r="F112" s="44"/>
      <c r="G112" s="44"/>
      <c r="K112" s="4" t="str">
        <f t="shared" si="33"/>
        <v/>
      </c>
      <c r="L112" s="4" t="str">
        <f t="shared" si="34"/>
        <v/>
      </c>
      <c r="M112" s="4" t="str">
        <f t="shared" si="35"/>
        <v/>
      </c>
      <c r="N112" s="10"/>
      <c r="O112" s="97"/>
      <c r="P112" s="98"/>
      <c r="Q112" s="99" t="str">
        <f t="shared" si="36"/>
        <v/>
      </c>
      <c r="R112" s="92"/>
      <c r="S112" s="92"/>
      <c r="T112" s="92"/>
      <c r="U112" s="92" t="str">
        <f t="shared" ca="1" si="26"/>
        <v/>
      </c>
      <c r="V112" s="98" t="str">
        <f t="shared" si="37"/>
        <v/>
      </c>
      <c r="W112" s="89"/>
      <c r="X112" s="44" t="str">
        <f t="shared" ca="1" si="32"/>
        <v>SUSCRITO</v>
      </c>
      <c r="Y112" s="100"/>
      <c r="Z112" s="101"/>
      <c r="AA112" s="101"/>
      <c r="AB112" s="101"/>
      <c r="AC112" s="101"/>
      <c r="AD112" s="102">
        <f t="shared" si="38"/>
        <v>0</v>
      </c>
      <c r="AE112" s="103">
        <f t="shared" si="41"/>
        <v>0</v>
      </c>
      <c r="AF112" s="104"/>
      <c r="AG112" s="29"/>
      <c r="AH112" s="44"/>
      <c r="AI112" s="29"/>
      <c r="AJ112" s="89"/>
      <c r="AK112" s="44"/>
      <c r="AL112" s="44"/>
      <c r="AM112" s="44"/>
      <c r="AN112" s="44"/>
      <c r="AO112" s="44"/>
      <c r="AP112" s="44"/>
      <c r="AQ112" s="44"/>
      <c r="AR112" s="44"/>
      <c r="AS112" s="44"/>
      <c r="AT112" s="44"/>
      <c r="AU112" s="105"/>
      <c r="AV112" s="44" cm="1">
        <f t="array" ref="AV112">SUMPRODUCT((AJ112:AT112&lt;&gt;"Pendiente")*(AJ112:AT112&lt;&gt;""))</f>
        <v>0</v>
      </c>
      <c r="AW112" s="44">
        <f>COUNTA(Tabla25[[#This Row],[INVITACIÓN]:[ACTA DE INICIO]])</f>
        <v>0</v>
      </c>
      <c r="AX112" s="106" t="e">
        <f t="shared" si="39"/>
        <v>#DIV/0!</v>
      </c>
      <c r="AY112" s="47"/>
      <c r="BO112" s="4">
        <f>COUNTA(Tabla25[[#This Row],[(1)SOLICITUD DE  APERTURA FIRNANCIERA Y PRESUPUESTO 1 (FECHA) ]:[(15) FECHA DE CONTRATACIÓN ADMINISTRATIVO]])</f>
        <v>0</v>
      </c>
      <c r="BP112" s="26">
        <f>Tabla25[[#This Row],[NUMERO OK]]/15</f>
        <v>0</v>
      </c>
      <c r="BQ112" s="4" t="str">
        <f t="shared" ca="1" si="40"/>
        <v>N/A</v>
      </c>
      <c r="BS112" s="9"/>
      <c r="BZ112" s="8"/>
    </row>
    <row r="113" spans="1:78">
      <c r="A113" s="89"/>
      <c r="B113" s="90"/>
      <c r="C113" s="91"/>
      <c r="D113" s="44"/>
      <c r="E113" s="44"/>
      <c r="F113" s="44"/>
      <c r="G113" s="44"/>
      <c r="K113" s="4" t="str">
        <f t="shared" si="33"/>
        <v/>
      </c>
      <c r="L113" s="4" t="str">
        <f t="shared" si="34"/>
        <v/>
      </c>
      <c r="M113" s="4" t="str">
        <f t="shared" si="35"/>
        <v/>
      </c>
      <c r="N113" s="10"/>
      <c r="O113" s="97"/>
      <c r="P113" s="98"/>
      <c r="Q113" s="99" t="str">
        <f t="shared" si="36"/>
        <v/>
      </c>
      <c r="R113" s="92"/>
      <c r="S113" s="92"/>
      <c r="T113" s="92"/>
      <c r="U113" s="92" t="str">
        <f t="shared" ca="1" si="26"/>
        <v/>
      </c>
      <c r="V113" s="98" t="str">
        <f t="shared" si="37"/>
        <v/>
      </c>
      <c r="W113" s="89"/>
      <c r="X113" s="44" t="str">
        <f t="shared" ca="1" si="32"/>
        <v>SUSCRITO</v>
      </c>
      <c r="Y113" s="100"/>
      <c r="Z113" s="101"/>
      <c r="AA113" s="101"/>
      <c r="AB113" s="101"/>
      <c r="AC113" s="101"/>
      <c r="AD113" s="102">
        <f t="shared" si="38"/>
        <v>0</v>
      </c>
      <c r="AE113" s="103">
        <f t="shared" si="41"/>
        <v>0</v>
      </c>
      <c r="AF113" s="104"/>
      <c r="AG113" s="29"/>
      <c r="AH113" s="44"/>
      <c r="AI113" s="29"/>
      <c r="AJ113" s="89"/>
      <c r="AK113" s="44"/>
      <c r="AL113" s="44"/>
      <c r="AM113" s="44"/>
      <c r="AN113" s="44"/>
      <c r="AO113" s="44"/>
      <c r="AP113" s="44"/>
      <c r="AQ113" s="44"/>
      <c r="AR113" s="44"/>
      <c r="AS113" s="44"/>
      <c r="AT113" s="44"/>
      <c r="AU113" s="105"/>
      <c r="AV113" s="44" cm="1">
        <f t="array" ref="AV113">SUMPRODUCT((AJ113:AT113&lt;&gt;"Pendiente")*(AJ113:AT113&lt;&gt;""))</f>
        <v>0</v>
      </c>
      <c r="AW113" s="44">
        <f>COUNTA(Tabla25[[#This Row],[INVITACIÓN]:[ACTA DE INICIO]])</f>
        <v>0</v>
      </c>
      <c r="AX113" s="106" t="e">
        <f t="shared" si="39"/>
        <v>#DIV/0!</v>
      </c>
      <c r="AY113" s="47"/>
      <c r="BO113" s="4">
        <f>COUNTA(Tabla25[[#This Row],[(1)SOLICITUD DE  APERTURA FIRNANCIERA Y PRESUPUESTO 1 (FECHA) ]:[(15) FECHA DE CONTRATACIÓN ADMINISTRATIVO]])</f>
        <v>0</v>
      </c>
      <c r="BP113" s="26">
        <f>Tabla25[[#This Row],[NUMERO OK]]/15</f>
        <v>0</v>
      </c>
      <c r="BQ113" s="4" t="str">
        <f t="shared" ca="1" si="40"/>
        <v>N/A</v>
      </c>
      <c r="BS113" s="9"/>
      <c r="BZ113" s="8"/>
    </row>
    <row r="114" spans="1:78">
      <c r="A114" s="89"/>
      <c r="B114" s="90"/>
      <c r="C114" s="91"/>
      <c r="D114" s="44"/>
      <c r="E114" s="44"/>
      <c r="F114" s="44"/>
      <c r="G114" s="44"/>
      <c r="K114" s="4" t="str">
        <f t="shared" si="33"/>
        <v/>
      </c>
      <c r="L114" s="4" t="str">
        <f t="shared" si="34"/>
        <v/>
      </c>
      <c r="M114" s="4" t="str">
        <f t="shared" si="35"/>
        <v/>
      </c>
      <c r="N114" s="10"/>
      <c r="O114" s="97"/>
      <c r="P114" s="98"/>
      <c r="Q114" s="99" t="str">
        <f t="shared" si="36"/>
        <v/>
      </c>
      <c r="R114" s="92"/>
      <c r="S114" s="92"/>
      <c r="T114" s="92"/>
      <c r="U114" s="92" t="str">
        <f t="shared" ca="1" si="26"/>
        <v/>
      </c>
      <c r="V114" s="98" t="str">
        <f t="shared" si="37"/>
        <v/>
      </c>
      <c r="W114" s="89"/>
      <c r="X114" s="44" t="str">
        <f t="shared" ca="1" si="32"/>
        <v>SUSCRITO</v>
      </c>
      <c r="Y114" s="100"/>
      <c r="Z114" s="101"/>
      <c r="AA114" s="101"/>
      <c r="AB114" s="101"/>
      <c r="AC114" s="101"/>
      <c r="AD114" s="102">
        <f t="shared" si="38"/>
        <v>0</v>
      </c>
      <c r="AE114" s="103">
        <f t="shared" si="41"/>
        <v>0</v>
      </c>
      <c r="AF114" s="104"/>
      <c r="AG114" s="29"/>
      <c r="AH114" s="44"/>
      <c r="AI114" s="29"/>
      <c r="AJ114" s="89"/>
      <c r="AK114" s="44"/>
      <c r="AL114" s="44"/>
      <c r="AM114" s="44"/>
      <c r="AN114" s="44"/>
      <c r="AO114" s="44"/>
      <c r="AP114" s="44"/>
      <c r="AQ114" s="44"/>
      <c r="AR114" s="44"/>
      <c r="AS114" s="44"/>
      <c r="AT114" s="44"/>
      <c r="AU114" s="105"/>
      <c r="AV114" s="44" cm="1">
        <f t="array" ref="AV114">SUMPRODUCT((AJ114:AT114&lt;&gt;"Pendiente")*(AJ114:AT114&lt;&gt;""))</f>
        <v>0</v>
      </c>
      <c r="AW114" s="44">
        <f>COUNTA(Tabla25[[#This Row],[INVITACIÓN]:[ACTA DE INICIO]])</f>
        <v>0</v>
      </c>
      <c r="AX114" s="106" t="e">
        <f t="shared" si="39"/>
        <v>#DIV/0!</v>
      </c>
      <c r="AY114" s="47"/>
      <c r="BO114" s="4">
        <f>COUNTA(Tabla25[[#This Row],[(1)SOLICITUD DE  APERTURA FIRNANCIERA Y PRESUPUESTO 1 (FECHA) ]:[(15) FECHA DE CONTRATACIÓN ADMINISTRATIVO]])</f>
        <v>0</v>
      </c>
      <c r="BP114" s="26">
        <f>Tabla25[[#This Row],[NUMERO OK]]/15</f>
        <v>0</v>
      </c>
      <c r="BQ114" s="4" t="str">
        <f t="shared" ca="1" si="40"/>
        <v>N/A</v>
      </c>
      <c r="BS114" s="9"/>
      <c r="BZ114" s="8"/>
    </row>
    <row r="115" spans="1:78">
      <c r="A115" s="89"/>
      <c r="B115" s="90"/>
      <c r="C115" s="91"/>
      <c r="D115" s="44"/>
      <c r="E115" s="44"/>
      <c r="F115" s="44"/>
      <c r="G115" s="44"/>
      <c r="K115" s="4" t="str">
        <f t="shared" si="33"/>
        <v/>
      </c>
      <c r="L115" s="4" t="str">
        <f t="shared" si="34"/>
        <v/>
      </c>
      <c r="M115" s="4" t="str">
        <f t="shared" si="35"/>
        <v/>
      </c>
      <c r="N115" s="10"/>
      <c r="O115" s="97"/>
      <c r="P115" s="98"/>
      <c r="Q115" s="99" t="str">
        <f t="shared" si="36"/>
        <v/>
      </c>
      <c r="R115" s="92"/>
      <c r="S115" s="92"/>
      <c r="T115" s="92"/>
      <c r="U115" s="92" t="str">
        <f t="shared" ca="1" si="26"/>
        <v/>
      </c>
      <c r="V115" s="98" t="str">
        <f t="shared" si="37"/>
        <v/>
      </c>
      <c r="W115" s="89"/>
      <c r="X115" s="44" t="str">
        <f t="shared" ca="1" si="32"/>
        <v>SUSCRITO</v>
      </c>
      <c r="Y115" s="100"/>
      <c r="Z115" s="101"/>
      <c r="AA115" s="101"/>
      <c r="AB115" s="101"/>
      <c r="AC115" s="101"/>
      <c r="AD115" s="102">
        <f t="shared" si="38"/>
        <v>0</v>
      </c>
      <c r="AE115" s="103">
        <f t="shared" si="41"/>
        <v>0</v>
      </c>
      <c r="AF115" s="104"/>
      <c r="AG115" s="29"/>
      <c r="AH115" s="44"/>
      <c r="AI115" s="29"/>
      <c r="AJ115" s="89"/>
      <c r="AK115" s="44"/>
      <c r="AL115" s="44"/>
      <c r="AM115" s="44"/>
      <c r="AN115" s="44"/>
      <c r="AO115" s="44"/>
      <c r="AP115" s="44"/>
      <c r="AQ115" s="44"/>
      <c r="AR115" s="44"/>
      <c r="AS115" s="44"/>
      <c r="AT115" s="44"/>
      <c r="AU115" s="105"/>
      <c r="AV115" s="44" cm="1">
        <f t="array" ref="AV115">SUMPRODUCT((AJ115:AT115&lt;&gt;"Pendiente")*(AJ115:AT115&lt;&gt;""))</f>
        <v>0</v>
      </c>
      <c r="AW115" s="44">
        <f>COUNTA(Tabla25[[#This Row],[INVITACIÓN]:[ACTA DE INICIO]])</f>
        <v>0</v>
      </c>
      <c r="AX115" s="106" t="e">
        <f t="shared" si="39"/>
        <v>#DIV/0!</v>
      </c>
      <c r="AY115" s="47"/>
      <c r="BO115" s="4">
        <f>COUNTA(Tabla25[[#This Row],[(1)SOLICITUD DE  APERTURA FIRNANCIERA Y PRESUPUESTO 1 (FECHA) ]:[(15) FECHA DE CONTRATACIÓN ADMINISTRATIVO]])</f>
        <v>0</v>
      </c>
      <c r="BP115" s="26">
        <f>Tabla25[[#This Row],[NUMERO OK]]/15</f>
        <v>0</v>
      </c>
      <c r="BQ115" s="4" t="str">
        <f t="shared" ca="1" si="40"/>
        <v>N/A</v>
      </c>
      <c r="BS115" s="9"/>
      <c r="BZ115" s="8"/>
    </row>
    <row r="116" spans="1:78">
      <c r="A116" s="89"/>
      <c r="B116" s="90"/>
      <c r="C116" s="91"/>
      <c r="D116" s="44"/>
      <c r="E116" s="44"/>
      <c r="F116" s="44"/>
      <c r="G116" s="44"/>
      <c r="K116" s="4" t="str">
        <f t="shared" si="33"/>
        <v/>
      </c>
      <c r="L116" s="4" t="str">
        <f t="shared" si="34"/>
        <v/>
      </c>
      <c r="M116" s="4" t="str">
        <f t="shared" si="35"/>
        <v/>
      </c>
      <c r="N116" s="10"/>
      <c r="O116" s="97"/>
      <c r="P116" s="98"/>
      <c r="Q116" s="99" t="str">
        <f t="shared" si="36"/>
        <v/>
      </c>
      <c r="R116" s="92"/>
      <c r="S116" s="92"/>
      <c r="T116" s="92"/>
      <c r="U116" s="92" t="str">
        <f t="shared" ca="1" si="26"/>
        <v/>
      </c>
      <c r="V116" s="98" t="str">
        <f t="shared" si="37"/>
        <v/>
      </c>
      <c r="W116" s="89"/>
      <c r="X116" s="44" t="str">
        <f t="shared" ref="X116:X122" ca="1" si="42">IF(V116="", "SUSCRITO", IF(V116&lt;=TODAY(), "FINALIZADO", "EN EJECUCIÓN"))</f>
        <v>SUSCRITO</v>
      </c>
      <c r="Y116" s="100"/>
      <c r="Z116" s="101"/>
      <c r="AA116" s="101"/>
      <c r="AB116" s="101"/>
      <c r="AC116" s="101"/>
      <c r="AD116" s="102">
        <f t="shared" si="38"/>
        <v>0</v>
      </c>
      <c r="AE116" s="103">
        <f t="shared" si="41"/>
        <v>0</v>
      </c>
      <c r="AF116" s="104"/>
      <c r="AG116" s="29"/>
      <c r="AH116" s="44"/>
      <c r="AI116" s="29"/>
      <c r="AJ116" s="89"/>
      <c r="AK116" s="44"/>
      <c r="AL116" s="44"/>
      <c r="AM116" s="44"/>
      <c r="AN116" s="44"/>
      <c r="AO116" s="44"/>
      <c r="AP116" s="44"/>
      <c r="AQ116" s="44"/>
      <c r="AR116" s="44"/>
      <c r="AS116" s="44"/>
      <c r="AT116" s="44"/>
      <c r="AU116" s="105"/>
      <c r="AV116" s="44" cm="1">
        <f t="array" ref="AV116">SUMPRODUCT((AJ116:AT116&lt;&gt;"Pendiente")*(AJ116:AT116&lt;&gt;""))</f>
        <v>0</v>
      </c>
      <c r="AW116" s="44">
        <f>COUNTA(Tabla25[[#This Row],[INVITACIÓN]:[ACTA DE INICIO]])</f>
        <v>0</v>
      </c>
      <c r="AX116" s="106" t="e">
        <f t="shared" si="39"/>
        <v>#DIV/0!</v>
      </c>
      <c r="AY116" s="47"/>
      <c r="BO116" s="4">
        <f>COUNTA(Tabla25[[#This Row],[(1)SOLICITUD DE  APERTURA FIRNANCIERA Y PRESUPUESTO 1 (FECHA) ]:[(15) FECHA DE CONTRATACIÓN ADMINISTRATIVO]])</f>
        <v>0</v>
      </c>
      <c r="BP116" s="26">
        <f>Tabla25[[#This Row],[NUMERO OK]]/15</f>
        <v>0</v>
      </c>
      <c r="BQ116" s="4" t="str">
        <f t="shared" ca="1" si="40"/>
        <v>N/A</v>
      </c>
      <c r="BS116" s="9"/>
      <c r="BZ116" s="8"/>
    </row>
    <row r="117" spans="1:78">
      <c r="A117" s="89"/>
      <c r="B117" s="90"/>
      <c r="C117" s="91"/>
      <c r="D117" s="44"/>
      <c r="E117" s="44"/>
      <c r="F117" s="44"/>
      <c r="G117" s="44"/>
      <c r="K117" s="4" t="str">
        <f t="shared" si="33"/>
        <v/>
      </c>
      <c r="L117" s="4" t="str">
        <f t="shared" si="34"/>
        <v/>
      </c>
      <c r="M117" s="4" t="str">
        <f t="shared" si="35"/>
        <v/>
      </c>
      <c r="N117" s="10"/>
      <c r="O117" s="97"/>
      <c r="P117" s="98"/>
      <c r="Q117" s="99" t="str">
        <f t="shared" si="36"/>
        <v/>
      </c>
      <c r="R117" s="92"/>
      <c r="S117" s="92"/>
      <c r="T117" s="92"/>
      <c r="U117" s="92" t="str">
        <f t="shared" ca="1" si="26"/>
        <v/>
      </c>
      <c r="V117" s="98" t="str">
        <f t="shared" si="37"/>
        <v/>
      </c>
      <c r="W117" s="89"/>
      <c r="X117" s="44" t="str">
        <f t="shared" ca="1" si="42"/>
        <v>SUSCRITO</v>
      </c>
      <c r="Y117" s="100"/>
      <c r="Z117" s="101"/>
      <c r="AA117" s="101"/>
      <c r="AB117" s="101"/>
      <c r="AC117" s="101"/>
      <c r="AD117" s="102">
        <f t="shared" si="38"/>
        <v>0</v>
      </c>
      <c r="AE117" s="103">
        <f t="shared" si="41"/>
        <v>0</v>
      </c>
      <c r="AF117" s="104"/>
      <c r="AG117" s="29"/>
      <c r="AH117" s="44"/>
      <c r="AI117" s="29"/>
      <c r="AJ117" s="89"/>
      <c r="AK117" s="44"/>
      <c r="AL117" s="44"/>
      <c r="AM117" s="44"/>
      <c r="AN117" s="44"/>
      <c r="AO117" s="44"/>
      <c r="AP117" s="44"/>
      <c r="AQ117" s="44"/>
      <c r="AR117" s="44"/>
      <c r="AS117" s="44"/>
      <c r="AT117" s="44"/>
      <c r="AU117" s="105"/>
      <c r="AV117" s="44" cm="1">
        <f t="array" ref="AV117">SUMPRODUCT((AJ117:AT117&lt;&gt;"Pendiente")*(AJ117:AT117&lt;&gt;""))</f>
        <v>0</v>
      </c>
      <c r="AW117" s="44">
        <f>COUNTA(Tabla25[[#This Row],[INVITACIÓN]:[ACTA DE INICIO]])</f>
        <v>0</v>
      </c>
      <c r="AX117" s="106" t="e">
        <f t="shared" si="39"/>
        <v>#DIV/0!</v>
      </c>
      <c r="AY117" s="47"/>
      <c r="BO117" s="4">
        <f>COUNTA(Tabla25[[#This Row],[(1)SOLICITUD DE  APERTURA FIRNANCIERA Y PRESUPUESTO 1 (FECHA) ]:[(15) FECHA DE CONTRATACIÓN ADMINISTRATIVO]])</f>
        <v>0</v>
      </c>
      <c r="BP117" s="26">
        <f>Tabla25[[#This Row],[NUMERO OK]]/15</f>
        <v>0</v>
      </c>
      <c r="BQ117" s="4" t="str">
        <f t="shared" ca="1" si="40"/>
        <v>N/A</v>
      </c>
      <c r="BS117" s="9"/>
      <c r="BZ117" s="8"/>
    </row>
    <row r="118" spans="1:78">
      <c r="A118" s="89"/>
      <c r="B118" s="90"/>
      <c r="C118" s="91"/>
      <c r="D118" s="44"/>
      <c r="E118" s="44"/>
      <c r="F118" s="44"/>
      <c r="G118" s="44"/>
      <c r="K118" s="4" t="str">
        <f t="shared" si="33"/>
        <v/>
      </c>
      <c r="L118" s="4" t="str">
        <f t="shared" si="34"/>
        <v/>
      </c>
      <c r="M118" s="4" t="str">
        <f t="shared" si="35"/>
        <v/>
      </c>
      <c r="N118" s="10"/>
      <c r="O118" s="97"/>
      <c r="P118" s="98"/>
      <c r="Q118" s="99" t="str">
        <f t="shared" si="36"/>
        <v/>
      </c>
      <c r="R118" s="92"/>
      <c r="S118" s="92"/>
      <c r="T118" s="92"/>
      <c r="U118" s="92" t="str">
        <f t="shared" ca="1" si="26"/>
        <v/>
      </c>
      <c r="V118" s="98" t="str">
        <f t="shared" si="37"/>
        <v/>
      </c>
      <c r="W118" s="89"/>
      <c r="X118" s="44" t="str">
        <f t="shared" ca="1" si="42"/>
        <v>SUSCRITO</v>
      </c>
      <c r="Y118" s="100"/>
      <c r="Z118" s="101"/>
      <c r="AA118" s="101"/>
      <c r="AB118" s="101"/>
      <c r="AC118" s="101"/>
      <c r="AD118" s="102">
        <f t="shared" si="38"/>
        <v>0</v>
      </c>
      <c r="AE118" s="103">
        <f t="shared" si="41"/>
        <v>0</v>
      </c>
      <c r="AF118" s="104"/>
      <c r="AG118" s="29"/>
      <c r="AH118" s="44"/>
      <c r="AI118" s="29"/>
      <c r="AJ118" s="89"/>
      <c r="AK118" s="44"/>
      <c r="AL118" s="44"/>
      <c r="AM118" s="44"/>
      <c r="AN118" s="44"/>
      <c r="AO118" s="44"/>
      <c r="AP118" s="44"/>
      <c r="AQ118" s="44"/>
      <c r="AR118" s="44"/>
      <c r="AS118" s="44"/>
      <c r="AT118" s="44"/>
      <c r="AU118" s="105"/>
      <c r="AV118" s="44" cm="1">
        <f t="array" ref="AV118">SUMPRODUCT((AJ118:AT118&lt;&gt;"Pendiente")*(AJ118:AT118&lt;&gt;""))</f>
        <v>0</v>
      </c>
      <c r="AW118" s="44">
        <f>COUNTA(Tabla25[[#This Row],[INVITACIÓN]:[ACTA DE INICIO]])</f>
        <v>0</v>
      </c>
      <c r="AX118" s="106" t="e">
        <f t="shared" si="39"/>
        <v>#DIV/0!</v>
      </c>
      <c r="AY118" s="47"/>
      <c r="BO118" s="4">
        <f>COUNTA(Tabla25[[#This Row],[(1)SOLICITUD DE  APERTURA FIRNANCIERA Y PRESUPUESTO 1 (FECHA) ]:[(15) FECHA DE CONTRATACIÓN ADMINISTRATIVO]])</f>
        <v>0</v>
      </c>
      <c r="BP118" s="26">
        <f>Tabla25[[#This Row],[NUMERO OK]]/15</f>
        <v>0</v>
      </c>
      <c r="BQ118" s="4" t="str">
        <f t="shared" ca="1" si="40"/>
        <v>N/A</v>
      </c>
      <c r="BS118" s="9"/>
      <c r="BZ118" s="8"/>
    </row>
    <row r="119" spans="1:78">
      <c r="A119" s="89"/>
      <c r="B119" s="90"/>
      <c r="C119" s="91"/>
      <c r="D119" s="44"/>
      <c r="E119" s="44"/>
      <c r="F119" s="44"/>
      <c r="G119" s="44"/>
      <c r="K119" s="4" t="str">
        <f t="shared" si="33"/>
        <v/>
      </c>
      <c r="L119" s="4" t="str">
        <f t="shared" si="34"/>
        <v/>
      </c>
      <c r="M119" s="4" t="str">
        <f t="shared" si="35"/>
        <v/>
      </c>
      <c r="N119" s="10"/>
      <c r="O119" s="97"/>
      <c r="P119" s="98"/>
      <c r="Q119" s="99" t="str">
        <f t="shared" si="36"/>
        <v/>
      </c>
      <c r="R119" s="92"/>
      <c r="S119" s="92"/>
      <c r="T119" s="92"/>
      <c r="U119" s="92" t="str">
        <f t="shared" ca="1" si="26"/>
        <v/>
      </c>
      <c r="V119" s="98" t="str">
        <f t="shared" si="37"/>
        <v/>
      </c>
      <c r="W119" s="89"/>
      <c r="X119" s="44" t="str">
        <f t="shared" ca="1" si="42"/>
        <v>SUSCRITO</v>
      </c>
      <c r="Y119" s="100"/>
      <c r="Z119" s="101"/>
      <c r="AA119" s="101"/>
      <c r="AB119" s="101"/>
      <c r="AC119" s="101"/>
      <c r="AD119" s="102">
        <f t="shared" si="38"/>
        <v>0</v>
      </c>
      <c r="AE119" s="103">
        <f t="shared" si="41"/>
        <v>0</v>
      </c>
      <c r="AF119" s="104"/>
      <c r="AG119" s="29"/>
      <c r="AH119" s="44"/>
      <c r="AI119" s="29"/>
      <c r="AJ119" s="89"/>
      <c r="AK119" s="44"/>
      <c r="AL119" s="44"/>
      <c r="AM119" s="44"/>
      <c r="AN119" s="44"/>
      <c r="AO119" s="44"/>
      <c r="AP119" s="44"/>
      <c r="AQ119" s="44"/>
      <c r="AR119" s="44"/>
      <c r="AS119" s="44"/>
      <c r="AT119" s="44"/>
      <c r="AU119" s="105"/>
      <c r="AV119" s="44" cm="1">
        <f t="array" ref="AV119">SUMPRODUCT((AJ119:AT119&lt;&gt;"Pendiente")*(AJ119:AT119&lt;&gt;""))</f>
        <v>0</v>
      </c>
      <c r="AW119" s="44">
        <f>COUNTA(Tabla25[[#This Row],[INVITACIÓN]:[ACTA DE INICIO]])</f>
        <v>0</v>
      </c>
      <c r="AX119" s="106" t="e">
        <f t="shared" si="39"/>
        <v>#DIV/0!</v>
      </c>
      <c r="AY119" s="47"/>
      <c r="BO119" s="4">
        <f>COUNTA(Tabla25[[#This Row],[(1)SOLICITUD DE  APERTURA FIRNANCIERA Y PRESUPUESTO 1 (FECHA) ]:[(15) FECHA DE CONTRATACIÓN ADMINISTRATIVO]])</f>
        <v>0</v>
      </c>
      <c r="BP119" s="26">
        <f>Tabla25[[#This Row],[NUMERO OK]]/15</f>
        <v>0</v>
      </c>
      <c r="BQ119" s="4" t="str">
        <f t="shared" ca="1" si="40"/>
        <v>N/A</v>
      </c>
      <c r="BS119" s="9"/>
      <c r="BZ119" s="8"/>
    </row>
    <row r="120" spans="1:78">
      <c r="A120" s="89"/>
      <c r="B120" s="90"/>
      <c r="C120" s="91"/>
      <c r="D120" s="44"/>
      <c r="E120" s="44"/>
      <c r="F120" s="44"/>
      <c r="G120" s="44"/>
      <c r="K120" s="4" t="str">
        <f t="shared" si="33"/>
        <v/>
      </c>
      <c r="L120" s="4" t="str">
        <f t="shared" si="34"/>
        <v/>
      </c>
      <c r="M120" s="4" t="str">
        <f t="shared" si="35"/>
        <v/>
      </c>
      <c r="N120" s="10"/>
      <c r="O120" s="97"/>
      <c r="P120" s="98"/>
      <c r="Q120" s="99" t="str">
        <f t="shared" si="36"/>
        <v/>
      </c>
      <c r="R120" s="92"/>
      <c r="S120" s="92"/>
      <c r="T120" s="92"/>
      <c r="U120" s="92" t="str">
        <f t="shared" ca="1" si="26"/>
        <v/>
      </c>
      <c r="V120" s="98" t="str">
        <f t="shared" si="37"/>
        <v/>
      </c>
      <c r="W120" s="89"/>
      <c r="X120" s="44" t="str">
        <f t="shared" ca="1" si="42"/>
        <v>SUSCRITO</v>
      </c>
      <c r="Y120" s="100"/>
      <c r="Z120" s="101"/>
      <c r="AA120" s="101"/>
      <c r="AB120" s="101"/>
      <c r="AC120" s="101"/>
      <c r="AD120" s="102">
        <f t="shared" si="38"/>
        <v>0</v>
      </c>
      <c r="AE120" s="103">
        <f t="shared" si="41"/>
        <v>0</v>
      </c>
      <c r="AF120" s="104"/>
      <c r="AG120" s="29"/>
      <c r="AH120" s="44"/>
      <c r="AI120" s="29"/>
      <c r="AJ120" s="89"/>
      <c r="AK120" s="44"/>
      <c r="AL120" s="44"/>
      <c r="AM120" s="44"/>
      <c r="AN120" s="44"/>
      <c r="AO120" s="44"/>
      <c r="AP120" s="44"/>
      <c r="AQ120" s="44"/>
      <c r="AR120" s="44"/>
      <c r="AS120" s="44"/>
      <c r="AT120" s="44"/>
      <c r="AU120" s="105"/>
      <c r="AV120" s="44" cm="1">
        <f t="array" ref="AV120">SUMPRODUCT((AJ120:AT120&lt;&gt;"Pendiente")*(AJ120:AT120&lt;&gt;""))</f>
        <v>0</v>
      </c>
      <c r="AW120" s="44">
        <f>COUNTA(Tabla25[[#This Row],[INVITACIÓN]:[ACTA DE INICIO]])</f>
        <v>0</v>
      </c>
      <c r="AX120" s="106" t="e">
        <f t="shared" si="39"/>
        <v>#DIV/0!</v>
      </c>
      <c r="AY120" s="47"/>
      <c r="BO120" s="4">
        <f>COUNTA(Tabla25[[#This Row],[(1)SOLICITUD DE  APERTURA FIRNANCIERA Y PRESUPUESTO 1 (FECHA) ]:[(15) FECHA DE CONTRATACIÓN ADMINISTRATIVO]])</f>
        <v>0</v>
      </c>
      <c r="BP120" s="26">
        <f>Tabla25[[#This Row],[NUMERO OK]]/15</f>
        <v>0</v>
      </c>
      <c r="BQ120" s="4" t="str">
        <f t="shared" ca="1" si="40"/>
        <v>N/A</v>
      </c>
      <c r="BS120" s="9"/>
      <c r="BZ120" s="8"/>
    </row>
    <row r="121" spans="1:78">
      <c r="A121" s="89"/>
      <c r="B121" s="90"/>
      <c r="C121" s="91"/>
      <c r="D121" s="44"/>
      <c r="E121" s="44"/>
      <c r="F121" s="44"/>
      <c r="G121" s="44"/>
      <c r="K121" s="4" t="str">
        <f t="shared" si="33"/>
        <v/>
      </c>
      <c r="L121" s="4" t="str">
        <f t="shared" si="34"/>
        <v/>
      </c>
      <c r="M121" s="4" t="str">
        <f t="shared" si="35"/>
        <v/>
      </c>
      <c r="N121" s="10"/>
      <c r="O121" s="97"/>
      <c r="P121" s="98"/>
      <c r="Q121" s="99" t="str">
        <f t="shared" si="36"/>
        <v/>
      </c>
      <c r="R121" s="92"/>
      <c r="S121" s="92"/>
      <c r="T121" s="92"/>
      <c r="U121" s="92" t="str">
        <f t="shared" ca="1" si="26"/>
        <v/>
      </c>
      <c r="V121" s="98" t="str">
        <f t="shared" si="37"/>
        <v/>
      </c>
      <c r="W121" s="89"/>
      <c r="X121" s="44" t="str">
        <f t="shared" ca="1" si="42"/>
        <v>SUSCRITO</v>
      </c>
      <c r="Y121" s="100"/>
      <c r="Z121" s="101"/>
      <c r="AA121" s="101"/>
      <c r="AB121" s="101"/>
      <c r="AC121" s="101"/>
      <c r="AD121" s="102">
        <f t="shared" si="38"/>
        <v>0</v>
      </c>
      <c r="AE121" s="103">
        <f t="shared" si="41"/>
        <v>0</v>
      </c>
      <c r="AF121" s="104"/>
      <c r="AG121" s="29"/>
      <c r="AH121" s="44"/>
      <c r="AI121" s="29"/>
      <c r="AJ121" s="89"/>
      <c r="AK121" s="44"/>
      <c r="AL121" s="44"/>
      <c r="AM121" s="44"/>
      <c r="AN121" s="44"/>
      <c r="AO121" s="44"/>
      <c r="AP121" s="44"/>
      <c r="AQ121" s="44"/>
      <c r="AR121" s="44"/>
      <c r="AS121" s="44"/>
      <c r="AT121" s="44"/>
      <c r="AU121" s="105"/>
      <c r="AV121" s="44" cm="1">
        <f t="array" ref="AV121">SUMPRODUCT((AJ121:AT121&lt;&gt;"Pendiente")*(AJ121:AT121&lt;&gt;""))</f>
        <v>0</v>
      </c>
      <c r="AW121" s="44">
        <f>COUNTA(Tabla25[[#This Row],[INVITACIÓN]:[ACTA DE INICIO]])</f>
        <v>0</v>
      </c>
      <c r="AX121" s="106" t="e">
        <f t="shared" si="39"/>
        <v>#DIV/0!</v>
      </c>
      <c r="AY121" s="47"/>
      <c r="BO121" s="4">
        <f>COUNTA(Tabla25[[#This Row],[(1)SOLICITUD DE  APERTURA FIRNANCIERA Y PRESUPUESTO 1 (FECHA) ]:[(15) FECHA DE CONTRATACIÓN ADMINISTRATIVO]])</f>
        <v>0</v>
      </c>
      <c r="BP121" s="26">
        <f>Tabla25[[#This Row],[NUMERO OK]]/15</f>
        <v>0</v>
      </c>
      <c r="BQ121" s="4" t="str">
        <f t="shared" ca="1" si="40"/>
        <v>N/A</v>
      </c>
      <c r="BS121" s="9"/>
      <c r="BZ121" s="8"/>
    </row>
    <row r="122" spans="1:78" ht="15.75" thickBot="1">
      <c r="A122" s="44"/>
      <c r="B122" s="95"/>
      <c r="C122" s="96"/>
      <c r="D122" s="44"/>
      <c r="E122" s="44"/>
      <c r="F122" s="44"/>
      <c r="G122" s="44"/>
      <c r="K122" s="4" t="str">
        <f t="shared" si="33"/>
        <v/>
      </c>
      <c r="L122" s="4" t="str">
        <f t="shared" si="34"/>
        <v/>
      </c>
      <c r="M122" s="4" t="str">
        <f t="shared" si="35"/>
        <v/>
      </c>
      <c r="N122" s="10"/>
      <c r="O122" s="114"/>
      <c r="P122" s="115"/>
      <c r="Q122" s="116" t="str">
        <f t="shared" si="36"/>
        <v/>
      </c>
      <c r="R122" s="117"/>
      <c r="S122" s="117"/>
      <c r="T122" s="117"/>
      <c r="U122" s="92" t="str">
        <f t="shared" ca="1" si="26"/>
        <v/>
      </c>
      <c r="V122" s="98" t="str">
        <f t="shared" si="37"/>
        <v/>
      </c>
      <c r="W122" s="118"/>
      <c r="X122" s="119" t="str">
        <f t="shared" ca="1" si="42"/>
        <v>SUSCRITO</v>
      </c>
      <c r="Y122" s="120"/>
      <c r="Z122" s="121"/>
      <c r="AA122" s="121"/>
      <c r="AB122" s="121"/>
      <c r="AC122" s="121"/>
      <c r="AD122" s="102">
        <f t="shared" si="38"/>
        <v>0</v>
      </c>
      <c r="AE122" s="103">
        <f t="shared" si="41"/>
        <v>0</v>
      </c>
      <c r="AF122" s="104"/>
      <c r="AG122" s="29"/>
      <c r="AH122" s="44"/>
      <c r="AI122" s="29"/>
      <c r="AJ122" s="89"/>
      <c r="AK122" s="44"/>
      <c r="AL122" s="44"/>
      <c r="AM122" s="44"/>
      <c r="AN122" s="44"/>
      <c r="AO122" s="44"/>
      <c r="AP122" s="44"/>
      <c r="AQ122" s="44"/>
      <c r="AR122" s="44"/>
      <c r="AS122" s="44"/>
      <c r="AT122" s="44"/>
      <c r="AU122" s="105"/>
      <c r="AV122" s="44" cm="1">
        <f t="array" ref="AV122">SUMPRODUCT((AJ122:AT122&lt;&gt;"Pendiente")*(AJ122:AT122&lt;&gt;""))</f>
        <v>0</v>
      </c>
      <c r="AW122" s="44">
        <f>COUNTA(Tabla25[[#This Row],[INVITACIÓN]:[ACTA DE INICIO]])</f>
        <v>0</v>
      </c>
      <c r="AX122" s="106" t="e">
        <f t="shared" si="39"/>
        <v>#DIV/0!</v>
      </c>
      <c r="AY122" s="47"/>
      <c r="BO122" s="4">
        <f>COUNTA(Tabla25[[#This Row],[(1)SOLICITUD DE  APERTURA FIRNANCIERA Y PRESUPUESTO 1 (FECHA) ]:[(15) FECHA DE CONTRATACIÓN ADMINISTRATIVO]])</f>
        <v>0</v>
      </c>
      <c r="BP122" s="26">
        <f>Tabla25[[#This Row],[NUMERO OK]]/15</f>
        <v>0</v>
      </c>
      <c r="BQ122" s="4" t="str">
        <f t="shared" ca="1" si="40"/>
        <v>N/A</v>
      </c>
      <c r="BS122" s="9"/>
      <c r="BZ122" s="8"/>
    </row>
    <row r="123" spans="1:78" ht="15" customHeight="1">
      <c r="AD123" s="63"/>
    </row>
    <row r="125" spans="1:78" ht="15" customHeight="1">
      <c r="V125" s="10"/>
    </row>
  </sheetData>
  <sheetProtection pivotTables="0"/>
  <mergeCells count="4">
    <mergeCell ref="A1:AI1"/>
    <mergeCell ref="AJ1:AX1"/>
    <mergeCell ref="AY1:BR1"/>
    <mergeCell ref="BS1:BZ1"/>
  </mergeCells>
  <phoneticPr fontId="10" type="noConversion"/>
  <conditionalFormatting sqref="X3:X122">
    <cfRule type="containsBlanks" priority="10" stopIfTrue="1">
      <formula>LEN(TRIM(X3))=0</formula>
    </cfRule>
  </conditionalFormatting>
  <conditionalFormatting sqref="F46:G46">
    <cfRule type="duplicateValues" dxfId="171" priority="6"/>
    <cfRule type="duplicateValues" dxfId="170" priority="7"/>
  </conditionalFormatting>
  <conditionalFormatting sqref="B2:C2 B67:C67 B3:B66 B71:C122 B68:B70">
    <cfRule type="duplicateValues" dxfId="169" priority="2"/>
    <cfRule type="duplicateValues" dxfId="168" priority="3"/>
  </conditionalFormatting>
  <conditionalFormatting sqref="B25:B44">
    <cfRule type="duplicateValues" dxfId="167" priority="4"/>
  </conditionalFormatting>
  <conditionalFormatting sqref="B4:B24">
    <cfRule type="duplicateValues" dxfId="166" priority="5"/>
  </conditionalFormatting>
  <conditionalFormatting sqref="D3:E122">
    <cfRule type="duplicateValues" dxfId="165" priority="1"/>
  </conditionalFormatting>
  <dataValidations count="11">
    <dataValidation allowBlank="1" showInputMessage="1" showErrorMessage="1" promptTitle="NO DEJAR ESAPACIOS" prompt="NO DEJAR ESPACIOS AL INICIO O FINAL " sqref="C4:C44" xr:uid="{43CF1367-C988-4FD1-BE84-0BD86E83681A}"/>
    <dataValidation allowBlank="1" showInputMessage="1" showErrorMessage="1" promptTitle="ESPACIOS" prompt="NO DEJAR ESPACIOS AL INICIO O FINAL" sqref="AF4:AF44 B4:B23 B25:B44" xr:uid="{024D6DED-22FC-4B97-810E-3D1B49F1DECE}"/>
    <dataValidation type="date" allowBlank="1" showInputMessage="1" showErrorMessage="1" sqref="BG4:BG15 BG18:BG44 AY4:AY13 BA4:BB44 AY16:AY44" xr:uid="{558CA671-1899-4161-95A0-FA937A0FA3F4}">
      <formula1>36526</formula1>
      <formula2>47848</formula2>
    </dataValidation>
    <dataValidation type="date" allowBlank="1" showInputMessage="1" showErrorMessage="1" errorTitle="FECHA" error="INSERTAR SOLO FECHA" promptTitle="INSERTAR FECHA" sqref="P4:P122 N3:O122 V3:V122" xr:uid="{B52B1712-6E8C-47FF-83F1-5932DE710337}">
      <formula1>36526</formula1>
      <formula2>48944</formula2>
    </dataValidation>
    <dataValidation type="decimal" allowBlank="1" showInputMessage="1" showErrorMessage="1" errorTitle="NÚMERO" error="INSERTAR SOLO NÚMERO Y DECIMALES SI ES NECESARIO" promptTitle="SOLO NÚMEROS" sqref="Z3:Z122 AB3:AC122" xr:uid="{F4B4B027-BA33-4F11-9484-D1C1CA480A10}">
      <formula1>0</formula1>
      <formula2>999999999999</formula2>
    </dataValidation>
    <dataValidation type="whole" allowBlank="1" showInputMessage="1" showErrorMessage="1" promptTitle="CODIGO INTERNO" sqref="D3:E122" xr:uid="{22A1A52C-5B6B-4256-9E88-874E6A61E26A}">
      <formula1>6000</formula1>
      <formula2>7000</formula2>
    </dataValidation>
    <dataValidation type="whole" allowBlank="1" showInputMessage="1" showErrorMessage="1" errorTitle="FECHA" error="INSERTAR SOLO FECHA" promptTitle="INSERTAR FECHA" sqref="R5 T3:T122" xr:uid="{1E1283B4-1EEE-457D-99BA-22F78DE9234A}">
      <formula1>0</formula1>
      <formula2>2200</formula2>
    </dataValidation>
    <dataValidation type="whole" allowBlank="1" showInputMessage="1" showErrorMessage="1" promptTitle="TIEMPO EN DÍAS" prompt="TIEMPO EN DÍAS" sqref="R3:R4 R6:R122" xr:uid="{4DE4DB0F-A80E-434A-8F7B-B87E6841D673}">
      <formula1>1</formula1>
      <formula2>2200</formula2>
    </dataValidation>
    <dataValidation allowBlank="1" showInputMessage="1" showErrorMessage="1" sqref="G3:G122 U3:U122 C68:C70 Q3:Q122" xr:uid="{64A8D9F1-D0AF-450C-9B37-18EAC5DCC900}"/>
    <dataValidation type="decimal" allowBlank="1" showInputMessage="1" showErrorMessage="1" errorTitle="NÚMERO" error="INSERTAR SOLO NÚMERO Y DECIMALES SI ES NECESARIO" promptTitle="SOLO NÚMEROS" sqref="AA3:AA122" xr:uid="{8E7D8630-3F8D-4603-9010-D68E35C1690C}">
      <formula1>-99999999999</formula1>
      <formula2>999999999999</formula2>
    </dataValidation>
    <dataValidation type="whole" allowBlank="1" showInputMessage="1" showErrorMessage="1" sqref="S3:S122" xr:uid="{A988B55D-73CA-478A-9CC8-F454BB28C8C5}">
      <formula1>0</formula1>
      <formula2>2022</formula2>
    </dataValidation>
  </dataValidations>
  <hyperlinks>
    <hyperlink ref="G19" r:id="rId1" xr:uid="{8412A6A9-07E0-46E7-BA93-78ADE8443A5E}"/>
    <hyperlink ref="G20" r:id="rId2" xr:uid="{6E7B8C9F-EFAF-44D2-BA68-F62A2D5CA897}"/>
    <hyperlink ref="G21" r:id="rId3" xr:uid="{56C2AF15-F2DA-45A2-8ACC-AEF5AF2C7F19}"/>
    <hyperlink ref="G22" r:id="rId4" xr:uid="{017A3A84-0568-48DA-AF6B-C40A07E925B5}"/>
    <hyperlink ref="G23" r:id="rId5" xr:uid="{4208F04A-EF22-45B2-8018-E11ECA23631A}"/>
    <hyperlink ref="G24" r:id="rId6" xr:uid="{541805FD-E69E-432F-AC8B-639423C44BE7}"/>
    <hyperlink ref="G25" r:id="rId7" xr:uid="{DE387453-8227-4D66-A129-8E6D8DD74DE8}"/>
    <hyperlink ref="G26" r:id="rId8" xr:uid="{92B8ABBD-45EC-4DD8-B609-49990176CB51}"/>
    <hyperlink ref="G27" r:id="rId9" xr:uid="{5EC44C71-3F62-4B6E-98AA-788D2ED403B5}"/>
    <hyperlink ref="G50" r:id="rId10" xr:uid="{0195F09E-B7AE-4B43-B05C-C490736892A3}"/>
    <hyperlink ref="G51" r:id="rId11" xr:uid="{A408324E-EF9E-4CA1-8DE0-D8FDE64958FC}"/>
    <hyperlink ref="G52" r:id="rId12" xr:uid="{136569F3-0E9F-439A-AC21-29FE03AF8813}"/>
    <hyperlink ref="G53" r:id="rId13" xr:uid="{8979264D-3E21-441C-A122-32D57A9D462A}"/>
    <hyperlink ref="G54" r:id="rId14" xr:uid="{27C78340-3B26-4269-80AD-0BCBBE876E76}"/>
    <hyperlink ref="G55" r:id="rId15" xr:uid="{727D1796-337C-4945-93E6-ADE51F91766F}"/>
    <hyperlink ref="G56" r:id="rId16" xr:uid="{140ADE1C-3D62-410D-9E90-6126950A5442}"/>
    <hyperlink ref="G57" r:id="rId17" xr:uid="{A51E1E20-11D0-4CA6-ABDB-3B5F008833D4}"/>
    <hyperlink ref="G58" r:id="rId18" xr:uid="{D79724D4-44DB-487B-82E6-CDE3291719C1}"/>
    <hyperlink ref="G59" r:id="rId19" xr:uid="{06B179EE-26BB-4949-B6A4-76B6C92DC8F3}"/>
    <hyperlink ref="G60" r:id="rId20" xr:uid="{D1B8254B-6FB3-4FF7-B346-2452398AF6E9}"/>
    <hyperlink ref="G61" r:id="rId21" xr:uid="{CCAE81F6-D472-4CFA-9261-93D12470DC6C}"/>
    <hyperlink ref="G62" r:id="rId22" xr:uid="{FF5997B6-C30E-4AF6-8C75-BF902A0FB04E}"/>
    <hyperlink ref="G64" r:id="rId23" xr:uid="{B5FA6C8D-B4A4-4EAE-A167-5F90158A8192}"/>
    <hyperlink ref="G65" r:id="rId24" xr:uid="{4753DFE3-A2B3-4A20-8218-9A7C2F58A631}"/>
    <hyperlink ref="G66" r:id="rId25" xr:uid="{A184E59D-2FAE-414D-8E78-25B3FFF65FA2}"/>
    <hyperlink ref="G67" r:id="rId26" xr:uid="{C8B71790-FEB5-418B-8016-2B5B97E59F03}"/>
    <hyperlink ref="G69" r:id="rId27" xr:uid="{CB92CC93-C5F3-4481-91B7-C5D81AE1D1AA}"/>
    <hyperlink ref="G70" r:id="rId28" xr:uid="{AD3D8C82-403D-4C1C-86DD-692008F51D2E}"/>
    <hyperlink ref="G71" r:id="rId29" xr:uid="{AC57FB8A-ACEC-4481-BF4B-8BDE5D6511C2}"/>
    <hyperlink ref="G72" r:id="rId30" xr:uid="{28524C4E-7126-47CB-AFA2-52BC5E0B20FE}"/>
    <hyperlink ref="G73" r:id="rId31" xr:uid="{8A4D504F-00E5-4945-9C00-C242FE9F9EE2}"/>
    <hyperlink ref="G74" r:id="rId32" xr:uid="{96532008-B6C8-4E73-BF8D-F0E6560C87C1}"/>
    <hyperlink ref="G75" r:id="rId33" xr:uid="{BF19D648-7470-458D-AABC-E599C38003B9}"/>
    <hyperlink ref="G77" r:id="rId34" xr:uid="{983B61ED-40C0-4EEE-BD1C-D8ED34FD43FA}"/>
    <hyperlink ref="G78" r:id="rId35" xr:uid="{E1E4B83B-A08A-43BD-85F1-7AAF378FDF3E}"/>
    <hyperlink ref="G79" r:id="rId36" xr:uid="{841B444E-9DED-4BCD-9891-52EFA8B083D8}"/>
    <hyperlink ref="G81" r:id="rId37" xr:uid="{3A33AEC2-3CF0-4B24-9D2A-EF4C2B51986E}"/>
    <hyperlink ref="G83" r:id="rId38" xr:uid="{FEF8FEAB-EE35-4B10-AE9F-10ED96AB4781}"/>
    <hyperlink ref="G82" r:id="rId39" xr:uid="{C1F63644-77BF-40A8-BB43-CA062544FD63}"/>
    <hyperlink ref="G63" r:id="rId40" xr:uid="{47E8EC84-5E63-437C-9F15-837BF110DE8C}"/>
    <hyperlink ref="G17" r:id="rId41" xr:uid="{DFB3A827-2584-4828-9D61-ED92B4750D77}"/>
    <hyperlink ref="G16" r:id="rId42" xr:uid="{64BD13DF-E366-4318-AE13-8F665306E2CB}"/>
    <hyperlink ref="G14" r:id="rId43" xr:uid="{70AE7A29-D0FB-43C5-B80F-DF5DEDB527D9}"/>
    <hyperlink ref="G76" r:id="rId44" xr:uid="{BE1523FC-134F-492A-B63A-0563BB717568}"/>
    <hyperlink ref="G85" r:id="rId45" xr:uid="{2EE3F15A-0844-45B2-AC4D-9F0BCDB10A99}"/>
  </hyperlinks>
  <pageMargins left="0.7" right="0.7" top="0.75" bottom="0.75" header="0.3" footer="0.3"/>
  <pageSetup orientation="portrait" r:id="rId46"/>
  <legacyDrawing r:id="rId47"/>
  <tableParts count="1">
    <tablePart r:id="rId48"/>
  </tableParts>
  <extLst>
    <ext xmlns:x14="http://schemas.microsoft.com/office/spreadsheetml/2009/9/main" uri="{CCE6A557-97BC-4b89-ADB6-D9C93CAAB3DF}">
      <x14:dataValidations xmlns:xm="http://schemas.microsoft.com/office/excel/2006/main" count="13">
        <x14:dataValidation type="list" allowBlank="1" showInputMessage="1" showErrorMessage="1" xr:uid="{274BB38E-918F-49F6-9DFE-70E22549A62D}">
          <x14:formula1>
            <xm:f>'LISTAS DESPLEGABLES'!$L$3:$L$7</xm:f>
          </x14:formula1>
          <xm:sqref>AI3:AI122</xm:sqref>
        </x14:dataValidation>
        <x14:dataValidation type="list" allowBlank="1" showInputMessage="1" showErrorMessage="1" xr:uid="{DBD598FC-93B0-4A6B-9E5C-69D061A20749}">
          <x14:formula1>
            <xm:f>'LISTAS DESPLEGABLES'!$N$3:$N$5</xm:f>
          </x14:formula1>
          <xm:sqref>BR3:BR122</xm:sqref>
        </x14:dataValidation>
        <x14:dataValidation type="list" allowBlank="1" showInputMessage="1" showErrorMessage="1" xr:uid="{92C961FE-FE3D-49D9-8979-DBF87FD6CAA4}">
          <x14:formula1>
            <xm:f>'LISTAS DESPLEGABLES'!$B$3:$B$12</xm:f>
          </x14:formula1>
          <xm:sqref>J3:J83 J88:J122</xm:sqref>
        </x14:dataValidation>
        <x14:dataValidation type="list" allowBlank="1" showInputMessage="1" showErrorMessage="1" xr:uid="{F27885C0-DFB5-4CEC-BBAF-9FDA41124F67}">
          <x14:formula1>
            <xm:f>'LISTAS DESPLEGABLES'!$K$3:$K$6</xm:f>
          </x14:formula1>
          <xm:sqref>AH3:AH122</xm:sqref>
        </x14:dataValidation>
        <x14:dataValidation type="list" allowBlank="1" showInputMessage="1" showErrorMessage="1" xr:uid="{AB6D8D28-12B5-4124-8931-C934B9B79083}">
          <x14:formula1>
            <xm:f>'LISTAS DESPLEGABLES'!$J$3:$J$13</xm:f>
          </x14:formula1>
          <xm:sqref>Y3:Y122</xm:sqref>
        </x14:dataValidation>
        <x14:dataValidation type="list" allowBlank="1" showInputMessage="1" showErrorMessage="1" xr:uid="{728A30AD-4037-46FB-AAF3-F03913EF88D7}">
          <x14:formula1>
            <xm:f>'LISTAS DESPLEGABLES'!$M$3:$M$5</xm:f>
          </x14:formula1>
          <xm:sqref>AJ3:AT122</xm:sqref>
        </x14:dataValidation>
        <x14:dataValidation type="list" allowBlank="1" showInputMessage="1" showErrorMessage="1" xr:uid="{1B889239-B378-44DA-B16F-80013034D029}">
          <x14:formula1>
            <xm:f>'LISTAS DESPLEGABLES'!$F$3:$F$22</xm:f>
          </x14:formula1>
          <xm:sqref>W3:W121</xm:sqref>
        </x14:dataValidation>
        <x14:dataValidation type="list" allowBlank="1" showInputMessage="1" showErrorMessage="1" xr:uid="{E72F1ABF-E8DF-49EA-AB89-70C1B2FDF6F3}">
          <x14:formula1>
            <xm:f>'LISTAS DESPLEGABLES'!$A$3:$A$9</xm:f>
          </x14:formula1>
          <xm:sqref>A3:A121</xm:sqref>
        </x14:dataValidation>
        <x14:dataValidation type="list" allowBlank="1" showInputMessage="1" showErrorMessage="1" xr:uid="{08B1DD1F-F80F-4F33-8566-0C3CC4B53438}">
          <x14:formula1>
            <xm:f>'LISTAS DESPLEGABLES'!$F$3:$F$21</xm:f>
          </x14:formula1>
          <xm:sqref>W122</xm:sqref>
        </x14:dataValidation>
        <x14:dataValidation type="list" allowBlank="1" showInputMessage="1" showErrorMessage="1" promptTitle="AÑO DE SUSCRIPCIÓN" xr:uid="{8858E580-DD1E-471A-A73F-E4426A4D7FE6}">
          <x14:formula1>
            <xm:f>'LISTAS DESPLEGABLES'!$A$3:$A$5</xm:f>
          </x14:formula1>
          <xm:sqref>A122</xm:sqref>
        </x14:dataValidation>
        <x14:dataValidation type="list" allowBlank="1" showInputMessage="1" showErrorMessage="1" xr:uid="{28567A08-898C-4080-85CB-8BFFC88F5CCA}">
          <x14:formula1>
            <xm:f>'LISTAS DESPLEGABLES'!$E$3:$E$50</xm:f>
          </x14:formula1>
          <xm:sqref>F47:F122 F3:F45</xm:sqref>
        </x14:dataValidation>
        <x14:dataValidation type="list" allowBlank="1" showInputMessage="1" showErrorMessage="1" xr:uid="{8E600633-C530-40D5-B1E6-71F3203D6885}">
          <x14:formula1>
            <xm:f>'LISTAS DESPLEGABLES'!$B$14:$B$18</xm:f>
          </x14:formula1>
          <xm:sqref>I3:I78 I80:I83 I88:I122</xm:sqref>
        </x14:dataValidation>
        <x14:dataValidation type="list" allowBlank="1" showInputMessage="1" showErrorMessage="1" xr:uid="{0A3F58F5-2F91-4432-BC15-C6C674F896FC}">
          <x14:formula1>
            <xm:f>'LISTAS DESPLEGABLES'!$B$20:$B$27</xm:f>
          </x14:formula1>
          <xm:sqref>H3:H81 H83 H88:H122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F6945-547A-4B67-B107-6353A85AF77E}">
  <dimension ref="A3:H83"/>
  <sheetViews>
    <sheetView workbookViewId="0">
      <selection activeCell="D21" sqref="D21"/>
    </sheetView>
  </sheetViews>
  <sheetFormatPr baseColWidth="10" defaultColWidth="9" defaultRowHeight="14.25"/>
  <cols>
    <col min="1" max="1" width="12.625" bestFit="1" customWidth="1"/>
    <col min="2" max="2" width="25" bestFit="1" customWidth="1"/>
    <col min="3" max="3" width="38.375" bestFit="1" customWidth="1"/>
    <col min="4" max="4" width="38.125" bestFit="1" customWidth="1"/>
    <col min="5" max="5" width="21.625" bestFit="1" customWidth="1"/>
    <col min="6" max="7" width="19.25" customWidth="1"/>
    <col min="8" max="8" width="11.125" bestFit="1" customWidth="1"/>
    <col min="9" max="9" width="20.375" bestFit="1" customWidth="1"/>
    <col min="10" max="10" width="22.375" bestFit="1" customWidth="1"/>
    <col min="11" max="11" width="66" bestFit="1" customWidth="1"/>
    <col min="12" max="12" width="20.25" bestFit="1" customWidth="1"/>
    <col min="13" max="13" width="104" bestFit="1" customWidth="1"/>
    <col min="14" max="14" width="72.75" bestFit="1" customWidth="1"/>
    <col min="15" max="15" width="69.125" bestFit="1" customWidth="1"/>
    <col min="16" max="16" width="63" bestFit="1" customWidth="1"/>
    <col min="17" max="17" width="64.125" bestFit="1" customWidth="1"/>
    <col min="18" max="18" width="15.375" bestFit="1" customWidth="1"/>
    <col min="19" max="19" width="36" bestFit="1" customWidth="1"/>
    <col min="20" max="20" width="19" bestFit="1" customWidth="1"/>
    <col min="21" max="21" width="29.375" bestFit="1" customWidth="1"/>
    <col min="22" max="22" width="32.75" bestFit="1" customWidth="1"/>
    <col min="23" max="23" width="29.875" bestFit="1" customWidth="1"/>
    <col min="24" max="24" width="71.625" bestFit="1" customWidth="1"/>
    <col min="25" max="25" width="21.625" bestFit="1" customWidth="1"/>
    <col min="26" max="26" width="45.625" bestFit="1" customWidth="1"/>
    <col min="27" max="27" width="26.375" bestFit="1" customWidth="1"/>
    <col min="28" max="28" width="24.125" bestFit="1" customWidth="1"/>
    <col min="29" max="29" width="32.25" bestFit="1" customWidth="1"/>
    <col min="30" max="30" width="37.625" bestFit="1" customWidth="1"/>
    <col min="31" max="31" width="54.25" bestFit="1" customWidth="1"/>
    <col min="32" max="32" width="30.25" bestFit="1" customWidth="1"/>
    <col min="33" max="33" width="56.625" bestFit="1" customWidth="1"/>
    <col min="34" max="34" width="52" bestFit="1" customWidth="1"/>
    <col min="35" max="35" width="101.75" bestFit="1" customWidth="1"/>
    <col min="36" max="36" width="43.75" bestFit="1" customWidth="1"/>
    <col min="37" max="37" width="58.75" bestFit="1" customWidth="1"/>
    <col min="38" max="38" width="10.875" bestFit="1" customWidth="1"/>
    <col min="39" max="39" width="12.25" bestFit="1" customWidth="1"/>
    <col min="40" max="44" width="11" bestFit="1" customWidth="1"/>
    <col min="45" max="45" width="10.875" bestFit="1" customWidth="1"/>
    <col min="46" max="46" width="12.25" bestFit="1" customWidth="1"/>
  </cols>
  <sheetData>
    <row r="3" spans="1:8">
      <c r="A3" s="88" t="s">
        <v>0</v>
      </c>
      <c r="B3" t="s">
        <v>1472</v>
      </c>
      <c r="C3" t="s">
        <v>1473</v>
      </c>
      <c r="D3" t="s">
        <v>1474</v>
      </c>
      <c r="E3" t="s">
        <v>1475</v>
      </c>
    </row>
    <row r="4" spans="1:8">
      <c r="A4">
        <v>2020</v>
      </c>
      <c r="B4">
        <v>1500051991</v>
      </c>
      <c r="C4">
        <v>0</v>
      </c>
      <c r="D4">
        <v>0</v>
      </c>
      <c r="E4" s="156">
        <v>1500051991</v>
      </c>
    </row>
    <row r="5" spans="1:8">
      <c r="A5">
        <v>2021</v>
      </c>
      <c r="B5">
        <v>7856729016</v>
      </c>
      <c r="C5" s="41">
        <v>1980000000</v>
      </c>
      <c r="D5">
        <v>0</v>
      </c>
      <c r="E5" s="156">
        <v>9836729016</v>
      </c>
    </row>
    <row r="6" spans="1:8" ht="15" customHeight="1">
      <c r="A6">
        <v>2022</v>
      </c>
      <c r="B6">
        <v>7654890644</v>
      </c>
      <c r="C6">
        <v>0</v>
      </c>
      <c r="D6">
        <v>0</v>
      </c>
      <c r="E6" s="156">
        <v>8616907017</v>
      </c>
    </row>
    <row r="7" spans="1:8">
      <c r="A7">
        <v>2023</v>
      </c>
      <c r="B7">
        <v>766438660</v>
      </c>
      <c r="C7">
        <v>0</v>
      </c>
      <c r="D7">
        <v>0</v>
      </c>
      <c r="E7" s="156">
        <v>1201453697</v>
      </c>
    </row>
    <row r="8" spans="1:8">
      <c r="A8">
        <v>2024</v>
      </c>
      <c r="B8">
        <v>44591563634.869995</v>
      </c>
      <c r="C8" s="41">
        <v>1456130189.3399999</v>
      </c>
      <c r="D8" s="41">
        <v>49479499</v>
      </c>
      <c r="E8" s="156">
        <v>47116017051.209999</v>
      </c>
    </row>
    <row r="9" spans="1:8" ht="15">
      <c r="A9">
        <v>2025</v>
      </c>
      <c r="B9">
        <v>62447584875.339996</v>
      </c>
      <c r="C9" s="41">
        <v>87011226</v>
      </c>
      <c r="D9">
        <v>0</v>
      </c>
      <c r="E9" s="157">
        <v>64199187262.339996</v>
      </c>
      <c r="F9" s="158">
        <f>E9+D8+C5+C8+C9-42257500</f>
        <v>67729550676.679993</v>
      </c>
    </row>
    <row r="10" spans="1:8">
      <c r="A10" t="s">
        <v>1476</v>
      </c>
      <c r="E10" s="156">
        <v>0</v>
      </c>
    </row>
    <row r="11" spans="1:8">
      <c r="A11" t="s">
        <v>1477</v>
      </c>
      <c r="B11">
        <v>124817258821.20999</v>
      </c>
      <c r="C11">
        <v>3523141415.3400002</v>
      </c>
      <c r="D11">
        <v>49479499</v>
      </c>
      <c r="E11" s="156">
        <v>132470346034.54999</v>
      </c>
    </row>
    <row r="14" spans="1:8">
      <c r="F14" s="85"/>
      <c r="G14" s="83"/>
      <c r="H14" s="84"/>
    </row>
    <row r="15" spans="1:8">
      <c r="F15" s="85"/>
      <c r="G15" s="83"/>
      <c r="H15" s="84"/>
    </row>
    <row r="16" spans="1:8">
      <c r="F16" s="85"/>
      <c r="G16" s="83"/>
      <c r="H16" s="84"/>
    </row>
    <row r="17" spans="6:8">
      <c r="F17" s="85"/>
      <c r="G17" s="83"/>
      <c r="H17" s="84"/>
    </row>
    <row r="18" spans="6:8">
      <c r="F18" s="85"/>
      <c r="G18" s="83"/>
      <c r="H18" s="84"/>
    </row>
    <row r="19" spans="6:8">
      <c r="F19" s="85"/>
      <c r="G19" s="83"/>
      <c r="H19" s="84"/>
    </row>
    <row r="20" spans="6:8">
      <c r="F20" s="85"/>
      <c r="G20" s="83"/>
      <c r="H20" s="84"/>
    </row>
    <row r="21" spans="6:8">
      <c r="F21" s="85"/>
      <c r="G21" s="83"/>
      <c r="H21" s="84"/>
    </row>
    <row r="22" spans="6:8">
      <c r="F22" s="85"/>
      <c r="G22" s="83"/>
      <c r="H22" s="84"/>
    </row>
    <row r="23" spans="6:8">
      <c r="F23" s="85"/>
      <c r="G23" s="83"/>
      <c r="H23" s="84"/>
    </row>
    <row r="24" spans="6:8">
      <c r="F24" s="85"/>
      <c r="G24" s="83"/>
      <c r="H24" s="84"/>
    </row>
    <row r="25" spans="6:8">
      <c r="F25" s="85"/>
      <c r="G25" s="83"/>
      <c r="H25" s="84"/>
    </row>
    <row r="26" spans="6:8">
      <c r="F26" s="85"/>
      <c r="G26" s="83"/>
      <c r="H26" s="84"/>
    </row>
    <row r="27" spans="6:8">
      <c r="F27" s="85"/>
      <c r="G27" s="83"/>
      <c r="H27" s="84"/>
    </row>
    <row r="28" spans="6:8">
      <c r="F28" s="85"/>
      <c r="G28" s="83"/>
      <c r="H28" s="84"/>
    </row>
    <row r="29" spans="6:8">
      <c r="F29" s="85"/>
      <c r="G29" s="83"/>
      <c r="H29" s="84"/>
    </row>
    <row r="30" spans="6:8">
      <c r="F30" s="85"/>
      <c r="G30" s="83"/>
      <c r="H30" s="84"/>
    </row>
    <row r="31" spans="6:8">
      <c r="F31" s="85"/>
      <c r="G31" s="83"/>
      <c r="H31" s="84"/>
    </row>
    <row r="32" spans="6:8">
      <c r="F32" s="85"/>
      <c r="G32" s="83"/>
      <c r="H32" s="84"/>
    </row>
    <row r="33" spans="6:8">
      <c r="F33" s="85"/>
      <c r="G33" s="83"/>
      <c r="H33" s="84"/>
    </row>
    <row r="34" spans="6:8">
      <c r="F34" s="85"/>
      <c r="G34" s="83"/>
      <c r="H34" s="84"/>
    </row>
    <row r="35" spans="6:8">
      <c r="F35" s="85"/>
      <c r="G35" s="83"/>
      <c r="H35" s="84"/>
    </row>
    <row r="36" spans="6:8">
      <c r="F36" s="85"/>
      <c r="G36" s="83"/>
      <c r="H36" s="84"/>
    </row>
    <row r="37" spans="6:8">
      <c r="F37" s="85"/>
      <c r="G37" s="83"/>
      <c r="H37" s="84"/>
    </row>
    <row r="38" spans="6:8">
      <c r="F38" s="85"/>
      <c r="G38" s="83"/>
      <c r="H38" s="84"/>
    </row>
    <row r="39" spans="6:8">
      <c r="F39" s="85"/>
      <c r="G39" s="83"/>
      <c r="H39" s="84"/>
    </row>
    <row r="40" spans="6:8">
      <c r="F40" s="85"/>
      <c r="G40" s="83"/>
      <c r="H40" s="84"/>
    </row>
    <row r="41" spans="6:8">
      <c r="F41" s="85"/>
      <c r="G41" s="83"/>
      <c r="H41" s="84"/>
    </row>
    <row r="42" spans="6:8">
      <c r="F42" s="85"/>
      <c r="G42" s="83"/>
      <c r="H42" s="84"/>
    </row>
    <row r="43" spans="6:8">
      <c r="F43" s="85"/>
      <c r="G43" s="83"/>
      <c r="H43" s="84"/>
    </row>
    <row r="44" spans="6:8">
      <c r="F44" s="85"/>
      <c r="G44" s="83"/>
      <c r="H44" s="84"/>
    </row>
    <row r="45" spans="6:8">
      <c r="F45" s="85"/>
      <c r="G45" s="83"/>
      <c r="H45" s="84"/>
    </row>
    <row r="46" spans="6:8">
      <c r="H46" s="84"/>
    </row>
    <row r="47" spans="6:8">
      <c r="H47" s="84"/>
    </row>
    <row r="48" spans="6:8">
      <c r="H48" s="84"/>
    </row>
    <row r="49" spans="6:8">
      <c r="H49" s="84"/>
    </row>
    <row r="50" spans="6:8">
      <c r="H50" s="84"/>
    </row>
    <row r="51" spans="6:8">
      <c r="H51" s="84"/>
    </row>
    <row r="52" spans="6:8">
      <c r="H52" s="84"/>
    </row>
    <row r="53" spans="6:8">
      <c r="F53" s="84"/>
      <c r="H53" s="84"/>
    </row>
    <row r="54" spans="6:8">
      <c r="H54" s="84"/>
    </row>
    <row r="55" spans="6:8">
      <c r="H55" s="84"/>
    </row>
    <row r="56" spans="6:8">
      <c r="H56" s="84"/>
    </row>
    <row r="57" spans="6:8">
      <c r="H57" s="84"/>
    </row>
    <row r="58" spans="6:8">
      <c r="H58" s="84"/>
    </row>
    <row r="59" spans="6:8">
      <c r="H59" s="84"/>
    </row>
    <row r="60" spans="6:8">
      <c r="H60" s="84"/>
    </row>
    <row r="61" spans="6:8">
      <c r="H61" s="84"/>
    </row>
    <row r="62" spans="6:8">
      <c r="H62" s="84"/>
    </row>
    <row r="63" spans="6:8">
      <c r="H63" s="84"/>
    </row>
    <row r="64" spans="6:8">
      <c r="H64" s="84"/>
    </row>
    <row r="65" spans="8:8">
      <c r="H65" s="84"/>
    </row>
    <row r="66" spans="8:8">
      <c r="H66" s="84"/>
    </row>
    <row r="67" spans="8:8">
      <c r="H67" s="84"/>
    </row>
    <row r="68" spans="8:8">
      <c r="H68" s="84"/>
    </row>
    <row r="69" spans="8:8">
      <c r="H69" s="84"/>
    </row>
    <row r="70" spans="8:8">
      <c r="H70" s="84"/>
    </row>
    <row r="71" spans="8:8">
      <c r="H71" s="84"/>
    </row>
    <row r="72" spans="8:8">
      <c r="H72" s="84"/>
    </row>
    <row r="73" spans="8:8">
      <c r="H73" s="84"/>
    </row>
    <row r="74" spans="8:8">
      <c r="H74" s="84"/>
    </row>
    <row r="75" spans="8:8">
      <c r="H75" s="84"/>
    </row>
    <row r="76" spans="8:8">
      <c r="H76" s="84"/>
    </row>
    <row r="77" spans="8:8">
      <c r="H77" s="84"/>
    </row>
    <row r="78" spans="8:8">
      <c r="H78" s="84"/>
    </row>
    <row r="79" spans="8:8">
      <c r="H79" s="84"/>
    </row>
    <row r="80" spans="8:8">
      <c r="H80" s="84"/>
    </row>
    <row r="81" spans="8:8">
      <c r="H81" s="84"/>
    </row>
    <row r="82" spans="8:8">
      <c r="H82" s="84"/>
    </row>
    <row r="83" spans="8:8">
      <c r="H83"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AFC2-E5A5-4845-9536-2907A8838C06}">
  <dimension ref="C4:D4"/>
  <sheetViews>
    <sheetView workbookViewId="0"/>
  </sheetViews>
  <sheetFormatPr baseColWidth="10" defaultColWidth="9" defaultRowHeight="14.25"/>
  <cols>
    <col min="3" max="3" width="19.625" customWidth="1"/>
    <col min="4" max="4" width="19.125" customWidth="1"/>
  </cols>
  <sheetData>
    <row r="4" spans="3:4">
      <c r="C4" s="156">
        <f>(700380170824-249647782653)/100</f>
        <v>4507323881.71</v>
      </c>
      <c r="D4" s="15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9FD3B-9A28-41A7-8C45-EEA4C8E09A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LISTAS DESPLEGABLES</vt:lpstr>
      <vt:lpstr>COTIZACIONES 2025</vt:lpstr>
      <vt:lpstr>PROPUESTAS 2025</vt:lpstr>
      <vt:lpstr>borrador 08.04.25</vt:lpstr>
      <vt:lpstr>respaldo 15.04 1.50 pm</vt:lpstr>
      <vt:lpstr>PROYECTOS VIGENCIA 2025</vt:lpstr>
      <vt:lpstr>ESTADÍSTICAS </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Ángela Pérez - Propuestas</dc:creator>
  <cp:keywords/>
  <dc:description/>
  <cp:lastModifiedBy>PMO CONTRACTUAL 6 OFICINA DE EXTENSION</cp:lastModifiedBy>
  <cp:revision/>
  <dcterms:created xsi:type="dcterms:W3CDTF">2024-07-24T20:12:24Z</dcterms:created>
  <dcterms:modified xsi:type="dcterms:W3CDTF">2025-08-01T20:11:06Z</dcterms:modified>
  <cp:category/>
  <cp:contentStatus/>
</cp:coreProperties>
</file>