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isKy1\"/>
    </mc:Choice>
  </mc:AlternateContent>
  <bookViews>
    <workbookView xWindow="360" yWindow="30" windowWidth="22995" windowHeight="105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X31" i="1" l="1"/>
  <c r="A8" i="1" l="1"/>
  <c r="A6" i="1"/>
  <c r="F27" i="1" l="1"/>
  <c r="D27" i="1"/>
  <c r="J27" i="1"/>
  <c r="K27" i="1"/>
  <c r="H27" i="1"/>
  <c r="M27" i="1"/>
  <c r="D15" i="1"/>
  <c r="K15" i="1"/>
  <c r="H15" i="1"/>
  <c r="K12" i="1"/>
  <c r="K24" i="1"/>
  <c r="H12" i="1"/>
  <c r="K21" i="1"/>
  <c r="H18" i="1"/>
  <c r="H24" i="1"/>
  <c r="D21" i="1"/>
  <c r="E24" i="1"/>
  <c r="M24" i="1"/>
  <c r="G24" i="1"/>
  <c r="D24" i="1"/>
  <c r="M18" i="1"/>
  <c r="M15" i="1"/>
  <c r="M12" i="1"/>
  <c r="M21" i="1"/>
  <c r="K18" i="1"/>
  <c r="D18" i="1"/>
  <c r="D12" i="1"/>
  <c r="J15" i="1"/>
  <c r="F18" i="1"/>
  <c r="J18" i="1"/>
  <c r="O8" i="1"/>
  <c r="O7" i="1" s="1"/>
  <c r="F12" i="1"/>
  <c r="J12" i="1"/>
  <c r="N8" i="1"/>
  <c r="D4" i="1"/>
  <c r="M8" i="1"/>
  <c r="J31" i="1" l="1"/>
  <c r="M31" i="1"/>
  <c r="Y14" i="1" s="1"/>
  <c r="Q27" i="1" s="1"/>
  <c r="H31" i="1"/>
  <c r="Y7" i="1" s="1"/>
  <c r="C31" i="1"/>
  <c r="P31" i="1"/>
  <c r="L31" i="1"/>
  <c r="G31" i="1"/>
  <c r="O31" i="1"/>
  <c r="T24" i="1" s="1"/>
  <c r="E31" i="1"/>
  <c r="N31" i="1"/>
  <c r="X15" i="1" s="1"/>
  <c r="I31" i="1"/>
  <c r="D31" i="1"/>
  <c r="X4" i="1" s="1"/>
  <c r="M7" i="1"/>
  <c r="N7" i="1"/>
  <c r="X5" i="1" l="1"/>
  <c r="Y5" i="1"/>
  <c r="X14" i="1"/>
  <c r="P27" i="1" s="1"/>
  <c r="O26" i="1"/>
  <c r="X9" i="1"/>
  <c r="P12" i="1" s="1"/>
  <c r="Y9" i="1"/>
  <c r="Q12" i="1" s="1"/>
  <c r="O14" i="1"/>
  <c r="O11" i="1"/>
  <c r="X16" i="1"/>
  <c r="Y16" i="1"/>
  <c r="O17" i="1"/>
  <c r="X7" i="1"/>
  <c r="P18" i="1" s="1"/>
  <c r="Q18" i="1"/>
  <c r="X3" i="1"/>
  <c r="P15" i="1" s="1"/>
  <c r="Y15" i="1"/>
  <c r="Y3" i="1"/>
  <c r="P24" i="1"/>
  <c r="Q24" i="1"/>
  <c r="O23" i="1"/>
  <c r="C4" i="1"/>
  <c r="E4" i="1" s="1"/>
  <c r="Q15" i="1" l="1"/>
</calcChain>
</file>

<file path=xl/sharedStrings.xml><?xml version="1.0" encoding="utf-8"?>
<sst xmlns="http://schemas.openxmlformats.org/spreadsheetml/2006/main" count="93" uniqueCount="66">
  <si>
    <t>RV32I</t>
  </si>
  <si>
    <t>RV32C</t>
  </si>
  <si>
    <t>RV??</t>
  </si>
  <si>
    <t>instr[1:0]</t>
  </si>
  <si>
    <t>instr[4:2]</t>
  </si>
  <si>
    <t>Instruction in Decimal format</t>
  </si>
  <si>
    <t>Enter Instruction in Hex format</t>
  </si>
  <si>
    <t>funct3</t>
  </si>
  <si>
    <t>instr[6:2]</t>
  </si>
  <si>
    <t>Load</t>
  </si>
  <si>
    <t>Fence</t>
  </si>
  <si>
    <t>AUIPC</t>
  </si>
  <si>
    <t>Store</t>
  </si>
  <si>
    <t>Atomic</t>
  </si>
  <si>
    <t>decimal</t>
  </si>
  <si>
    <t>LUI</t>
  </si>
  <si>
    <t>Bxx</t>
  </si>
  <si>
    <t>JAL</t>
  </si>
  <si>
    <t>JALR</t>
  </si>
  <si>
    <t>SYS/RET/CSR</t>
  </si>
  <si>
    <t>R-type</t>
  </si>
  <si>
    <t>I-type</t>
  </si>
  <si>
    <t>S-type</t>
  </si>
  <si>
    <t>U-type</t>
  </si>
  <si>
    <t>31 -  funct7  - 25</t>
  </si>
  <si>
    <t>31 -  imm[11:5]  - 25</t>
  </si>
  <si>
    <t>31 -                                                  imm[11:5]                                                         - 12</t>
  </si>
  <si>
    <t>31 -                       imm[11:0]                      - 20</t>
  </si>
  <si>
    <t>binary</t>
  </si>
  <si>
    <t>Numbers with 0x Prefix are hexidecimal, otherwise decimal</t>
  </si>
  <si>
    <t>Status: 10/31/2020 - All instruction types listed at bottom should show TRUE or FALSE depending on cell A2. Load and Arithmetic Immediate instructions should display disassembled as I-type</t>
  </si>
  <si>
    <t>19 -          imm[19:12]         - 12</t>
  </si>
  <si>
    <t>imm[11]</t>
  </si>
  <si>
    <t>imm[20]</t>
  </si>
  <si>
    <t>30 -  imm[10:1]  - 21</t>
  </si>
  <si>
    <t>PC in Decimal Format</t>
  </si>
  <si>
    <t>Enter PC in Hex format - needed for branches</t>
  </si>
  <si>
    <t>J-type</t>
  </si>
  <si>
    <t>RV32i Instruction types</t>
  </si>
  <si>
    <t>SYS</t>
  </si>
  <si>
    <t>RET</t>
  </si>
  <si>
    <t>CSR</t>
  </si>
  <si>
    <t>60</t>
  </si>
  <si>
    <t>Integer Multiply</t>
  </si>
  <si>
    <t>Integer Division</t>
  </si>
  <si>
    <t>Integer Remainder</t>
  </si>
  <si>
    <t>0237b767</t>
  </si>
  <si>
    <t>fef42423</t>
  </si>
  <si>
    <t>0200006f</t>
  </si>
  <si>
    <t>fec42703</t>
  </si>
  <si>
    <t>0ff7f793</t>
  </si>
  <si>
    <t>Example</t>
  </si>
  <si>
    <t>Integer Reg-Reg</t>
  </si>
  <si>
    <t>Integer Reg-Imm</t>
  </si>
  <si>
    <t>24 -          Rs2         - 20</t>
  </si>
  <si>
    <t>19 -         Rs1         - 15</t>
  </si>
  <si>
    <t>11 -     imm[4:0]     - 7</t>
  </si>
  <si>
    <t>11 -           Rd           - 7</t>
  </si>
  <si>
    <t>6 -        opcode        - 0</t>
  </si>
  <si>
    <t>007F4533</t>
  </si>
  <si>
    <t>B-type</t>
  </si>
  <si>
    <t>31-imm[12|10:5] -25</t>
  </si>
  <si>
    <t>11 -  imm[4:1|11] - 7</t>
  </si>
  <si>
    <t>Enter Decimal value</t>
  </si>
  <si>
    <t>Hexadecimal Equivalent</t>
  </si>
  <si>
    <t>8063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</si>
</sst>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6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/>
      <right/>
      <top style="thin">
        <color rgb="FF7F7F7F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12" borderId="7" applyNumberFormat="0" applyAlignment="0" applyProtection="0"/>
    <xf numFmtId="0" fontId="4" fillId="14" borderId="8" applyNumberFormat="0" applyFont="0" applyAlignment="0" applyProtection="0"/>
    <xf numFmtId="0" fontId="7" fillId="19" borderId="7" applyNumberFormat="0" applyAlignment="0" applyProtection="0"/>
  </cellStyleXfs>
  <cellXfs count="69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8" borderId="0" xfId="0" applyFill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left"/>
    </xf>
    <xf numFmtId="0" fontId="0" fillId="13" borderId="0" xfId="0" applyFill="1"/>
    <xf numFmtId="0" fontId="0" fillId="0" borderId="1" xfId="0" applyBorder="1"/>
    <xf numFmtId="0" fontId="5" fillId="12" borderId="7" xfId="4"/>
    <xf numFmtId="0" fontId="3" fillId="4" borderId="0" xfId="3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6" xfId="0" applyFill="1" applyBorder="1" applyAlignment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11" borderId="5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1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0" fillId="16" borderId="8" xfId="5" applyFont="1" applyFill="1" applyAlignment="1">
      <alignment horizontal="left"/>
    </xf>
    <xf numFmtId="0" fontId="0" fillId="0" borderId="8" xfId="5" applyFont="1" applyFill="1" applyAlignment="1">
      <alignment horizontal="left"/>
    </xf>
    <xf numFmtId="0" fontId="6" fillId="20" borderId="9" xfId="5" applyFont="1" applyFill="1" applyBorder="1" applyAlignment="1">
      <alignment horizontal="left"/>
    </xf>
    <xf numFmtId="0" fontId="6" fillId="20" borderId="10" xfId="5" applyFont="1" applyFill="1" applyBorder="1" applyAlignment="1">
      <alignment horizontal="left"/>
    </xf>
    <xf numFmtId="0" fontId="6" fillId="20" borderId="11" xfId="5" applyFont="1" applyFill="1" applyBorder="1" applyAlignment="1">
      <alignment horizontal="left"/>
    </xf>
    <xf numFmtId="0" fontId="0" fillId="0" borderId="9" xfId="5" applyFont="1" applyFill="1" applyBorder="1" applyAlignment="1">
      <alignment horizontal="left"/>
    </xf>
    <xf numFmtId="0" fontId="0" fillId="0" borderId="10" xfId="5" applyFont="1" applyFill="1" applyBorder="1" applyAlignment="1">
      <alignment horizontal="left"/>
    </xf>
    <xf numFmtId="0" fontId="0" fillId="0" borderId="11" xfId="5" applyFont="1" applyFill="1" applyBorder="1" applyAlignment="1">
      <alignment horizontal="left"/>
    </xf>
    <xf numFmtId="0" fontId="4" fillId="5" borderId="0" xfId="3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4" fillId="10" borderId="0" xfId="3" applyFont="1" applyFill="1" applyAlignment="1">
      <alignment horizontal="center"/>
    </xf>
    <xf numFmtId="0" fontId="0" fillId="6" borderId="0" xfId="0" applyFill="1" applyAlignment="1">
      <alignment horizontal="center"/>
    </xf>
    <xf numFmtId="0" fontId="6" fillId="17" borderId="0" xfId="0" applyFont="1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15" borderId="9" xfId="5" applyFont="1" applyFill="1" applyBorder="1" applyAlignment="1">
      <alignment horizontal="left"/>
    </xf>
    <xf numFmtId="0" fontId="0" fillId="15" borderId="10" xfId="5" applyFont="1" applyFill="1" applyBorder="1" applyAlignment="1">
      <alignment horizontal="left"/>
    </xf>
    <xf numFmtId="0" fontId="0" fillId="15" borderId="11" xfId="5" applyFont="1" applyFill="1" applyBorder="1" applyAlignment="1">
      <alignment horizontal="left"/>
    </xf>
    <xf numFmtId="0" fontId="6" fillId="18" borderId="9" xfId="5" applyFont="1" applyFill="1" applyBorder="1" applyAlignment="1">
      <alignment horizontal="left"/>
    </xf>
    <xf numFmtId="0" fontId="6" fillId="18" borderId="10" xfId="5" applyFont="1" applyFill="1" applyBorder="1" applyAlignment="1">
      <alignment horizontal="left"/>
    </xf>
    <xf numFmtId="0" fontId="6" fillId="18" borderId="11" xfId="5" applyFont="1" applyFill="1" applyBorder="1" applyAlignment="1">
      <alignment horizontal="left"/>
    </xf>
    <xf numFmtId="0" fontId="6" fillId="17" borderId="9" xfId="5" applyFont="1" applyFill="1" applyBorder="1" applyAlignment="1">
      <alignment horizontal="left"/>
    </xf>
    <xf numFmtId="0" fontId="6" fillId="17" borderId="10" xfId="5" applyFont="1" applyFill="1" applyBorder="1" applyAlignment="1">
      <alignment horizontal="left"/>
    </xf>
    <xf numFmtId="0" fontId="6" fillId="17" borderId="11" xfId="5" applyFont="1" applyFill="1" applyBorder="1" applyAlignment="1">
      <alignment horizontal="left"/>
    </xf>
    <xf numFmtId="0" fontId="0" fillId="15" borderId="8" xfId="5" applyFont="1" applyFill="1" applyAlignment="1">
      <alignment horizontal="left"/>
    </xf>
    <xf numFmtId="0" fontId="0" fillId="5" borderId="5" xfId="3" applyFont="1" applyFill="1" applyBorder="1" applyAlignment="1">
      <alignment horizontal="center"/>
    </xf>
    <xf numFmtId="0" fontId="6" fillId="20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7" fillId="19" borderId="7" xfId="6" applyAlignment="1">
      <alignment horizontal="center"/>
    </xf>
    <xf numFmtId="0" fontId="5" fillId="12" borderId="7" xfId="4" applyAlignment="1">
      <alignment horizontal="center"/>
    </xf>
    <xf numFmtId="0" fontId="0" fillId="0" borderId="14" xfId="0" applyBorder="1" applyAlignment="1">
      <alignment horizontal="center"/>
    </xf>
  </cellXfs>
  <cellStyles count="7">
    <cellStyle name="Bad" xfId="2" builtinId="27"/>
    <cellStyle name="Calculation" xfId="4" builtinId="22"/>
    <cellStyle name="Good" xfId="1" builtinId="26"/>
    <cellStyle name="Input" xfId="6" builtinId="20"/>
    <cellStyle name="Neutral" xfId="3" builtinId="28"/>
    <cellStyle name="Normal" xfId="0" builtinId="0"/>
    <cellStyle name="Note" xfId="5" builtinId="10"/>
  </cellStyles>
  <dxfs count="20">
    <dxf>
      <fill>
        <patternFill>
          <bgColor theme="9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C00"/>
        </patternFill>
      </fill>
    </dxf>
    <dxf>
      <fill>
        <patternFill>
          <bgColor rgb="FF53D2FF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00"/>
      <color rgb="FF53D2FF"/>
      <color rgb="FFFFFF99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workbookViewId="0">
      <selection activeCell="A2" sqref="A2"/>
    </sheetView>
  </sheetViews>
  <sheetFormatPr defaultRowHeight="15" x14ac:dyDescent="0.25"/>
  <cols>
    <col min="1" max="1" width="28.28515625" customWidth="1"/>
    <col min="2" max="2" width="0.140625" customWidth="1"/>
    <col min="8" max="9" width="9.140625" customWidth="1"/>
    <col min="11" max="12" width="9.140625" customWidth="1"/>
    <col min="16" max="16" width="9.5703125" customWidth="1"/>
    <col min="19" max="19" width="9.140625" customWidth="1"/>
    <col min="21" max="22" width="9.140625" customWidth="1"/>
  </cols>
  <sheetData>
    <row r="1" spans="1:25" x14ac:dyDescent="0.25">
      <c r="A1" s="1" t="s">
        <v>6</v>
      </c>
      <c r="C1" t="s">
        <v>30</v>
      </c>
    </row>
    <row r="2" spans="1:25" x14ac:dyDescent="0.25">
      <c r="A2" s="5" t="s">
        <v>65</v>
      </c>
      <c r="T2" t="s">
        <v>51</v>
      </c>
      <c r="U2" s="16" t="s">
        <v>38</v>
      </c>
      <c r="V2" s="16"/>
      <c r="W2" s="16"/>
      <c r="X2" s="19"/>
    </row>
    <row r="3" spans="1:25" x14ac:dyDescent="0.25">
      <c r="A3" s="1" t="s">
        <v>36</v>
      </c>
      <c r="C3" s="2" t="s">
        <v>0</v>
      </c>
      <c r="D3" s="2" t="s">
        <v>1</v>
      </c>
      <c r="E3" s="3" t="s">
        <v>2</v>
      </c>
      <c r="T3" t="s">
        <v>49</v>
      </c>
      <c r="U3" s="52" t="s">
        <v>9</v>
      </c>
      <c r="V3" s="53"/>
      <c r="W3" s="54"/>
      <c r="X3" s="19" t="str">
        <f>IF(C31,   IF(J15=0,"LB",(IF(J15=1,"LH",(IF(J15=2,"LW",IF(J15=4,"LBU",IF(J15=5,"LHU"," "))))))), " ")</f>
        <v xml:space="preserve"> </v>
      </c>
      <c r="Y3" t="str">
        <f>IF(C31, CONCATENATE("X",K15,", 0x",DEC2HEX(D15),"(X",H15,")"), " ")</f>
        <v xml:space="preserve"> </v>
      </c>
    </row>
    <row r="4" spans="1:25" x14ac:dyDescent="0.25">
      <c r="A4" s="5" t="s">
        <v>42</v>
      </c>
      <c r="C4" t="b">
        <f>OR(C31,D31,E31,G31,H31,I31,K31,L31,M31,N31,O31,P31)</f>
        <v>1</v>
      </c>
      <c r="D4" t="b">
        <f>_xlfn.BITAND(A6,3)&lt;&gt;3</f>
        <v>0</v>
      </c>
      <c r="E4" t="b">
        <f>NOT(OR(C4,D4))</f>
        <v>0</v>
      </c>
      <c r="U4" s="42" t="s">
        <v>10</v>
      </c>
      <c r="V4" s="43"/>
      <c r="W4" s="44"/>
      <c r="X4" s="19" t="str">
        <f>IF(D31, "Fence", "")</f>
        <v/>
      </c>
    </row>
    <row r="5" spans="1:25" x14ac:dyDescent="0.25">
      <c r="A5" s="15" t="s">
        <v>5</v>
      </c>
      <c r="T5" t="s">
        <v>50</v>
      </c>
      <c r="U5" s="52" t="s">
        <v>53</v>
      </c>
      <c r="V5" s="53"/>
      <c r="W5" s="54"/>
      <c r="X5" s="19" t="str">
        <f>IF(E31,IF(J15=0,"ADDI",IF(J15=1,"SLLI",IF(J15=2,"SLTI",IF(J15=3,"SLTIU",IF(J15=4,"XORI",IF(AND(J15=5,D12=0),"SRLI",IF(AND(J15=5,D12=32),"SRAI",IF(J15=6,"ORI",IF(J15=7,"ANDI"," "))))))))), " ")</f>
        <v xml:space="preserve"> </v>
      </c>
      <c r="Y5" t="str">
        <f>IF(E31, CONCATENATE("X",K15,", X",H15,", 0x",DEC2HEX(D15)), " ")</f>
        <v xml:space="preserve"> </v>
      </c>
    </row>
    <row r="6" spans="1:25" x14ac:dyDescent="0.25">
      <c r="A6">
        <f>HEX2DEC(A2)</f>
        <v>32867</v>
      </c>
      <c r="M6" s="2" t="s">
        <v>8</v>
      </c>
      <c r="N6" s="2" t="s">
        <v>4</v>
      </c>
      <c r="O6" s="2" t="s">
        <v>3</v>
      </c>
      <c r="U6" s="42" t="s">
        <v>11</v>
      </c>
      <c r="V6" s="43"/>
      <c r="W6" s="44"/>
      <c r="X6" s="19"/>
    </row>
    <row r="7" spans="1:25" x14ac:dyDescent="0.25">
      <c r="A7" s="15" t="s">
        <v>35</v>
      </c>
      <c r="L7" s="4" t="s">
        <v>28</v>
      </c>
      <c r="M7" s="4" t="str">
        <f>DEC2BIN(M8)</f>
        <v>11000</v>
      </c>
      <c r="N7" s="4" t="str">
        <f>DEC2BIN(N8)</f>
        <v>0</v>
      </c>
      <c r="O7" s="4" t="str">
        <f>DEC2BIN(O8)</f>
        <v>11</v>
      </c>
      <c r="T7" t="s">
        <v>47</v>
      </c>
      <c r="U7" s="58" t="s">
        <v>12</v>
      </c>
      <c r="V7" s="59"/>
      <c r="W7" s="60"/>
      <c r="X7" s="20" t="str">
        <f>IF(H31, IF(J18=0,"SB",IF(J18=1,"SH",IF(J18=2,"SW"," ")))," ")</f>
        <v xml:space="preserve"> </v>
      </c>
      <c r="Y7" t="str">
        <f>IF(H31,CONCATENATE("X",F18,", 0x",DEC2HEX(_xlfn.BITLSHIFT(D18,5)+K18),"(X",H18,")")," ")</f>
        <v xml:space="preserve"> </v>
      </c>
    </row>
    <row r="8" spans="1:25" x14ac:dyDescent="0.25">
      <c r="A8">
        <f>HEX2DEC(A4)</f>
        <v>96</v>
      </c>
      <c r="L8" s="4" t="s">
        <v>14</v>
      </c>
      <c r="M8">
        <f>_xlfn.BITAND(_xlfn.BITRSHIFT(A6,2),31)</f>
        <v>24</v>
      </c>
      <c r="N8">
        <f>_xlfn.BITAND(_xlfn.BITRSHIFT(A6,2),7)</f>
        <v>0</v>
      </c>
      <c r="O8">
        <f>_xlfn.BITAND(A6,3)</f>
        <v>3</v>
      </c>
      <c r="U8" s="42" t="s">
        <v>13</v>
      </c>
      <c r="V8" s="43"/>
      <c r="W8" s="44"/>
      <c r="X8" s="19"/>
    </row>
    <row r="9" spans="1:25" x14ac:dyDescent="0.25">
      <c r="T9" t="s">
        <v>59</v>
      </c>
      <c r="U9" s="55" t="s">
        <v>52</v>
      </c>
      <c r="V9" s="56"/>
      <c r="W9" s="57"/>
      <c r="X9" s="20" t="str">
        <f>IF(J31, IF(D12=0,IF(J12=0,"ADD",IF(J12=1, "SLL",IF(J12=2,"SLT",IF(J12=3,"SLTU",IF(J12=4,"XOR",IF(J12=5,"SRL",IF(J12=6,"OR",IF(J12=7,"AND", " ")))))))), IF(D12=BIN2DEC(100000), IF(J12=0,"SUB",IF(J12=1,"SRA", " ")))), " ")</f>
        <v xml:space="preserve"> </v>
      </c>
      <c r="Y9" t="str">
        <f>IF(J31, CONCATENATE("R",K12,", R",H12," ,R",F12), " ")</f>
        <v xml:space="preserve"> </v>
      </c>
    </row>
    <row r="10" spans="1:25" x14ac:dyDescent="0.25">
      <c r="C10" t="s">
        <v>29</v>
      </c>
      <c r="U10" s="42" t="s">
        <v>43</v>
      </c>
      <c r="V10" s="43"/>
      <c r="W10" s="44"/>
      <c r="X10" s="19"/>
    </row>
    <row r="11" spans="1:25" x14ac:dyDescent="0.25">
      <c r="D11" s="48" t="s">
        <v>24</v>
      </c>
      <c r="E11" s="48"/>
      <c r="F11" s="49" t="s">
        <v>54</v>
      </c>
      <c r="G11" s="49"/>
      <c r="H11" s="29" t="s">
        <v>55</v>
      </c>
      <c r="I11" s="29"/>
      <c r="J11" s="10" t="s">
        <v>7</v>
      </c>
      <c r="K11" s="32" t="s">
        <v>57</v>
      </c>
      <c r="L11" s="32"/>
      <c r="M11" s="64" t="s">
        <v>58</v>
      </c>
      <c r="N11" s="64"/>
      <c r="O11" s="34" t="str">
        <f>IF(J31," &lt;---- Integer Register Register format"," ")</f>
        <v xml:space="preserve"> </v>
      </c>
      <c r="P11" s="34"/>
      <c r="Q11" s="34"/>
      <c r="R11" s="34"/>
      <c r="U11" s="42" t="s">
        <v>44</v>
      </c>
      <c r="V11" s="43"/>
      <c r="W11" s="44"/>
      <c r="X11" s="19"/>
    </row>
    <row r="12" spans="1:25" x14ac:dyDescent="0.25">
      <c r="C12" t="s">
        <v>20</v>
      </c>
      <c r="D12" s="27">
        <f>_xlfn.BITAND(_xlfn.BITRSHIFT(A6,25),127)</f>
        <v>0</v>
      </c>
      <c r="E12" s="28"/>
      <c r="F12" s="27">
        <f>_xlfn.BITAND(_xlfn.BITRSHIFT(A6,20),15)</f>
        <v>0</v>
      </c>
      <c r="G12" s="28"/>
      <c r="H12" s="27">
        <f>_xlfn.BITAND(_xlfn.BITRSHIFT(A6,15),31)</f>
        <v>1</v>
      </c>
      <c r="I12" s="28"/>
      <c r="J12" s="7">
        <f>_xlfn.BITAND(_xlfn.BITRSHIFT(A6,12),7)</f>
        <v>0</v>
      </c>
      <c r="K12" s="27">
        <f>_xlfn.BITAND(_xlfn.BITRSHIFT(A6,7),31)</f>
        <v>0</v>
      </c>
      <c r="L12" s="28"/>
      <c r="M12" s="27" t="str">
        <f>CONCATENATE("0x",DEC2HEX(_xlfn.BITAND(A6,127)))</f>
        <v>0x63</v>
      </c>
      <c r="N12" s="28"/>
      <c r="P12" s="6" t="str">
        <f>X9</f>
        <v xml:space="preserve"> </v>
      </c>
      <c r="Q12" s="35" t="str">
        <f>Y9</f>
        <v xml:space="preserve"> </v>
      </c>
      <c r="R12" s="35"/>
      <c r="S12" s="35"/>
      <c r="U12" s="42" t="s">
        <v>45</v>
      </c>
      <c r="V12" s="43"/>
      <c r="W12" s="44"/>
      <c r="X12" s="19"/>
    </row>
    <row r="13" spans="1:25" x14ac:dyDescent="0.25">
      <c r="D13" s="8"/>
      <c r="E13" s="8"/>
      <c r="F13" s="8"/>
      <c r="G13" s="8"/>
      <c r="H13" s="9"/>
      <c r="I13" s="9"/>
      <c r="J13" s="9"/>
      <c r="K13" s="8"/>
      <c r="L13" s="8"/>
      <c r="M13" s="8"/>
      <c r="N13" s="8"/>
      <c r="U13" s="42" t="s">
        <v>15</v>
      </c>
      <c r="V13" s="43"/>
      <c r="W13" s="44"/>
      <c r="X13" s="19"/>
    </row>
    <row r="14" spans="1:25" x14ac:dyDescent="0.25">
      <c r="D14" s="47" t="s">
        <v>27</v>
      </c>
      <c r="E14" s="47"/>
      <c r="F14" s="47"/>
      <c r="G14" s="47"/>
      <c r="H14" s="29" t="s">
        <v>55</v>
      </c>
      <c r="I14" s="29"/>
      <c r="J14" s="10" t="s">
        <v>7</v>
      </c>
      <c r="K14" s="26" t="s">
        <v>57</v>
      </c>
      <c r="L14" s="26"/>
      <c r="M14" s="65" t="s">
        <v>58</v>
      </c>
      <c r="N14" s="65"/>
      <c r="O14" s="35" t="str">
        <f>IF(C31,"  &lt;---- Load Instruction format", IF(E31,"  &lt;---- Arithmetic Immediate format",  IF(N31,"  &lt;---- JALR format"," ")))</f>
        <v xml:space="preserve"> </v>
      </c>
      <c r="P14" s="35"/>
      <c r="Q14" s="35"/>
      <c r="R14" s="35"/>
      <c r="T14">
        <v>8063</v>
      </c>
      <c r="U14" s="39" t="s">
        <v>16</v>
      </c>
      <c r="V14" s="40"/>
      <c r="W14" s="41"/>
      <c r="X14" s="20" t="str">
        <f>IF(M31, IF(J27=0, "BEQ", IF(J27=1,"BNE", IF(J27=4,"BLT", IF(J27=5,"BGE", IF(J27=6,"BLTU", IF(J27=7, "BGEU", " "))))))," ")</f>
        <v>BEQ</v>
      </c>
      <c r="Y14" t="str">
        <f>IF(M31,CONCATENATE("R",H27,", R",F27," , 0x", DEC2HEX( _xlfn.BITAND(_xlfn.BITRSHIFT(K27,8),15)*2 + _xlfn.BITAND(_xlfn.BITRSHIFT(D27,25),63)*32 + _xlfn.BITAND(_xlfn.BITRSHIFT(K27,7),1)*2048 + _xlfn.BITLSHIFT(_xlfn.BITAND(_xlfn.BITRSHIFT(D27,31),1),31)  )), " ")</f>
        <v>R1, R0 , 0x0</v>
      </c>
    </row>
    <row r="15" spans="1:25" x14ac:dyDescent="0.25">
      <c r="C15" t="s">
        <v>21</v>
      </c>
      <c r="D15" s="27">
        <f>(_xlfn.BITAND(_xlfn.BITRSHIFT(A6,20),4095))</f>
        <v>0</v>
      </c>
      <c r="E15" s="46"/>
      <c r="F15" s="46"/>
      <c r="G15" s="28"/>
      <c r="H15" s="27">
        <f>_xlfn.BITAND(_xlfn.BITRSHIFT(A6,15),31)</f>
        <v>1</v>
      </c>
      <c r="I15" s="28"/>
      <c r="J15" s="7">
        <f>_xlfn.BITAND(_xlfn.BITRSHIFT(A6,12),7)</f>
        <v>0</v>
      </c>
      <c r="K15" s="27">
        <f>_xlfn.BITAND(_xlfn.BITRSHIFT(A6,7),31)</f>
        <v>0</v>
      </c>
      <c r="L15" s="28"/>
      <c r="M15" s="27" t="str">
        <f>CONCATENATE("0x",DEC2HEX(_xlfn.BITAND(A6,127)))</f>
        <v>0x63</v>
      </c>
      <c r="N15" s="28"/>
      <c r="P15" s="6" t="str">
        <f>IF(C31, X3, IF(E31,X5,IF(N31,X15," ")))</f>
        <v xml:space="preserve"> </v>
      </c>
      <c r="Q15" s="35" t="str">
        <f>IF(C31, Y3, IF(E31, Y5,IF(N31,Y15," ")))</f>
        <v xml:space="preserve"> </v>
      </c>
      <c r="R15" s="35"/>
      <c r="S15" s="35"/>
      <c r="T15" t="s">
        <v>46</v>
      </c>
      <c r="U15" s="61" t="s">
        <v>18</v>
      </c>
      <c r="V15" s="61"/>
      <c r="W15" s="61"/>
      <c r="X15" s="19" t="str">
        <f>IF(N31,  "JALR", " ")</f>
        <v xml:space="preserve"> </v>
      </c>
      <c r="Y15" t="str">
        <f>IF(N31,CONCATENATE("R",K15,", 0x",DEC2HEX(D15),"(R",H15,")"),"")</f>
        <v/>
      </c>
    </row>
    <row r="16" spans="1:25" x14ac:dyDescent="0.25">
      <c r="D16" s="8"/>
      <c r="E16" s="8"/>
      <c r="F16" s="8"/>
      <c r="G16" s="8"/>
      <c r="T16" t="s">
        <v>48</v>
      </c>
      <c r="U16" s="37" t="s">
        <v>17</v>
      </c>
      <c r="V16" s="37"/>
      <c r="W16" s="37"/>
      <c r="X16" s="19" t="str">
        <f>IF(O31,  "JAL", " ")</f>
        <v xml:space="preserve"> </v>
      </c>
      <c r="Y16" t="str">
        <f>IF(O31, CONCATENATE("X",K24,", 0x", DEC2HEX(_xlfn.BITLSHIFT(E24,1)+_xlfn.BITLSHIFT(G24,11)+_xlfn.BITLSHIFT(H24,12)+_xlfn.BITLSHIFT(IF(D24, 4095,0),20)+A8)), "")</f>
        <v/>
      </c>
    </row>
    <row r="17" spans="3:26" x14ac:dyDescent="0.25">
      <c r="D17" s="45" t="s">
        <v>25</v>
      </c>
      <c r="E17" s="45"/>
      <c r="F17" s="49" t="s">
        <v>54</v>
      </c>
      <c r="G17" s="49"/>
      <c r="H17" s="29" t="s">
        <v>55</v>
      </c>
      <c r="I17" s="29"/>
      <c r="J17" s="10" t="s">
        <v>7</v>
      </c>
      <c r="K17" s="51" t="s">
        <v>56</v>
      </c>
      <c r="L17" s="51"/>
      <c r="M17" s="50" t="s">
        <v>58</v>
      </c>
      <c r="N17" s="50"/>
      <c r="O17" s="36" t="str">
        <f>IF(H31,"  &lt;---- Store Instruction format"," ")</f>
        <v xml:space="preserve"> </v>
      </c>
      <c r="P17" s="36"/>
      <c r="Q17" s="36"/>
      <c r="R17" s="36"/>
      <c r="U17" s="38" t="s">
        <v>39</v>
      </c>
      <c r="V17" s="38"/>
      <c r="W17" s="38"/>
      <c r="X17" s="19"/>
    </row>
    <row r="18" spans="3:26" x14ac:dyDescent="0.25">
      <c r="C18" t="s">
        <v>22</v>
      </c>
      <c r="D18" s="27">
        <f>_xlfn.BITAND(_xlfn.BITRSHIFT(A6,25),127)</f>
        <v>0</v>
      </c>
      <c r="E18" s="28"/>
      <c r="F18" s="27">
        <f>_xlfn.BITAND(_xlfn.BITRSHIFT(A6,20),15)</f>
        <v>0</v>
      </c>
      <c r="G18" s="28"/>
      <c r="H18" s="27">
        <f>_xlfn.BITAND(_xlfn.BITRSHIFT(A6,15),31)</f>
        <v>1</v>
      </c>
      <c r="I18" s="28"/>
      <c r="J18" s="7">
        <f>_xlfn.BITAND(_xlfn.BITRSHIFT(A6,12),7)</f>
        <v>0</v>
      </c>
      <c r="K18" s="27">
        <f>_xlfn.BITAND(_xlfn.BITRSHIFT(A6,7),15)</f>
        <v>0</v>
      </c>
      <c r="L18" s="28"/>
      <c r="M18" s="27" t="str">
        <f>CONCATENATE("0x",DEC2HEX(_xlfn.BITAND(A6,127)))</f>
        <v>0x63</v>
      </c>
      <c r="N18" s="28"/>
      <c r="P18" s="6" t="str">
        <f>X7</f>
        <v xml:space="preserve"> </v>
      </c>
      <c r="Q18" s="35" t="str">
        <f>Y7</f>
        <v xml:space="preserve"> </v>
      </c>
      <c r="R18" s="35"/>
      <c r="S18" s="35"/>
      <c r="U18" s="38" t="s">
        <v>40</v>
      </c>
      <c r="V18" s="38"/>
      <c r="W18" s="38"/>
      <c r="X18" s="19"/>
    </row>
    <row r="19" spans="3:26" x14ac:dyDescent="0.25">
      <c r="U19" s="38" t="s">
        <v>41</v>
      </c>
      <c r="V19" s="38"/>
      <c r="W19" s="38"/>
      <c r="X19" s="19"/>
    </row>
    <row r="20" spans="3:26" x14ac:dyDescent="0.25">
      <c r="D20" s="33" t="s">
        <v>26</v>
      </c>
      <c r="E20" s="33"/>
      <c r="F20" s="33"/>
      <c r="G20" s="33"/>
      <c r="H20" s="33"/>
      <c r="I20" s="33"/>
      <c r="J20" s="33"/>
      <c r="K20" s="32" t="s">
        <v>57</v>
      </c>
      <c r="L20" s="32"/>
      <c r="M20" s="30" t="s">
        <v>58</v>
      </c>
      <c r="N20" s="30"/>
      <c r="O20" s="35"/>
      <c r="P20" s="35"/>
      <c r="Q20" s="35"/>
      <c r="R20" s="35"/>
    </row>
    <row r="21" spans="3:26" x14ac:dyDescent="0.25">
      <c r="C21" t="s">
        <v>23</v>
      </c>
      <c r="D21" s="27">
        <f>_xlfn.BITAND(_xlfn.BITRSHIFT(A6,12),1048575)</f>
        <v>8</v>
      </c>
      <c r="E21" s="46"/>
      <c r="F21" s="46"/>
      <c r="G21" s="46"/>
      <c r="H21" s="46"/>
      <c r="I21" s="46"/>
      <c r="J21" s="28"/>
      <c r="K21" s="27">
        <f>_xlfn.BITAND(_xlfn.BITRSHIFT(A6,7),31)</f>
        <v>0</v>
      </c>
      <c r="L21" s="28"/>
      <c r="M21" s="27" t="str">
        <f>CONCATENATE("0x",DEC2HEX(_xlfn.BITAND(A6,127)))</f>
        <v>0x63</v>
      </c>
      <c r="N21" s="28"/>
    </row>
    <row r="23" spans="3:26" x14ac:dyDescent="0.25">
      <c r="D23" s="13" t="s">
        <v>33</v>
      </c>
      <c r="E23" s="33" t="s">
        <v>34</v>
      </c>
      <c r="F23" s="33"/>
      <c r="G23" s="13" t="s">
        <v>32</v>
      </c>
      <c r="H23" s="33" t="s">
        <v>31</v>
      </c>
      <c r="I23" s="33"/>
      <c r="J23" s="33"/>
      <c r="K23" s="32" t="s">
        <v>57</v>
      </c>
      <c r="L23" s="32"/>
      <c r="M23" s="31" t="s">
        <v>58</v>
      </c>
      <c r="N23" s="31"/>
      <c r="O23" s="35" t="str">
        <f>IF(O31,"  &lt;---- JAL format"," ")</f>
        <v xml:space="preserve"> </v>
      </c>
      <c r="P23" s="35"/>
      <c r="Q23" s="35"/>
      <c r="R23" s="35"/>
    </row>
    <row r="24" spans="3:26" x14ac:dyDescent="0.25">
      <c r="C24" t="s">
        <v>37</v>
      </c>
      <c r="D24" s="14">
        <f>_xlfn.BITAND(_xlfn.BITRSHIFT(A6,31),1)</f>
        <v>0</v>
      </c>
      <c r="E24" s="27">
        <f>_xlfn.BITAND(_xlfn.BITRSHIFT(A6,21),1023)</f>
        <v>0</v>
      </c>
      <c r="F24" s="28"/>
      <c r="G24" s="14">
        <f>_xlfn.BITAND(_xlfn.BITRSHIFT(A6,20),1)</f>
        <v>0</v>
      </c>
      <c r="H24" s="27">
        <f>_xlfn.BITAND(_xlfn.BITRSHIFT(A6,12),255)</f>
        <v>8</v>
      </c>
      <c r="I24" s="46"/>
      <c r="J24" s="28"/>
      <c r="K24" s="27">
        <f>_xlfn.BITAND(_xlfn.BITRSHIFT(A6,7),31)</f>
        <v>0</v>
      </c>
      <c r="L24" s="28"/>
      <c r="M24" s="27" t="str">
        <f>CONCATENATE("0x",DEC2HEX(_xlfn.BITAND(A6,127)))</f>
        <v>0x63</v>
      </c>
      <c r="N24" s="28"/>
      <c r="P24" s="6" t="str">
        <f>X16</f>
        <v xml:space="preserve"> </v>
      </c>
      <c r="Q24" s="35" t="str">
        <f>Y16</f>
        <v/>
      </c>
      <c r="R24" s="35"/>
      <c r="S24" s="35"/>
      <c r="T24" s="35" t="str">
        <f>IF(O31, CONCATENATE("PC+4 = 0x", DEC2HEX(A8+4)," ",IF(K24=0,"NOT ", ""),"written to X",K24), "")</f>
        <v/>
      </c>
      <c r="U24" s="35"/>
      <c r="V24" s="35"/>
    </row>
    <row r="26" spans="3:26" x14ac:dyDescent="0.25">
      <c r="D26" s="62" t="s">
        <v>61</v>
      </c>
      <c r="E26" s="62"/>
      <c r="F26" s="49" t="s">
        <v>54</v>
      </c>
      <c r="G26" s="49"/>
      <c r="H26" s="29" t="s">
        <v>55</v>
      </c>
      <c r="I26" s="29"/>
      <c r="J26" s="10" t="s">
        <v>7</v>
      </c>
      <c r="K26" s="51" t="s">
        <v>62</v>
      </c>
      <c r="L26" s="51"/>
      <c r="M26" s="63" t="s">
        <v>58</v>
      </c>
      <c r="N26" s="63"/>
      <c r="O26" s="34" t="str">
        <f>IF(M31,"  &lt;----Bxx Instruction format"," ")</f>
        <v xml:space="preserve">  &lt;----Bxx Instruction format</v>
      </c>
      <c r="P26" s="34"/>
      <c r="Q26" s="34"/>
      <c r="R26" s="34"/>
    </row>
    <row r="27" spans="3:26" x14ac:dyDescent="0.25">
      <c r="C27" t="s">
        <v>60</v>
      </c>
      <c r="D27" s="27">
        <f>_xlfn.BITAND(_xlfn.BITRSHIFT(A6,25),127)</f>
        <v>0</v>
      </c>
      <c r="E27" s="28"/>
      <c r="F27" s="27">
        <f>_xlfn.BITAND(_xlfn.BITRSHIFT(A6,20),15)</f>
        <v>0</v>
      </c>
      <c r="G27" s="28"/>
      <c r="H27" s="27">
        <f>_xlfn.BITAND(_xlfn.BITRSHIFT(A6,15),31)</f>
        <v>1</v>
      </c>
      <c r="I27" s="28"/>
      <c r="J27" s="7">
        <f>_xlfn.BITAND(_xlfn.BITRSHIFT(A6,12),7)</f>
        <v>0</v>
      </c>
      <c r="K27" s="27">
        <f>_xlfn.BITAND(_xlfn.BITRSHIFT(A6,7),15)</f>
        <v>0</v>
      </c>
      <c r="L27" s="28"/>
      <c r="M27" s="27" t="str">
        <f>CONCATENATE("0x",DEC2HEX(_xlfn.BITAND(A6,127)))</f>
        <v>0x63</v>
      </c>
      <c r="N27" s="28"/>
      <c r="P27" s="6" t="str">
        <f xml:space="preserve"> X14</f>
        <v>BEQ</v>
      </c>
      <c r="Q27" s="35" t="str">
        <f>Y14</f>
        <v>R1, R0 , 0x0</v>
      </c>
      <c r="R27" s="35"/>
      <c r="S27" s="35"/>
    </row>
    <row r="29" spans="3:26" ht="15.75" thickBot="1" x14ac:dyDescent="0.3"/>
    <row r="30" spans="3:26" ht="15.75" thickBot="1" x14ac:dyDescent="0.3">
      <c r="C30" s="11" t="s">
        <v>9</v>
      </c>
      <c r="D30" s="11" t="s">
        <v>10</v>
      </c>
      <c r="E30" s="21" t="s">
        <v>53</v>
      </c>
      <c r="F30" s="21"/>
      <c r="G30" s="11" t="s">
        <v>11</v>
      </c>
      <c r="H30" s="11" t="s">
        <v>12</v>
      </c>
      <c r="I30" s="11" t="s">
        <v>13</v>
      </c>
      <c r="J30" s="24" t="s">
        <v>52</v>
      </c>
      <c r="K30" s="25"/>
      <c r="L30" s="11" t="s">
        <v>15</v>
      </c>
      <c r="M30" s="11" t="s">
        <v>16</v>
      </c>
      <c r="N30" s="11" t="s">
        <v>18</v>
      </c>
      <c r="O30" s="11" t="s">
        <v>17</v>
      </c>
      <c r="P30" s="18" t="s">
        <v>19</v>
      </c>
      <c r="Q30" s="18"/>
      <c r="U30" s="66" t="s">
        <v>63</v>
      </c>
      <c r="V30" s="66"/>
      <c r="W30" s="66"/>
      <c r="X30" s="67" t="s">
        <v>64</v>
      </c>
      <c r="Y30" s="67"/>
      <c r="Z30" s="67"/>
    </row>
    <row r="31" spans="3:26" ht="15.75" thickBot="1" x14ac:dyDescent="0.3">
      <c r="C31" s="12" t="b">
        <f>AND((M8=0),(N8&lt;&gt;7),(O8=3))</f>
        <v>0</v>
      </c>
      <c r="D31" s="12" t="b">
        <f>AND((M8=3),(N8&lt;&gt;7),(O8=3))</f>
        <v>0</v>
      </c>
      <c r="E31" s="22" t="b">
        <f>AND((M8=4),(N8&lt;&gt;7),(O8=3))</f>
        <v>0</v>
      </c>
      <c r="F31" s="23"/>
      <c r="G31" s="17" t="b">
        <f>AND((M8=5),(N8&lt;&gt;7),(O8=3))</f>
        <v>0</v>
      </c>
      <c r="H31" s="17" t="b">
        <f>AND((M8=8),(N8&lt;&gt;7),(O8=3))</f>
        <v>0</v>
      </c>
      <c r="I31" s="17" t="b">
        <f>AND((M8=11),(N8&lt;&gt;7),(O8=3))</f>
        <v>0</v>
      </c>
      <c r="J31" s="22" t="b">
        <f>AND((M8=12),(N8&lt;&gt;7),(O8=3),_xlfn.BITRSHIFT(HEX2DEC(A2),25)=0)</f>
        <v>0</v>
      </c>
      <c r="K31" s="23"/>
      <c r="L31" s="17" t="b">
        <f>AND((M8=13),(N8&lt;&gt;7),(O8=3))</f>
        <v>0</v>
      </c>
      <c r="M31" s="17" t="b">
        <f>AND((M8=24),(N8&lt;&gt;7),(O8=3))</f>
        <v>1</v>
      </c>
      <c r="N31" s="17" t="b">
        <f>AND((M8=25),(N8&lt;&gt;7),(O8=3))</f>
        <v>0</v>
      </c>
      <c r="O31" s="17" t="b">
        <f>AND((M8=27),(N8&lt;&gt;7),(O8=3))</f>
        <v>0</v>
      </c>
      <c r="P31" s="22" t="b">
        <f>AND((M8=28),(N8&lt;&gt;7),(O8=3))</f>
        <v>0</v>
      </c>
      <c r="Q31" s="23"/>
      <c r="U31" s="68">
        <v>127</v>
      </c>
      <c r="V31" s="68"/>
      <c r="W31" s="68"/>
      <c r="X31" s="68" t="str">
        <f>CONCATENATE("0x",DEC2HEX(U31))</f>
        <v>0x7F</v>
      </c>
      <c r="Y31" s="68"/>
      <c r="Z31" s="68"/>
    </row>
  </sheetData>
  <mergeCells count="89">
    <mergeCell ref="Q27:S27"/>
    <mergeCell ref="U30:W30"/>
    <mergeCell ref="X30:Z30"/>
    <mergeCell ref="U31:W31"/>
    <mergeCell ref="X31:Z31"/>
    <mergeCell ref="D27:E27"/>
    <mergeCell ref="F27:G27"/>
    <mergeCell ref="H27:I27"/>
    <mergeCell ref="K27:L27"/>
    <mergeCell ref="M27:N27"/>
    <mergeCell ref="U12:W12"/>
    <mergeCell ref="U11:W11"/>
    <mergeCell ref="U10:W10"/>
    <mergeCell ref="U15:W15"/>
    <mergeCell ref="D26:E26"/>
    <mergeCell ref="F26:G26"/>
    <mergeCell ref="H26:I26"/>
    <mergeCell ref="K26:L26"/>
    <mergeCell ref="M26:N26"/>
    <mergeCell ref="O26:R26"/>
    <mergeCell ref="M11:N11"/>
    <mergeCell ref="M12:N12"/>
    <mergeCell ref="H12:I12"/>
    <mergeCell ref="H23:J23"/>
    <mergeCell ref="H24:J24"/>
    <mergeCell ref="M14:N14"/>
    <mergeCell ref="U3:W3"/>
    <mergeCell ref="U5:W5"/>
    <mergeCell ref="U9:W9"/>
    <mergeCell ref="U8:W8"/>
    <mergeCell ref="U7:W7"/>
    <mergeCell ref="U6:W6"/>
    <mergeCell ref="U4:W4"/>
    <mergeCell ref="M15:N15"/>
    <mergeCell ref="M18:N18"/>
    <mergeCell ref="M17:N17"/>
    <mergeCell ref="K11:L11"/>
    <mergeCell ref="K12:L12"/>
    <mergeCell ref="K15:L15"/>
    <mergeCell ref="K17:L17"/>
    <mergeCell ref="K20:L20"/>
    <mergeCell ref="K18:L18"/>
    <mergeCell ref="E24:F24"/>
    <mergeCell ref="F17:G17"/>
    <mergeCell ref="H14:I14"/>
    <mergeCell ref="H11:I11"/>
    <mergeCell ref="D17:E17"/>
    <mergeCell ref="D21:J21"/>
    <mergeCell ref="D18:E18"/>
    <mergeCell ref="D20:J20"/>
    <mergeCell ref="F18:G18"/>
    <mergeCell ref="D14:G14"/>
    <mergeCell ref="D15:G15"/>
    <mergeCell ref="D11:E11"/>
    <mergeCell ref="F11:G11"/>
    <mergeCell ref="F12:G12"/>
    <mergeCell ref="D12:E12"/>
    <mergeCell ref="O11:R11"/>
    <mergeCell ref="Q18:S18"/>
    <mergeCell ref="T24:V24"/>
    <mergeCell ref="Q24:S24"/>
    <mergeCell ref="Q12:S12"/>
    <mergeCell ref="O14:R14"/>
    <mergeCell ref="O17:R17"/>
    <mergeCell ref="O20:R20"/>
    <mergeCell ref="O23:R23"/>
    <mergeCell ref="U16:W16"/>
    <mergeCell ref="Q15:S15"/>
    <mergeCell ref="U17:W17"/>
    <mergeCell ref="U18:W18"/>
    <mergeCell ref="U19:W19"/>
    <mergeCell ref="U14:W14"/>
    <mergeCell ref="U13:W13"/>
    <mergeCell ref="E31:F31"/>
    <mergeCell ref="J31:K31"/>
    <mergeCell ref="J30:K30"/>
    <mergeCell ref="P31:Q31"/>
    <mergeCell ref="K14:L14"/>
    <mergeCell ref="H15:I15"/>
    <mergeCell ref="H17:I17"/>
    <mergeCell ref="H18:I18"/>
    <mergeCell ref="M20:N20"/>
    <mergeCell ref="M21:N21"/>
    <mergeCell ref="M23:N23"/>
    <mergeCell ref="M24:N24"/>
    <mergeCell ref="K23:L23"/>
    <mergeCell ref="K24:L24"/>
    <mergeCell ref="K21:L21"/>
    <mergeCell ref="E23:F23"/>
  </mergeCells>
  <conditionalFormatting sqref="E31">
    <cfRule type="cellIs" dxfId="19" priority="9" operator="equal">
      <formula>"E28"</formula>
    </cfRule>
    <cfRule type="cellIs" dxfId="18" priority="21" operator="equal">
      <formula>TRUE</formula>
    </cfRule>
    <cfRule type="cellIs" dxfId="17" priority="22" operator="equal">
      <formula>1</formula>
    </cfRule>
  </conditionalFormatting>
  <conditionalFormatting sqref="D31">
    <cfRule type="cellIs" dxfId="16" priority="20" operator="equal">
      <formula>TRUE</formula>
    </cfRule>
  </conditionalFormatting>
  <conditionalFormatting sqref="C31">
    <cfRule type="cellIs" dxfId="15" priority="19" operator="equal">
      <formula>TRUE</formula>
    </cfRule>
  </conditionalFormatting>
  <conditionalFormatting sqref="G31">
    <cfRule type="cellIs" dxfId="14" priority="18" operator="equal">
      <formula>TRUE</formula>
    </cfRule>
  </conditionalFormatting>
  <conditionalFormatting sqref="H31">
    <cfRule type="cellIs" dxfId="13" priority="17" operator="equal">
      <formula>TRUE</formula>
    </cfRule>
  </conditionalFormatting>
  <conditionalFormatting sqref="I31">
    <cfRule type="cellIs" dxfId="12" priority="16" operator="equal">
      <formula>TRUE</formula>
    </cfRule>
  </conditionalFormatting>
  <conditionalFormatting sqref="J31">
    <cfRule type="cellIs" dxfId="11" priority="15" operator="equal">
      <formula>TRUE</formula>
    </cfRule>
  </conditionalFormatting>
  <conditionalFormatting sqref="L31">
    <cfRule type="cellIs" dxfId="10" priority="14" operator="equal">
      <formula>TRUE</formula>
    </cfRule>
  </conditionalFormatting>
  <conditionalFormatting sqref="M31">
    <cfRule type="cellIs" dxfId="9" priority="13" operator="equal">
      <formula>TRUE</formula>
    </cfRule>
  </conditionalFormatting>
  <conditionalFormatting sqref="N31">
    <cfRule type="cellIs" dxfId="8" priority="12" operator="equal">
      <formula>TRUE</formula>
    </cfRule>
  </conditionalFormatting>
  <conditionalFormatting sqref="O31">
    <cfRule type="cellIs" dxfId="7" priority="11" operator="equal">
      <formula>TRUE</formula>
    </cfRule>
  </conditionalFormatting>
  <conditionalFormatting sqref="P31">
    <cfRule type="cellIs" dxfId="6" priority="10" operator="equal">
      <formula>TRUE</formula>
    </cfRule>
  </conditionalFormatting>
  <conditionalFormatting sqref="O14">
    <cfRule type="containsText" dxfId="5" priority="6" operator="containsText" text="&lt;">
      <formula>NOT(ISERROR(SEARCH("&lt;",O14)))</formula>
    </cfRule>
  </conditionalFormatting>
  <conditionalFormatting sqref="O17">
    <cfRule type="containsText" dxfId="4" priority="3" operator="containsText" text="&lt;">
      <formula>NOT(ISERROR(SEARCH("&lt;",O17)))</formula>
    </cfRule>
    <cfRule type="containsText" dxfId="3" priority="5" operator="containsText" text="&lt;">
      <formula>NOT(ISERROR(SEARCH("&lt;",O17)))</formula>
    </cfRule>
  </conditionalFormatting>
  <conditionalFormatting sqref="O23">
    <cfRule type="containsText" dxfId="2" priority="4" operator="containsText" text="&lt;">
      <formula>NOT(ISERROR(SEARCH("&lt;",O23)))</formula>
    </cfRule>
  </conditionalFormatting>
  <conditionalFormatting sqref="O11:R11">
    <cfRule type="containsText" dxfId="1" priority="2" operator="containsText" text="&lt;">
      <formula>NOT(ISERROR(SEARCH("&lt;",O11)))</formula>
    </cfRule>
  </conditionalFormatting>
  <conditionalFormatting sqref="U5">
    <cfRule type="expression" priority="25">
      <formula>E31=TRUE</formula>
    </cfRule>
    <cfRule type="expression" priority="26">
      <formula>"E28=TRUE"</formula>
    </cfRule>
  </conditionalFormatting>
  <conditionalFormatting sqref="O26:R26">
    <cfRule type="containsText" dxfId="0" priority="1" operator="containsText" text="&lt;">
      <formula>NOT(ISERROR(SEARCH("&lt;",O26)))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2020-09-27T22:12:41Z</dcterms:created>
  <dcterms:modified xsi:type="dcterms:W3CDTF">2020-11-20T05:29:20Z</dcterms:modified>
</cp:coreProperties>
</file>