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sKy1\"/>
    </mc:Choice>
  </mc:AlternateContent>
  <bookViews>
    <workbookView xWindow="360" yWindow="30" windowWidth="22995" windowHeight="10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8" i="1" l="1"/>
  <c r="A6" i="1"/>
  <c r="D15" i="1" s="1"/>
  <c r="H24" i="1" l="1"/>
  <c r="D21" i="1"/>
  <c r="E24" i="1"/>
  <c r="M24" i="1"/>
  <c r="G24" i="1"/>
  <c r="K24" i="1"/>
  <c r="D24" i="1"/>
  <c r="K21" i="1"/>
  <c r="M18" i="1"/>
  <c r="M15" i="1"/>
  <c r="M12" i="1"/>
  <c r="M21" i="1"/>
  <c r="K18" i="1"/>
  <c r="D18" i="1"/>
  <c r="K15" i="1"/>
  <c r="D12" i="1"/>
  <c r="J15" i="1"/>
  <c r="F18" i="1"/>
  <c r="J18" i="1"/>
  <c r="H15" i="1"/>
  <c r="K12" i="1"/>
  <c r="H18" i="1"/>
  <c r="O8" i="1"/>
  <c r="O7" i="1" s="1"/>
  <c r="F12" i="1"/>
  <c r="H12" i="1"/>
  <c r="J12" i="1"/>
  <c r="N8" i="1"/>
  <c r="D4" i="1"/>
  <c r="M8" i="1"/>
  <c r="K28" i="1" l="1"/>
  <c r="N28" i="1"/>
  <c r="I28" i="1"/>
  <c r="C28" i="1"/>
  <c r="Y8" i="1" s="1"/>
  <c r="Q28" i="1"/>
  <c r="M28" i="1"/>
  <c r="H28" i="1"/>
  <c r="P28" i="1"/>
  <c r="E28" i="1"/>
  <c r="O28" i="1"/>
  <c r="X20" i="1" s="1"/>
  <c r="J28" i="1"/>
  <c r="D28" i="1"/>
  <c r="X9" i="1" s="1"/>
  <c r="M7" i="1"/>
  <c r="N7" i="1"/>
  <c r="X21" i="1" l="1"/>
  <c r="P24" i="1" s="1"/>
  <c r="Y21" i="1"/>
  <c r="Q24" i="1" s="1"/>
  <c r="X8" i="1"/>
  <c r="X10" i="1"/>
  <c r="Y10" i="1"/>
  <c r="Q15" i="1" s="1"/>
  <c r="S24" i="1"/>
  <c r="O23" i="1"/>
  <c r="O14" i="1"/>
  <c r="O17" i="1"/>
  <c r="C4" i="1"/>
  <c r="E4" i="1" s="1"/>
  <c r="P15" i="1" l="1"/>
</calcChain>
</file>

<file path=xl/sharedStrings.xml><?xml version="1.0" encoding="utf-8"?>
<sst xmlns="http://schemas.openxmlformats.org/spreadsheetml/2006/main" count="77" uniqueCount="56">
  <si>
    <t>RV32I</t>
  </si>
  <si>
    <t>RV32C</t>
  </si>
  <si>
    <t>RV??</t>
  </si>
  <si>
    <t>instr[1:0]</t>
  </si>
  <si>
    <t>instr[4:2]</t>
  </si>
  <si>
    <t>Instruction in Decimal format</t>
  </si>
  <si>
    <t>Enter Instruction in Hex format</t>
  </si>
  <si>
    <t>funct3</t>
  </si>
  <si>
    <t>instr[6:2]</t>
  </si>
  <si>
    <t>Load</t>
  </si>
  <si>
    <t>Fence</t>
  </si>
  <si>
    <t>Arithmentic Immediate</t>
  </si>
  <si>
    <t>AUIPC</t>
  </si>
  <si>
    <t>Store</t>
  </si>
  <si>
    <t>Atomic</t>
  </si>
  <si>
    <t>Arithmetic Register</t>
  </si>
  <si>
    <t>decimal</t>
  </si>
  <si>
    <t>LUI</t>
  </si>
  <si>
    <t>Bxx</t>
  </si>
  <si>
    <t>JAL</t>
  </si>
  <si>
    <t>JALR</t>
  </si>
  <si>
    <t>SYS/RET/CSR</t>
  </si>
  <si>
    <t>R-type</t>
  </si>
  <si>
    <t>I-type</t>
  </si>
  <si>
    <t>S-type</t>
  </si>
  <si>
    <t>U-type</t>
  </si>
  <si>
    <t>31 -  funct7  - 25</t>
  </si>
  <si>
    <t>24 -  Rs2 - 20</t>
  </si>
  <si>
    <t>19 - Rs1 - 15</t>
  </si>
  <si>
    <t>11 -  Rd  - 7</t>
  </si>
  <si>
    <t>6 - opcode - 0</t>
  </si>
  <si>
    <t>11 - imm[4:0] - 7</t>
  </si>
  <si>
    <t>31 -  imm[11:5]  - 25</t>
  </si>
  <si>
    <t>31 -                                                  imm[11:5]                                                         - 12</t>
  </si>
  <si>
    <t>31 -                       imm[11:0]                      - 20</t>
  </si>
  <si>
    <t>binary</t>
  </si>
  <si>
    <t>Numbers with 0x Prefix are hexidecimal, otherwise decimal</t>
  </si>
  <si>
    <t>Status: 10/31/2020 - All instruction types listed at bottom should show TRUE or FALSE depending on cell A2. Load and Arithmetic Immediate instructions should display disassembled as I-type</t>
  </si>
  <si>
    <t>19 -          imm[19:12]         - 12</t>
  </si>
  <si>
    <t>imm[11]</t>
  </si>
  <si>
    <t>imm[20]</t>
  </si>
  <si>
    <t>30 -  imm[10:1]  - 21</t>
  </si>
  <si>
    <t>PC in Decimal Format</t>
  </si>
  <si>
    <t>Enter PC in Hex format - needed for branches</t>
  </si>
  <si>
    <t>J-type</t>
  </si>
  <si>
    <t>RV32i Instruction types</t>
  </si>
  <si>
    <t>ArithReg</t>
  </si>
  <si>
    <t>SYS</t>
  </si>
  <si>
    <t>RET</t>
  </si>
  <si>
    <t>CSR</t>
  </si>
  <si>
    <t>60</t>
  </si>
  <si>
    <t>0017b793</t>
  </si>
  <si>
    <t>Arithmetic Immediate</t>
  </si>
  <si>
    <t>Integer Multiply</t>
  </si>
  <si>
    <t>Integer Division</t>
  </si>
  <si>
    <t>Integer 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</si>
</sst>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2" borderId="7" applyNumberFormat="0" applyAlignment="0" applyProtection="0"/>
  </cellStyleXfs>
  <cellXfs count="3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0" borderId="1" xfId="0" applyBorder="1"/>
    <xf numFmtId="0" fontId="5" fillId="12" borderId="7" xfId="4"/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10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11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5" borderId="0" xfId="3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3" fillId="4" borderId="0" xfId="3" applyAlignment="1">
      <alignment horizontal="left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U26" sqref="U26"/>
    </sheetView>
  </sheetViews>
  <sheetFormatPr defaultRowHeight="15" x14ac:dyDescent="0.25"/>
  <cols>
    <col min="1" max="1" width="28.28515625" customWidth="1"/>
    <col min="2" max="2" width="0.140625" customWidth="1"/>
    <col min="8" max="9" width="9.140625" customWidth="1"/>
    <col min="11" max="12" width="9.140625" customWidth="1"/>
    <col min="16" max="16" width="9.5703125" customWidth="1"/>
    <col min="21" max="22" width="9.140625" customWidth="1"/>
  </cols>
  <sheetData>
    <row r="1" spans="1:25" x14ac:dyDescent="0.25">
      <c r="A1" s="1" t="s">
        <v>6</v>
      </c>
      <c r="C1" t="s">
        <v>37</v>
      </c>
    </row>
    <row r="2" spans="1:25" x14ac:dyDescent="0.25">
      <c r="A2" s="5" t="s">
        <v>51</v>
      </c>
    </row>
    <row r="3" spans="1:25" x14ac:dyDescent="0.25">
      <c r="A3" s="1" t="s">
        <v>43</v>
      </c>
      <c r="C3" s="2" t="s">
        <v>0</v>
      </c>
      <c r="D3" s="2" t="s">
        <v>1</v>
      </c>
      <c r="E3" s="3" t="s">
        <v>2</v>
      </c>
    </row>
    <row r="4" spans="1:25" x14ac:dyDescent="0.25">
      <c r="A4" s="5" t="s">
        <v>50</v>
      </c>
      <c r="C4" t="b">
        <f>OR(C28,D28,E28,H28,I28,J28,L28,M28,N28,O28,P28,Q28)</f>
        <v>1</v>
      </c>
      <c r="D4" t="b">
        <f>_xlfn.BITAND(A6,3)&lt;&gt;3</f>
        <v>0</v>
      </c>
      <c r="E4" t="b">
        <f>NOT(OR(C4,D4))</f>
        <v>0</v>
      </c>
    </row>
    <row r="5" spans="1:25" x14ac:dyDescent="0.25">
      <c r="A5" s="17" t="s">
        <v>5</v>
      </c>
    </row>
    <row r="6" spans="1:25" x14ac:dyDescent="0.25">
      <c r="A6">
        <f>HEX2DEC(A2)</f>
        <v>1554323</v>
      </c>
      <c r="M6" s="2" t="s">
        <v>8</v>
      </c>
      <c r="N6" s="2" t="s">
        <v>4</v>
      </c>
      <c r="O6" s="2" t="s">
        <v>3</v>
      </c>
    </row>
    <row r="7" spans="1:25" x14ac:dyDescent="0.25">
      <c r="A7" s="17" t="s">
        <v>42</v>
      </c>
      <c r="L7" s="4" t="s">
        <v>35</v>
      </c>
      <c r="M7" s="4" t="str">
        <f>DEC2BIN(M8)</f>
        <v>100</v>
      </c>
      <c r="N7" s="4" t="str">
        <f>DEC2BIN(N8)</f>
        <v>100</v>
      </c>
      <c r="O7" s="4" t="str">
        <f>DEC2BIN(O8)</f>
        <v>11</v>
      </c>
      <c r="U7" s="34" t="s">
        <v>45</v>
      </c>
      <c r="V7" s="34"/>
      <c r="W7" s="34"/>
    </row>
    <row r="8" spans="1:25" x14ac:dyDescent="0.25">
      <c r="A8">
        <f>HEX2DEC(A4)</f>
        <v>96</v>
      </c>
      <c r="L8" s="4" t="s">
        <v>16</v>
      </c>
      <c r="M8">
        <f>_xlfn.BITAND(_xlfn.BITRSHIFT(A6,2),31)</f>
        <v>4</v>
      </c>
      <c r="N8">
        <f>_xlfn.BITAND(_xlfn.BITRSHIFT(A6,2),7)</f>
        <v>4</v>
      </c>
      <c r="O8">
        <f>_xlfn.BITAND(A6,3)</f>
        <v>3</v>
      </c>
      <c r="U8" s="26" t="s">
        <v>9</v>
      </c>
      <c r="V8" s="26"/>
      <c r="W8" s="26"/>
      <c r="X8" t="str">
        <f>IF(C28,    IF(J15=0,"LB",(IF(J15=1,"LH",(IF(J15=2,"LW",IF(J15=4,"LBU",IF(J15=5,"LHU"," "))))))), " ")</f>
        <v xml:space="preserve"> </v>
      </c>
      <c r="Y8" t="str">
        <f>IF(C28, CONCATENATE("X",K15,", 0x",DEC2HEX(D15),"(X",H15,")"), " ")</f>
        <v xml:space="preserve"> </v>
      </c>
    </row>
    <row r="9" spans="1:25" x14ac:dyDescent="0.25">
      <c r="U9" s="26" t="s">
        <v>10</v>
      </c>
      <c r="V9" s="26"/>
      <c r="W9" s="26"/>
      <c r="X9" t="str">
        <f>IF(D28, "Fence", "")</f>
        <v/>
      </c>
    </row>
    <row r="10" spans="1:25" x14ac:dyDescent="0.25">
      <c r="C10" t="s">
        <v>36</v>
      </c>
      <c r="U10" s="26" t="s">
        <v>52</v>
      </c>
      <c r="V10" s="26"/>
      <c r="W10" s="26"/>
      <c r="X10" t="str">
        <f>IF(E28,  IF(K15,IF(J15=0,"ADDI",IF(J15=1,"SLLI",IF(J15=2,"SLTI",IF(J15=3,"SLTIU",IF(J15=4,"XORI",IF(AND(J15=5,D12=0),"SRLI",IF(AND(J15=5,D12=32),"SRAI",IF(J15=6,"ORI",IF(J15=7,"ANDI"," ")))))))))),"")</f>
        <v>SLTIU</v>
      </c>
      <c r="Y10" t="str">
        <f>IF(E28, CONCATENATE("X",K15,", X",H15,", 0x",D15), " ")</f>
        <v>X15, X15, 0x1</v>
      </c>
    </row>
    <row r="11" spans="1:25" x14ac:dyDescent="0.25">
      <c r="D11" s="22" t="s">
        <v>26</v>
      </c>
      <c r="E11" s="22"/>
      <c r="F11" s="23" t="s">
        <v>27</v>
      </c>
      <c r="G11" s="23"/>
      <c r="H11" s="25" t="s">
        <v>28</v>
      </c>
      <c r="I11" s="25"/>
      <c r="J11" s="10" t="s">
        <v>7</v>
      </c>
      <c r="K11" s="27" t="s">
        <v>29</v>
      </c>
      <c r="L11" s="27"/>
      <c r="M11" s="24" t="s">
        <v>30</v>
      </c>
      <c r="N11" s="24"/>
      <c r="U11" s="26" t="s">
        <v>12</v>
      </c>
      <c r="V11" s="26"/>
      <c r="W11" s="26"/>
    </row>
    <row r="12" spans="1:25" x14ac:dyDescent="0.25">
      <c r="C12" t="s">
        <v>22</v>
      </c>
      <c r="D12" s="19">
        <f>_xlfn.BITAND(_xlfn.BITRSHIFT(A6,25),127)</f>
        <v>0</v>
      </c>
      <c r="E12" s="21"/>
      <c r="F12" s="19">
        <f>_xlfn.BITAND(_xlfn.BITRSHIFT(A6,20),15)</f>
        <v>1</v>
      </c>
      <c r="G12" s="21"/>
      <c r="H12" s="19">
        <f>_xlfn.BITAND(_xlfn.BITRSHIFT(A6,15),15)</f>
        <v>15</v>
      </c>
      <c r="I12" s="21"/>
      <c r="J12" s="7">
        <f>_xlfn.BITAND(_xlfn.BITRSHIFT(A6,12),7)</f>
        <v>3</v>
      </c>
      <c r="K12" s="19">
        <f>_xlfn.BITAND(_xlfn.BITRSHIFT(A6,7),15)</f>
        <v>15</v>
      </c>
      <c r="L12" s="21"/>
      <c r="M12" s="19" t="str">
        <f>CONCATENATE("0x",DEC2HEX(_xlfn.BITAND(A6,127)))</f>
        <v>0x13</v>
      </c>
      <c r="N12" s="21"/>
      <c r="U12" s="26" t="s">
        <v>13</v>
      </c>
      <c r="V12" s="26"/>
      <c r="W12" s="26"/>
    </row>
    <row r="13" spans="1:25" x14ac:dyDescent="0.25">
      <c r="D13" s="8"/>
      <c r="E13" s="8"/>
      <c r="F13" s="8"/>
      <c r="G13" s="8"/>
      <c r="H13" s="9"/>
      <c r="I13" s="9"/>
      <c r="J13" s="9"/>
      <c r="K13" s="8"/>
      <c r="L13" s="8"/>
      <c r="M13" s="8"/>
      <c r="N13" s="8"/>
      <c r="U13" s="26" t="s">
        <v>14</v>
      </c>
      <c r="V13" s="26"/>
      <c r="W13" s="26"/>
    </row>
    <row r="14" spans="1:25" x14ac:dyDescent="0.25">
      <c r="D14" s="30" t="s">
        <v>34</v>
      </c>
      <c r="E14" s="30"/>
      <c r="F14" s="30"/>
      <c r="G14" s="30"/>
      <c r="H14" s="25" t="s">
        <v>28</v>
      </c>
      <c r="I14" s="25"/>
      <c r="J14" s="10" t="s">
        <v>7</v>
      </c>
      <c r="K14" s="11" t="s">
        <v>29</v>
      </c>
      <c r="L14" s="11"/>
      <c r="M14" s="24" t="s">
        <v>30</v>
      </c>
      <c r="N14" s="24"/>
      <c r="O14" t="str">
        <f>IF(C28,"  &lt;---- Load Instruction format", IF(E28,"  &lt;---- Arithmetic Immediate format"," "))</f>
        <v xml:space="preserve">  &lt;---- Arithmetic Immediate format</v>
      </c>
      <c r="U14" s="26" t="s">
        <v>46</v>
      </c>
      <c r="V14" s="26"/>
      <c r="W14" s="26"/>
    </row>
    <row r="15" spans="1:25" x14ac:dyDescent="0.25">
      <c r="C15" t="s">
        <v>23</v>
      </c>
      <c r="D15" s="19">
        <f>(_xlfn.BITAND(_xlfn.BITRSHIFT(A6,20),4095))</f>
        <v>1</v>
      </c>
      <c r="E15" s="20"/>
      <c r="F15" s="20"/>
      <c r="G15" s="21"/>
      <c r="H15" s="19">
        <f>_xlfn.BITAND(_xlfn.BITRSHIFT(A6,15),15)</f>
        <v>15</v>
      </c>
      <c r="I15" s="21"/>
      <c r="J15" s="7">
        <f>_xlfn.BITAND(_xlfn.BITRSHIFT(A6,12),7)</f>
        <v>3</v>
      </c>
      <c r="K15" s="19">
        <f>_xlfn.BITAND(_xlfn.BITRSHIFT(A6,7),15)</f>
        <v>15</v>
      </c>
      <c r="L15" s="21"/>
      <c r="M15" s="19" t="str">
        <f>CONCATENATE("0x",DEC2HEX(_xlfn.BITAND(A6,127)))</f>
        <v>0x13</v>
      </c>
      <c r="N15" s="21"/>
      <c r="P15" s="6" t="str">
        <f>IF(C28,   X8,  X10 )</f>
        <v>SLTIU</v>
      </c>
      <c r="Q15" s="26" t="str">
        <f>IF(C28,  Y8,    IF(E28, Y10, " "))</f>
        <v>X15, X15, 0x1</v>
      </c>
      <c r="R15" s="26"/>
      <c r="S15" s="26"/>
      <c r="U15" s="26" t="s">
        <v>53</v>
      </c>
      <c r="V15" s="26"/>
      <c r="W15" s="26"/>
    </row>
    <row r="16" spans="1:25" x14ac:dyDescent="0.25">
      <c r="D16" s="8"/>
      <c r="E16" s="8"/>
      <c r="F16" s="8"/>
      <c r="G16" s="8"/>
      <c r="U16" s="26" t="s">
        <v>54</v>
      </c>
      <c r="V16" s="26"/>
      <c r="W16" s="26"/>
    </row>
    <row r="17" spans="3:25" x14ac:dyDescent="0.25">
      <c r="D17" s="29" t="s">
        <v>32</v>
      </c>
      <c r="E17" s="29"/>
      <c r="F17" s="23" t="s">
        <v>27</v>
      </c>
      <c r="G17" s="23"/>
      <c r="H17" s="25" t="s">
        <v>28</v>
      </c>
      <c r="I17" s="25"/>
      <c r="J17" s="10" t="s">
        <v>7</v>
      </c>
      <c r="K17" s="28" t="s">
        <v>31</v>
      </c>
      <c r="L17" s="28"/>
      <c r="M17" s="24" t="s">
        <v>30</v>
      </c>
      <c r="N17" s="24"/>
      <c r="O17" t="str">
        <f>IF(I28,"  &lt;---- Store Instruction format",IF(O28,"JALR format"," "))</f>
        <v xml:space="preserve"> </v>
      </c>
      <c r="U17" s="26" t="s">
        <v>55</v>
      </c>
      <c r="V17" s="26"/>
      <c r="W17" s="26"/>
    </row>
    <row r="18" spans="3:25" x14ac:dyDescent="0.25">
      <c r="C18" t="s">
        <v>24</v>
      </c>
      <c r="D18" s="19">
        <f>_xlfn.BITAND(_xlfn.BITRSHIFT(A6,25),127)</f>
        <v>0</v>
      </c>
      <c r="E18" s="21"/>
      <c r="F18" s="19">
        <f>_xlfn.BITAND(_xlfn.BITRSHIFT(A6,20),15)</f>
        <v>1</v>
      </c>
      <c r="G18" s="21"/>
      <c r="H18" s="19">
        <f>_xlfn.BITAND(_xlfn.BITRSHIFT(A6,15),15)</f>
        <v>15</v>
      </c>
      <c r="I18" s="21"/>
      <c r="J18" s="7">
        <f>_xlfn.BITAND(_xlfn.BITRSHIFT(A6,12),7)</f>
        <v>3</v>
      </c>
      <c r="K18" s="19">
        <f>_xlfn.BITAND(_xlfn.BITRSHIFT(A6,7),15)</f>
        <v>15</v>
      </c>
      <c r="L18" s="21"/>
      <c r="M18" s="19" t="str">
        <f>CONCATENATE("0x",DEC2HEX(_xlfn.BITAND(A6,127)))</f>
        <v>0x13</v>
      </c>
      <c r="N18" s="21"/>
      <c r="U18" s="26" t="s">
        <v>17</v>
      </c>
      <c r="V18" s="26"/>
      <c r="W18" s="26"/>
    </row>
    <row r="19" spans="3:25" x14ac:dyDescent="0.25">
      <c r="U19" s="26" t="s">
        <v>18</v>
      </c>
      <c r="V19" s="26"/>
      <c r="W19" s="26"/>
    </row>
    <row r="20" spans="3:25" x14ac:dyDescent="0.25">
      <c r="D20" s="18" t="s">
        <v>33</v>
      </c>
      <c r="E20" s="18"/>
      <c r="F20" s="18"/>
      <c r="G20" s="18"/>
      <c r="H20" s="18"/>
      <c r="I20" s="18"/>
      <c r="J20" s="18"/>
      <c r="K20" s="27" t="s">
        <v>29</v>
      </c>
      <c r="L20" s="27"/>
      <c r="M20" s="24" t="s">
        <v>30</v>
      </c>
      <c r="N20" s="24"/>
      <c r="U20" s="26" t="s">
        <v>20</v>
      </c>
      <c r="V20" s="26"/>
      <c r="W20" s="26"/>
      <c r="X20" t="str">
        <f>IF(O28,  "JALR", "")</f>
        <v/>
      </c>
    </row>
    <row r="21" spans="3:25" x14ac:dyDescent="0.25">
      <c r="C21" t="s">
        <v>25</v>
      </c>
      <c r="D21" s="19">
        <f>_xlfn.BITAND(_xlfn.BITRSHIFT(A6,12),1048575)</f>
        <v>379</v>
      </c>
      <c r="E21" s="20"/>
      <c r="F21" s="20"/>
      <c r="G21" s="20"/>
      <c r="H21" s="20"/>
      <c r="I21" s="20"/>
      <c r="J21" s="21"/>
      <c r="K21" s="19">
        <f>_xlfn.BITAND(_xlfn.BITRSHIFT(A6,7),15)</f>
        <v>15</v>
      </c>
      <c r="L21" s="21"/>
      <c r="M21" s="19" t="str">
        <f>CONCATENATE("0x",DEC2HEX(_xlfn.BITAND(A6,127)))</f>
        <v>0x13</v>
      </c>
      <c r="N21" s="21"/>
      <c r="U21" s="26" t="s">
        <v>19</v>
      </c>
      <c r="V21" s="26"/>
      <c r="W21" s="26"/>
      <c r="X21" t="str">
        <f>IF(P28,  "JAL", "")</f>
        <v/>
      </c>
      <c r="Y21" t="str">
        <f>IF(P28, CONCATENATE("R",K24,", 0x", DEC2HEX(_xlfn.BITLSHIFT(E24,1)+_xlfn.BITLSHIFT(G24,11)+_xlfn.BITLSHIFT(H24,12)+_xlfn.BITLSHIFT(IF(D24, 4095,0),20)+A8)), "")</f>
        <v/>
      </c>
    </row>
    <row r="22" spans="3:25" x14ac:dyDescent="0.25">
      <c r="U22" s="26" t="s">
        <v>47</v>
      </c>
      <c r="V22" s="26"/>
      <c r="W22" s="26"/>
    </row>
    <row r="23" spans="3:25" x14ac:dyDescent="0.25">
      <c r="C23" t="s">
        <v>44</v>
      </c>
      <c r="D23" s="15" t="s">
        <v>40</v>
      </c>
      <c r="E23" s="18" t="s">
        <v>41</v>
      </c>
      <c r="F23" s="18"/>
      <c r="G23" s="15" t="s">
        <v>39</v>
      </c>
      <c r="H23" s="18" t="s">
        <v>38</v>
      </c>
      <c r="I23" s="18"/>
      <c r="J23" s="18"/>
      <c r="K23" s="27" t="s">
        <v>29</v>
      </c>
      <c r="L23" s="27"/>
      <c r="M23" s="24" t="s">
        <v>30</v>
      </c>
      <c r="N23" s="24"/>
      <c r="O23" t="str">
        <f>IF(P28,"  &lt;---- JAL format"," ")</f>
        <v xml:space="preserve"> </v>
      </c>
      <c r="U23" s="26" t="s">
        <v>48</v>
      </c>
      <c r="V23" s="26"/>
      <c r="W23" s="26"/>
    </row>
    <row r="24" spans="3:25" x14ac:dyDescent="0.25">
      <c r="D24" s="16">
        <f>_xlfn.BITAND(_xlfn.BITRSHIFT(A6,31),1)</f>
        <v>0</v>
      </c>
      <c r="E24" s="19">
        <f>_xlfn.BITAND(_xlfn.BITRSHIFT(A6,21),1023)</f>
        <v>0</v>
      </c>
      <c r="F24" s="21"/>
      <c r="G24" s="16">
        <f>_xlfn.BITAND(_xlfn.BITRSHIFT(A6,20),1)</f>
        <v>1</v>
      </c>
      <c r="H24" s="19">
        <f>_xlfn.BITAND(_xlfn.BITRSHIFT(A6,12),255)</f>
        <v>123</v>
      </c>
      <c r="I24" s="20"/>
      <c r="J24" s="21"/>
      <c r="K24" s="19">
        <f>_xlfn.BITAND(_xlfn.BITRSHIFT(A6,7),15)</f>
        <v>15</v>
      </c>
      <c r="L24" s="21"/>
      <c r="M24" s="19" t="str">
        <f>CONCATENATE("0x",DEC2HEX(_xlfn.BITAND(A6,127)))</f>
        <v>0x13</v>
      </c>
      <c r="N24" s="21"/>
      <c r="P24" s="6" t="str">
        <f>X21</f>
        <v/>
      </c>
      <c r="Q24" t="str">
        <f>Y21</f>
        <v/>
      </c>
      <c r="S24" t="str">
        <f>IF(P28, CONCATENATE("PC+4 = 0x", DEC2HEX(A8+4)," ",IF(K24=0,"NOT ", ""),"written to R",K24), "")</f>
        <v/>
      </c>
      <c r="U24" s="26" t="s">
        <v>49</v>
      </c>
      <c r="V24" s="26"/>
      <c r="W24" s="26"/>
    </row>
    <row r="26" spans="3:25" ht="15.75" thickBot="1" x14ac:dyDescent="0.3"/>
    <row r="27" spans="3:25" ht="15.75" thickBot="1" x14ac:dyDescent="0.3">
      <c r="C27" s="12" t="s">
        <v>9</v>
      </c>
      <c r="D27" s="12" t="s">
        <v>10</v>
      </c>
      <c r="E27" s="33" t="s">
        <v>11</v>
      </c>
      <c r="F27" s="33"/>
      <c r="G27" s="33"/>
      <c r="H27" s="12" t="s">
        <v>12</v>
      </c>
      <c r="I27" s="12" t="s">
        <v>13</v>
      </c>
      <c r="J27" s="12" t="s">
        <v>14</v>
      </c>
      <c r="K27" s="31" t="s">
        <v>15</v>
      </c>
      <c r="L27" s="31"/>
      <c r="M27" s="12" t="s">
        <v>17</v>
      </c>
      <c r="N27" s="12" t="s">
        <v>18</v>
      </c>
      <c r="O27" s="12" t="s">
        <v>20</v>
      </c>
      <c r="P27" s="12" t="s">
        <v>19</v>
      </c>
      <c r="Q27" s="33" t="s">
        <v>21</v>
      </c>
      <c r="R27" s="33"/>
    </row>
    <row r="28" spans="3:25" ht="15.75" thickBot="1" x14ac:dyDescent="0.3">
      <c r="C28" s="13" t="b">
        <f>AND((M8=0),(N8&lt;&gt;7),(O8=3))</f>
        <v>0</v>
      </c>
      <c r="D28" s="13" t="b">
        <f>AND((M8=3),(N8&lt;&gt;7),(O8=3))</f>
        <v>0</v>
      </c>
      <c r="E28" s="32" t="b">
        <f>AND((M8=4),(N8&lt;&gt;7),(O8=3))</f>
        <v>1</v>
      </c>
      <c r="F28" s="32"/>
      <c r="G28" s="32"/>
      <c r="H28" s="13" t="b">
        <f>AND((M8=5),(N8&lt;&gt;7),(O8=3))</f>
        <v>0</v>
      </c>
      <c r="I28" s="13" t="b">
        <f>AND((M8=8),(N8&lt;&gt;7),(O8=3))</f>
        <v>0</v>
      </c>
      <c r="J28" s="13" t="b">
        <f>AND((M8=11),(N8&lt;&gt;7),(O8=3))</f>
        <v>0</v>
      </c>
      <c r="K28" s="32" t="b">
        <f>AND((B8=12),(M8&lt;&gt;7),(N8=3))</f>
        <v>0</v>
      </c>
      <c r="L28" s="32"/>
      <c r="M28" s="13" t="b">
        <f>AND((M8=13),(N8&lt;&gt;7),(O8=3))</f>
        <v>0</v>
      </c>
      <c r="N28" s="13" t="b">
        <f>AND((M8=24),(N8&lt;&gt;7),(O8=3))</f>
        <v>0</v>
      </c>
      <c r="O28" s="13" t="b">
        <f>AND((M8=25),(N8&lt;&gt;7),(O8=3))</f>
        <v>0</v>
      </c>
      <c r="P28" s="13" t="b">
        <f>AND((M8=27),(N8&lt;&gt;7),(O8=3))</f>
        <v>0</v>
      </c>
      <c r="Q28" s="32" t="b">
        <f>AND((M8=28),(N8&lt;&gt;7),(O8=3))</f>
        <v>0</v>
      </c>
      <c r="R28" s="32"/>
    </row>
    <row r="31" spans="3:25" x14ac:dyDescent="0.25">
      <c r="D31" s="14"/>
      <c r="E31" s="14"/>
      <c r="F31" s="14"/>
    </row>
  </sheetData>
  <mergeCells count="66">
    <mergeCell ref="U22:W22"/>
    <mergeCell ref="U23:W23"/>
    <mergeCell ref="U24:W24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Q15:S15"/>
    <mergeCell ref="K27:L27"/>
    <mergeCell ref="K28:L28"/>
    <mergeCell ref="E27:G27"/>
    <mergeCell ref="E28:G28"/>
    <mergeCell ref="Q28:R28"/>
    <mergeCell ref="Q27:R27"/>
    <mergeCell ref="H15:I15"/>
    <mergeCell ref="H17:I17"/>
    <mergeCell ref="H18:I18"/>
    <mergeCell ref="M20:N20"/>
    <mergeCell ref="M21:N21"/>
    <mergeCell ref="M23:N23"/>
    <mergeCell ref="M24:N24"/>
    <mergeCell ref="K23:L23"/>
    <mergeCell ref="K24:L24"/>
    <mergeCell ref="K11:L11"/>
    <mergeCell ref="K12:L12"/>
    <mergeCell ref="K15:L15"/>
    <mergeCell ref="K17:L17"/>
    <mergeCell ref="K20:L20"/>
    <mergeCell ref="K21:L21"/>
    <mergeCell ref="K18:L18"/>
    <mergeCell ref="H11:I11"/>
    <mergeCell ref="D17:E17"/>
    <mergeCell ref="D21:J21"/>
    <mergeCell ref="D18:E18"/>
    <mergeCell ref="D20:J20"/>
    <mergeCell ref="F18:G18"/>
    <mergeCell ref="D14:G14"/>
    <mergeCell ref="D15:G15"/>
    <mergeCell ref="M14:N14"/>
    <mergeCell ref="M15:N15"/>
    <mergeCell ref="M18:N18"/>
    <mergeCell ref="M17:N17"/>
    <mergeCell ref="F17:G17"/>
    <mergeCell ref="H14:I14"/>
    <mergeCell ref="D11:E11"/>
    <mergeCell ref="F11:G11"/>
    <mergeCell ref="F12:G12"/>
    <mergeCell ref="M11:N11"/>
    <mergeCell ref="M12:N12"/>
    <mergeCell ref="H12:I12"/>
    <mergeCell ref="H23:J23"/>
    <mergeCell ref="H24:J24"/>
    <mergeCell ref="E23:F23"/>
    <mergeCell ref="E24:F24"/>
    <mergeCell ref="D12:E12"/>
  </mergeCells>
  <conditionalFormatting sqref="E28:G28">
    <cfRule type="cellIs" dxfId="0" priority="15" operator="equal">
      <formula>TRUE</formula>
    </cfRule>
    <cfRule type="cellIs" dxfId="1" priority="16" operator="equal">
      <formula>1</formula>
    </cfRule>
    <cfRule type="cellIs" dxfId="2" priority="3" operator="equal">
      <formula>"E28"</formula>
    </cfRule>
  </conditionalFormatting>
  <conditionalFormatting sqref="D28">
    <cfRule type="cellIs" dxfId="26" priority="14" operator="equal">
      <formula>TRUE</formula>
    </cfRule>
  </conditionalFormatting>
  <conditionalFormatting sqref="C28">
    <cfRule type="cellIs" dxfId="25" priority="13" operator="equal">
      <formula>TRUE</formula>
    </cfRule>
  </conditionalFormatting>
  <conditionalFormatting sqref="H28">
    <cfRule type="cellIs" dxfId="24" priority="12" operator="equal">
      <formula>TRUE</formula>
    </cfRule>
  </conditionalFormatting>
  <conditionalFormatting sqref="I28">
    <cfRule type="cellIs" dxfId="23" priority="11" operator="equal">
      <formula>TRUE</formula>
    </cfRule>
  </conditionalFormatting>
  <conditionalFormatting sqref="J28">
    <cfRule type="cellIs" dxfId="22" priority="10" operator="equal">
      <formula>TRUE</formula>
    </cfRule>
  </conditionalFormatting>
  <conditionalFormatting sqref="K28:L28">
    <cfRule type="cellIs" dxfId="21" priority="9" operator="equal">
      <formula>TRUE</formula>
    </cfRule>
  </conditionalFormatting>
  <conditionalFormatting sqref="M28">
    <cfRule type="cellIs" dxfId="20" priority="8" operator="equal">
      <formula>TRUE</formula>
    </cfRule>
  </conditionalFormatting>
  <conditionalFormatting sqref="N28">
    <cfRule type="cellIs" dxfId="19" priority="7" operator="equal">
      <formula>TRUE</formula>
    </cfRule>
  </conditionalFormatting>
  <conditionalFormatting sqref="O28">
    <cfRule type="cellIs" dxfId="18" priority="6" operator="equal">
      <formula>TRUE</formula>
    </cfRule>
  </conditionalFormatting>
  <conditionalFormatting sqref="P28">
    <cfRule type="cellIs" dxfId="17" priority="5" operator="equal">
      <formula>TRUE</formula>
    </cfRule>
  </conditionalFormatting>
  <conditionalFormatting sqref="Q28:R28">
    <cfRule type="cellIs" dxfId="16" priority="4" operator="equal">
      <formula>TRUE</formula>
    </cfRule>
  </conditionalFormatting>
  <conditionalFormatting sqref="U10:W10">
    <cfRule type="expression" priority="2">
      <formula>"E28=TRUE"</formula>
    </cfRule>
    <cfRule type="expression" priority="1">
      <formula>E28=TRUE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2020-09-27T22:12:41Z</dcterms:created>
  <dcterms:modified xsi:type="dcterms:W3CDTF">2020-11-07T04:26:42Z</dcterms:modified>
</cp:coreProperties>
</file>