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758ab0c28f1c7c/Documents/"/>
    </mc:Choice>
  </mc:AlternateContent>
  <xr:revisionPtr revIDLastSave="67" documentId="8_{2E9AC989-DC8B-44CB-BF92-8EDAA4485F43}" xr6:coauthVersionLast="45" xr6:coauthVersionMax="45" xr10:uidLastSave="{518BEB15-6E43-4885-B6F6-477EE5D19450}"/>
  <bookViews>
    <workbookView xWindow="-23136" yWindow="-96" windowWidth="23232" windowHeight="12696" xr2:uid="{B4C29C5E-CB8B-4C26-AAD8-BB587B9777A6}"/>
  </bookViews>
  <sheets>
    <sheet name="S-RIM" sheetId="1" r:id="rId1"/>
    <sheet name="관심 종목 ROE" sheetId="10" r:id="rId2"/>
    <sheet name="채권 금리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C18" i="1" l="1"/>
  <c r="F16" i="1" l="1"/>
  <c r="E12" i="1"/>
  <c r="E11" i="1"/>
  <c r="E10" i="1"/>
  <c r="E9" i="1"/>
  <c r="E8" i="1"/>
  <c r="E7" i="1"/>
  <c r="E6" i="1"/>
  <c r="E5" i="1"/>
  <c r="C12" i="1"/>
  <c r="C11" i="1"/>
  <c r="C10" i="1"/>
  <c r="C9" i="1"/>
  <c r="C8" i="1"/>
  <c r="C7" i="1"/>
  <c r="C6" i="1"/>
  <c r="C5" i="1"/>
  <c r="E13" i="1" l="1"/>
  <c r="C13" i="1"/>
  <c r="C21" i="1" s="1"/>
  <c r="B27" i="1"/>
  <c r="B12" i="1"/>
  <c r="B11" i="1"/>
  <c r="B10" i="1"/>
  <c r="B9" i="1"/>
  <c r="B8" i="1"/>
  <c r="B7" i="1"/>
  <c r="B6" i="1"/>
  <c r="B5" i="1"/>
  <c r="D19" i="1" l="1"/>
  <c r="C26" i="1"/>
  <c r="C27" i="1"/>
</calcChain>
</file>

<file path=xl/sharedStrings.xml><?xml version="1.0" encoding="utf-8"?>
<sst xmlns="http://schemas.openxmlformats.org/spreadsheetml/2006/main" count="78" uniqueCount="47">
  <si>
    <t>발행주식수(보통주)</t>
  </si>
  <si>
    <t>주요재무정보</t>
  </si>
  <si>
    <t>(IFRS연결)</t>
  </si>
  <si>
    <t>2020/12(E)</t>
  </si>
  <si>
    <t>2021/12(E)</t>
  </si>
  <si>
    <t>2022/12(E)</t>
  </si>
  <si>
    <t>네이버</t>
    <phoneticPr fontId="1" type="noConversion"/>
  </si>
  <si>
    <t>항목명</t>
    <phoneticPr fontId="1" type="noConversion"/>
  </si>
  <si>
    <t>20.04.13</t>
    <phoneticPr fontId="1" type="noConversion"/>
  </si>
  <si>
    <t>회사채 :  등급 BBB- 5년 (%)</t>
    <phoneticPr fontId="1" type="noConversion"/>
  </si>
  <si>
    <t>구분</t>
  </si>
  <si>
    <t>가중평균</t>
  </si>
  <si>
    <t>ROE</t>
    <phoneticPr fontId="1" type="noConversion"/>
  </si>
  <si>
    <t>PER</t>
    <phoneticPr fontId="1" type="noConversion"/>
  </si>
  <si>
    <t>PBR</t>
    <phoneticPr fontId="1" type="noConversion"/>
  </si>
  <si>
    <t>연간 ROE</t>
    <phoneticPr fontId="1" type="noConversion"/>
  </si>
  <si>
    <t>연간 자본총계(지배) : (억원)</t>
    <phoneticPr fontId="1" type="noConversion"/>
  </si>
  <si>
    <r>
      <rPr>
        <sz val="11"/>
        <color theme="1"/>
        <rFont val="맑은 고딕"/>
        <family val="2"/>
        <charset val="129"/>
      </rPr>
      <t>가중치</t>
    </r>
    <phoneticPr fontId="1" type="noConversion"/>
  </si>
  <si>
    <r>
      <rPr>
        <sz val="11"/>
        <color theme="1"/>
        <rFont val="맑은 고딕"/>
        <family val="2"/>
        <charset val="129"/>
      </rPr>
      <t>자기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자본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2"/>
        <charset val="129"/>
      </rPr>
      <t>억원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</si>
  <si>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맑은 고딕"/>
        <family val="2"/>
        <charset val="129"/>
      </rPr>
      <t>종목명</t>
    </r>
    <phoneticPr fontId="1" type="noConversion"/>
  </si>
  <si>
    <r>
      <rPr>
        <sz val="11"/>
        <color theme="1"/>
        <rFont val="맑은 고딕"/>
        <family val="2"/>
        <charset val="129"/>
      </rPr>
      <t>구분</t>
    </r>
    <phoneticPr fontId="1" type="noConversion"/>
  </si>
  <si>
    <r>
      <rPr>
        <sz val="11"/>
        <color theme="1"/>
        <rFont val="맑은 고딕"/>
        <family val="2"/>
        <charset val="129"/>
      </rPr>
      <t>비고</t>
    </r>
    <phoneticPr fontId="1" type="noConversion"/>
  </si>
  <si>
    <r>
      <rPr>
        <sz val="11"/>
        <color theme="1"/>
        <rFont val="맑은 고딕"/>
        <family val="2"/>
        <charset val="129"/>
      </rPr>
      <t>기대수익률</t>
    </r>
    <phoneticPr fontId="1" type="noConversion"/>
  </si>
  <si>
    <r>
      <rPr>
        <sz val="11"/>
        <color theme="1"/>
        <rFont val="맑은 고딕"/>
        <family val="2"/>
        <charset val="129"/>
      </rPr>
      <t>등급</t>
    </r>
    <r>
      <rPr>
        <sz val="11"/>
        <color theme="1"/>
        <rFont val="Arial"/>
        <family val="2"/>
      </rPr>
      <t xml:space="preserve"> BBB- 5</t>
    </r>
    <r>
      <rPr>
        <sz val="11"/>
        <color theme="1"/>
        <rFont val="맑은 고딕"/>
        <family val="2"/>
        <charset val="129"/>
      </rPr>
      <t>년</t>
    </r>
  </si>
  <si>
    <r>
      <rPr>
        <sz val="11"/>
        <color theme="1"/>
        <rFont val="맑은 고딕"/>
        <family val="2"/>
        <charset val="129"/>
      </rPr>
      <t>현재주가</t>
    </r>
    <r>
      <rPr>
        <sz val="11"/>
        <color theme="1"/>
        <rFont val="Arial"/>
        <family val="2"/>
      </rPr>
      <t xml:space="preserve"> (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Arial"/>
        <family val="2"/>
      </rPr>
      <t>)</t>
    </r>
    <phoneticPr fontId="1" type="noConversion"/>
  </si>
  <si>
    <r>
      <t>S-RIM (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</si>
  <si>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맑은 고딕"/>
        <family val="2"/>
        <charset val="129"/>
      </rPr>
      <t>상승여력</t>
    </r>
    <r>
      <rPr>
        <sz val="11"/>
        <color theme="1"/>
        <rFont val="Arial"/>
        <family val="2"/>
      </rPr>
      <t xml:space="preserve"> (%)</t>
    </r>
  </si>
  <si>
    <t>-</t>
    <phoneticPr fontId="1" type="noConversion"/>
  </si>
  <si>
    <r>
      <rPr>
        <sz val="11"/>
        <color theme="1"/>
        <rFont val="맑은 고딕"/>
        <family val="2"/>
        <charset val="129"/>
      </rPr>
      <t>최근</t>
    </r>
    <phoneticPr fontId="1" type="noConversion"/>
  </si>
  <si>
    <r>
      <rPr>
        <sz val="11"/>
        <color theme="1"/>
        <rFont val="맑은 고딕"/>
        <family val="2"/>
        <charset val="129"/>
      </rPr>
      <t>발행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주식수</t>
    </r>
    <phoneticPr fontId="1" type="noConversion"/>
  </si>
  <si>
    <t>삼성전자</t>
    <phoneticPr fontId="1" type="noConversion"/>
  </si>
  <si>
    <t>현재 주가</t>
    <phoneticPr fontId="1" type="noConversion"/>
  </si>
  <si>
    <t>프로텍</t>
    <phoneticPr fontId="1" type="noConversion"/>
  </si>
  <si>
    <t>신대양제지</t>
    <phoneticPr fontId="1" type="noConversion"/>
  </si>
  <si>
    <r>
      <rPr>
        <sz val="11"/>
        <color theme="1"/>
        <rFont val="맑은 고딕"/>
        <family val="2"/>
        <charset val="129"/>
      </rPr>
      <t>초과이익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가정</t>
    </r>
    <phoneticPr fontId="1" type="noConversion"/>
  </si>
  <si>
    <r>
      <rPr>
        <sz val="11"/>
        <color theme="1"/>
        <rFont val="맑은 고딕"/>
        <family val="2"/>
        <charset val="129"/>
      </rPr>
      <t>영원히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지속</t>
    </r>
    <phoneticPr fontId="1" type="noConversion"/>
  </si>
  <si>
    <t>적정주가</t>
    <phoneticPr fontId="1" type="noConversion"/>
  </si>
  <si>
    <t>지속 초과이익 가정</t>
    <phoneticPr fontId="1" type="noConversion"/>
  </si>
  <si>
    <t>티씨케이</t>
    <phoneticPr fontId="1" type="noConversion"/>
  </si>
  <si>
    <r>
      <t>최근</t>
    </r>
    <r>
      <rPr>
        <sz val="11"/>
        <color theme="1"/>
        <rFont val="돋움"/>
        <family val="2"/>
        <charset val="129"/>
      </rPr>
      <t xml:space="preserve"> 자기 자본</t>
    </r>
    <phoneticPr fontId="1" type="noConversion"/>
  </si>
  <si>
    <t>아모레퍼시픽</t>
    <phoneticPr fontId="1" type="noConversion"/>
  </si>
  <si>
    <t>웹젠</t>
    <phoneticPr fontId="1" type="noConversion"/>
  </si>
  <si>
    <t>동원개발</t>
    <phoneticPr fontId="1" type="noConversion"/>
  </si>
  <si>
    <t>한국콜마홀딩스</t>
    <phoneticPr fontId="1" type="noConversion"/>
  </si>
  <si>
    <t>슈피겐코리아</t>
    <phoneticPr fontId="1" type="noConversion"/>
  </si>
  <si>
    <t>20.08.15</t>
    <phoneticPr fontId="1" type="noConversion"/>
  </si>
  <si>
    <t>20.08.15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</si>
</sst>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 "/>
    <numFmt numFmtId="177" formatCode="#,##0_);[Red]\(#,##0\)"/>
    <numFmt numFmtId="178" formatCode="yyyy&quot;년&quot;\ m&quot;월&quot;;@"/>
    <numFmt numFmtId="179" formatCode="General\%&quot;식&quot;\ &quot;변&quot;&quot;동&quot;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Tahoma"/>
      <family val="2"/>
    </font>
    <font>
      <sz val="9"/>
      <color rgb="FF3C3C3C"/>
      <name val="Dotum"/>
      <family val="3"/>
    </font>
    <font>
      <sz val="8"/>
      <color rgb="FFD40400"/>
      <name val="Tahoma"/>
      <family val="2"/>
    </font>
    <font>
      <sz val="8"/>
      <color theme="1" tint="0.14999847407452621"/>
      <name val="Dotum"/>
      <family val="3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맑은 고딕"/>
      <family val="2"/>
      <charset val="129"/>
    </font>
    <font>
      <sz val="10"/>
      <color theme="1"/>
      <name val="Arial"/>
      <family val="2"/>
    </font>
    <font>
      <sz val="11"/>
      <color theme="1"/>
      <name val="돋움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DF8CE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 style="medium">
        <color rgb="FFC5C5C5"/>
      </right>
      <top style="medium">
        <color rgb="FF666666"/>
      </top>
      <bottom/>
      <diagonal/>
    </border>
    <border>
      <left/>
      <right style="medium">
        <color rgb="FFC5C5C5"/>
      </right>
      <top/>
      <bottom/>
      <diagonal/>
    </border>
    <border>
      <left style="medium">
        <color rgb="FFC5C5C5"/>
      </left>
      <right/>
      <top style="medium">
        <color rgb="FF666666"/>
      </top>
      <bottom style="medium">
        <color rgb="FF666666"/>
      </bottom>
      <diagonal/>
    </border>
    <border>
      <left/>
      <right/>
      <top style="medium">
        <color rgb="FF666666"/>
      </top>
      <bottom style="medium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5C5C5"/>
      </right>
      <top style="medium">
        <color rgb="FF666666"/>
      </top>
      <bottom/>
      <diagonal/>
    </border>
    <border>
      <left/>
      <right style="medium">
        <color indexed="64"/>
      </right>
      <top style="medium">
        <color rgb="FF666666"/>
      </top>
      <bottom style="medium">
        <color rgb="FF666666"/>
      </bottom>
      <diagonal/>
    </border>
    <border>
      <left style="medium">
        <color indexed="64"/>
      </left>
      <right style="medium">
        <color rgb="FFC5C5C5"/>
      </right>
      <top/>
      <bottom/>
      <diagonal/>
    </border>
    <border>
      <left/>
      <right style="medium">
        <color indexed="64"/>
      </right>
      <top style="medium">
        <color rgb="FF666666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C5C5C5"/>
      </right>
      <top style="thick">
        <color rgb="FF35353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C5C5C5"/>
      </right>
      <top style="thick">
        <color rgb="FF353535"/>
      </top>
      <bottom style="thick">
        <color rgb="FFC5C5C5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3" fillId="5" borderId="1" xfId="0" applyFont="1" applyFill="1" applyBorder="1" applyAlignment="1">
      <alignment horizontal="center" vertical="center" wrapText="1"/>
    </xf>
    <xf numFmtId="17" fontId="3" fillId="5" borderId="1" xfId="0" applyNumberFormat="1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5" borderId="1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0" fillId="6" borderId="5" xfId="0" applyFill="1" applyBorder="1">
      <alignment vertical="center"/>
    </xf>
    <xf numFmtId="0" fontId="2" fillId="2" borderId="5" xfId="0" applyFont="1" applyFill="1" applyBorder="1" applyAlignment="1">
      <alignment horizontal="right" vertical="center" wrapText="1"/>
    </xf>
    <xf numFmtId="0" fontId="2" fillId="4" borderId="5" xfId="0" applyFont="1" applyFill="1" applyBorder="1" applyAlignment="1">
      <alignment horizontal="right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0" fontId="0" fillId="0" borderId="14" xfId="0" applyBorder="1">
      <alignment vertical="center"/>
    </xf>
    <xf numFmtId="0" fontId="3" fillId="3" borderId="23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6" borderId="7" xfId="0" applyFill="1" applyBorder="1">
      <alignment vertical="center"/>
    </xf>
    <xf numFmtId="0" fontId="6" fillId="0" borderId="0" xfId="0" applyFont="1" applyAlignment="1"/>
    <xf numFmtId="178" fontId="6" fillId="0" borderId="15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4" xfId="0" applyFont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>
      <alignment vertical="center"/>
    </xf>
    <xf numFmtId="0" fontId="7" fillId="0" borderId="22" xfId="0" applyFont="1" applyBorder="1" applyAlignment="1">
      <alignment horizontal="center" vertical="center"/>
    </xf>
    <xf numFmtId="0" fontId="7" fillId="0" borderId="6" xfId="0" applyFont="1" applyFill="1" applyBorder="1">
      <alignment vertical="center"/>
    </xf>
    <xf numFmtId="0" fontId="7" fillId="0" borderId="0" xfId="0" applyFont="1" applyAlignment="1"/>
    <xf numFmtId="0" fontId="7" fillId="0" borderId="13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20" xfId="0" applyFont="1" applyBorder="1">
      <alignment vertical="center"/>
    </xf>
    <xf numFmtId="0" fontId="7" fillId="6" borderId="21" xfId="0" applyFont="1" applyFill="1" applyBorder="1">
      <alignment vertical="center"/>
    </xf>
    <xf numFmtId="177" fontId="7" fillId="0" borderId="5" xfId="0" applyNumberFormat="1" applyFont="1" applyBorder="1" applyAlignment="1">
      <alignment horizontal="center" vertical="center"/>
    </xf>
    <xf numFmtId="178" fontId="9" fillId="0" borderId="15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176" fontId="7" fillId="0" borderId="0" xfId="0" applyNumberFormat="1" applyFont="1">
      <alignment vertical="center"/>
    </xf>
    <xf numFmtId="0" fontId="8" fillId="6" borderId="7" xfId="0" applyFont="1" applyFill="1" applyBorder="1">
      <alignment vertical="center"/>
    </xf>
    <xf numFmtId="0" fontId="5" fillId="5" borderId="0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right" vertical="center" wrapText="1"/>
    </xf>
    <xf numFmtId="0" fontId="7" fillId="0" borderId="24" xfId="0" applyFont="1" applyFill="1" applyBorder="1" applyAlignment="1">
      <alignment horizontal="center" vertical="center"/>
    </xf>
    <xf numFmtId="176" fontId="7" fillId="0" borderId="25" xfId="0" applyNumberFormat="1" applyFont="1" applyBorder="1">
      <alignment vertical="center"/>
    </xf>
    <xf numFmtId="0" fontId="7" fillId="0" borderId="13" xfId="0" applyFont="1" applyFill="1" applyBorder="1">
      <alignment vertical="center"/>
    </xf>
    <xf numFmtId="176" fontId="7" fillId="0" borderId="14" xfId="0" applyNumberFormat="1" applyFont="1" applyBorder="1">
      <alignment vertical="center"/>
    </xf>
    <xf numFmtId="0" fontId="7" fillId="0" borderId="15" xfId="0" applyFont="1" applyFill="1" applyBorder="1">
      <alignment vertical="center"/>
    </xf>
    <xf numFmtId="176" fontId="7" fillId="0" borderId="16" xfId="0" applyNumberFormat="1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4" fillId="2" borderId="5" xfId="0" applyFont="1" applyFill="1" applyBorder="1" applyAlignment="1">
      <alignment horizontal="right" vertical="center" wrapText="1"/>
    </xf>
    <xf numFmtId="176" fontId="0" fillId="0" borderId="16" xfId="0" applyNumberFormat="1" applyBorder="1">
      <alignment vertical="center"/>
    </xf>
    <xf numFmtId="179" fontId="0" fillId="0" borderId="20" xfId="0" applyNumberFormat="1" applyBorder="1">
      <alignment vertical="center"/>
    </xf>
    <xf numFmtId="176" fontId="0" fillId="0" borderId="22" xfId="0" applyNumberFormat="1" applyBorder="1">
      <alignment vertical="center"/>
    </xf>
    <xf numFmtId="3" fontId="2" fillId="0" borderId="5" xfId="0" applyNumberFormat="1" applyFont="1" applyBorder="1">
      <alignment vertical="center"/>
    </xf>
    <xf numFmtId="176" fontId="7" fillId="0" borderId="21" xfId="0" applyNumberFormat="1" applyFont="1" applyBorder="1" applyAlignment="1">
      <alignment horizontal="center" vertical="center"/>
    </xf>
    <xf numFmtId="0" fontId="2" fillId="2" borderId="26" xfId="0" applyFont="1" applyFill="1" applyBorder="1" applyAlignment="1">
      <alignment horizontal="right" vertical="center" wrapText="1"/>
    </xf>
    <xf numFmtId="0" fontId="2" fillId="4" borderId="26" xfId="0" applyFont="1" applyFill="1" applyBorder="1" applyAlignment="1">
      <alignment horizontal="right" vertical="center" wrapText="1"/>
    </xf>
    <xf numFmtId="3" fontId="2" fillId="0" borderId="0" xfId="0" applyNumberFormat="1" applyFont="1">
      <alignment vertical="center"/>
    </xf>
    <xf numFmtId="3" fontId="2" fillId="2" borderId="26" xfId="0" applyNumberFormat="1" applyFont="1" applyFill="1" applyBorder="1" applyAlignment="1">
      <alignment horizontal="right" vertical="center" wrapText="1"/>
    </xf>
    <xf numFmtId="3" fontId="2" fillId="4" borderId="26" xfId="0" applyNumberFormat="1" applyFont="1" applyFill="1" applyBorder="1" applyAlignment="1">
      <alignment horizontal="right" vertical="center" wrapText="1"/>
    </xf>
    <xf numFmtId="0" fontId="4" fillId="2" borderId="26" xfId="0" applyFont="1" applyFill="1" applyBorder="1" applyAlignment="1">
      <alignment horizontal="right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적정주가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'S-RIM'!$B$18:$B$19</c:f>
              <c:strCache>
                <c:ptCount val="2"/>
                <c:pt idx="0">
                  <c:v>현재주가 (원)</c:v>
                </c:pt>
                <c:pt idx="1">
                  <c:v>S-RIM (원)</c:v>
                </c:pt>
              </c:strCache>
            </c:strRef>
          </c:cat>
          <c:val>
            <c:numRef>
              <c:f>'S-RIM'!$C$18:$C$19</c:f>
              <c:numCache>
                <c:formatCode>#,##0_ </c:formatCode>
                <c:ptCount val="2"/>
                <c:pt idx="0">
                  <c:v>54900</c:v>
                </c:pt>
                <c:pt idx="1">
                  <c:v>57939.095644456589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B-4958-9D4A-E17785207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892352"/>
        <c:axId val="739898912"/>
      </c:barChart>
      <c:catAx>
        <c:axId val="73989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9898912"/>
        <c:crosses val="autoZero"/>
        <c:auto val="1"/>
        <c:lblAlgn val="ctr"/>
        <c:lblOffset val="100"/>
        <c:noMultiLvlLbl val="0"/>
      </c:catAx>
      <c:valAx>
        <c:axId val="7398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989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3</xdr:row>
      <xdr:rowOff>114300</xdr:rowOff>
    </xdr:from>
    <xdr:to>
      <xdr:col>14</xdr:col>
      <xdr:colOff>166687</xdr:colOff>
      <xdr:row>16</xdr:row>
      <xdr:rowOff>104775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FFE86E8-06F8-430B-BA09-DD564AF81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E1E1-F97E-4C23-B17F-C4B49F5CB2DD}">
  <dimension ref="B1:F27"/>
  <sheetViews>
    <sheetView tabSelected="1" topLeftCell="A5" workbookViewId="0">
      <selection activeCell="E21" sqref="E21"/>
    </sheetView>
  </sheetViews>
  <sheetFormatPr defaultRowHeight="16.5"/>
  <cols>
    <col min="2" max="2" width="13" bestFit="1" customWidth="1"/>
    <col min="3" max="3" width="12.75" bestFit="1" customWidth="1"/>
    <col min="4" max="4" width="13.875" bestFit="1" customWidth="1"/>
    <col min="5" max="5" width="20" bestFit="1" customWidth="1"/>
    <col min="6" max="6" width="13.875" bestFit="1" customWidth="1"/>
  </cols>
  <sheetData>
    <row r="1" spans="2:6" ht="17.25" thickBot="1"/>
    <row r="2" spans="2:6" ht="17.25" thickBot="1">
      <c r="B2" s="34" t="s">
        <v>19</v>
      </c>
      <c r="C2" s="46" t="s">
        <v>30</v>
      </c>
      <c r="D2" s="30"/>
      <c r="E2" s="30"/>
      <c r="F2" s="30"/>
    </row>
    <row r="3" spans="2:6" ht="17.25" thickBot="1">
      <c r="B3" s="30"/>
      <c r="C3" s="30"/>
      <c r="D3" s="30"/>
      <c r="E3" s="30"/>
      <c r="F3" s="30"/>
    </row>
    <row r="4" spans="2:6">
      <c r="B4" s="21" t="s">
        <v>10</v>
      </c>
      <c r="C4" s="26" t="s">
        <v>12</v>
      </c>
      <c r="D4" s="26" t="s">
        <v>17</v>
      </c>
      <c r="E4" s="26" t="s">
        <v>18</v>
      </c>
      <c r="F4" s="44" t="s">
        <v>21</v>
      </c>
    </row>
    <row r="5" spans="2:6">
      <c r="B5" s="25">
        <f>'관심 종목 ROE'!C3</f>
        <v>42339</v>
      </c>
      <c r="C5" s="28">
        <f>VLOOKUP($C$2, '관심 종목 ROE'!$B$5:$T$130, 2, 0)</f>
        <v>11.16</v>
      </c>
      <c r="D5" s="29">
        <v>0</v>
      </c>
      <c r="E5" s="40">
        <f>VLOOKUP(C2, '관심 종목 ROE'!B5:T130, 11, 0)</f>
        <v>1728768</v>
      </c>
      <c r="F5" s="42" t="s">
        <v>27</v>
      </c>
    </row>
    <row r="6" spans="2:6">
      <c r="B6" s="25">
        <f>'관심 종목 ROE'!D3</f>
        <v>42705</v>
      </c>
      <c r="C6" s="28">
        <f>VLOOKUP($C$2, '관심 종목 ROE'!$B$5:$T$130, 3, 0)</f>
        <v>12.48</v>
      </c>
      <c r="D6" s="29">
        <v>0</v>
      </c>
      <c r="E6" s="40">
        <f>VLOOKUP(C2, '관심 종목 ROE'!B5:T130, 12, 0)</f>
        <v>1864243</v>
      </c>
      <c r="F6" s="42" t="s">
        <v>27</v>
      </c>
    </row>
    <row r="7" spans="2:6">
      <c r="B7" s="25">
        <f>'관심 종목 ROE'!E3</f>
        <v>43070</v>
      </c>
      <c r="C7" s="28">
        <f>VLOOKUP($C$2, '관심 종목 ROE'!$B$5:$T$130, 4, 0)</f>
        <v>21.01</v>
      </c>
      <c r="D7" s="29">
        <v>1</v>
      </c>
      <c r="E7" s="40">
        <f>VLOOKUP(C2, '관심 종목 ROE'!B5:T130, 13, 0)</f>
        <v>2072134</v>
      </c>
      <c r="F7" s="42" t="s">
        <v>27</v>
      </c>
    </row>
    <row r="8" spans="2:6">
      <c r="B8" s="25">
        <f>'관심 종목 ROE'!F3</f>
        <v>43435</v>
      </c>
      <c r="C8" s="28">
        <f>VLOOKUP($C$2, '관심 종목 ROE'!$B$5:$T$130, 5, 0)</f>
        <v>19.63</v>
      </c>
      <c r="D8" s="29">
        <v>2</v>
      </c>
      <c r="E8" s="40">
        <f>VLOOKUP(C2, '관심 종목 ROE'!B5:T130, 14, 0)</f>
        <v>2400690</v>
      </c>
      <c r="F8" s="42" t="s">
        <v>27</v>
      </c>
    </row>
    <row r="9" spans="2:6">
      <c r="B9" s="25">
        <f>'관심 종목 ROE'!G3</f>
        <v>43800</v>
      </c>
      <c r="C9" s="28">
        <f>VLOOKUP($C$2, '관심 종목 ROE'!$B$5:$T$130, 6, 0)</f>
        <v>8.69</v>
      </c>
      <c r="D9" s="29">
        <v>3</v>
      </c>
      <c r="E9" s="40">
        <f>VLOOKUP(C2, '관심 종목 ROE'!B5:T130, 15, 0)</f>
        <v>2549155</v>
      </c>
      <c r="F9" s="42" t="s">
        <v>28</v>
      </c>
    </row>
    <row r="10" spans="2:6">
      <c r="B10" s="41" t="str">
        <f>'관심 종목 ROE'!H3</f>
        <v>2020/12(E)</v>
      </c>
      <c r="C10" s="28">
        <f>VLOOKUP($C$2, '관심 종목 ROE'!$B$5:$T$130, 7, 0)</f>
        <v>10.09</v>
      </c>
      <c r="D10" s="28" t="s">
        <v>27</v>
      </c>
      <c r="E10" s="43">
        <f>VLOOKUP(C2, '관심 종목 ROE'!B5:T130, 16, 0)</f>
        <v>2721821</v>
      </c>
      <c r="F10" s="42" t="s">
        <v>27</v>
      </c>
    </row>
    <row r="11" spans="2:6">
      <c r="B11" s="41" t="str">
        <f>'관심 종목 ROE'!I3</f>
        <v>2021/12(E)</v>
      </c>
      <c r="C11" s="28">
        <f>VLOOKUP($C$2, '관심 종목 ROE'!$B$5:$T$130, 8, 0)</f>
        <v>12.97</v>
      </c>
      <c r="D11" s="28" t="s">
        <v>27</v>
      </c>
      <c r="E11" s="43">
        <f>VLOOKUP(C2, '관심 종목 ROE'!B5:T130, 17, 0)</f>
        <v>2985365</v>
      </c>
      <c r="F11" s="42" t="s">
        <v>27</v>
      </c>
    </row>
    <row r="12" spans="2:6">
      <c r="B12" s="41" t="str">
        <f>'관심 종목 ROE'!J3</f>
        <v>2022/12(E)</v>
      </c>
      <c r="C12" s="28">
        <f>VLOOKUP($C$2, '관심 종목 ROE'!$B$5:$T$130, 9, 0)</f>
        <v>13.1</v>
      </c>
      <c r="D12" s="28" t="s">
        <v>27</v>
      </c>
      <c r="E12" s="43">
        <f>VLOOKUP(C2, '관심 종목 ROE'!B5:T130, 18, 0)</f>
        <v>3274660</v>
      </c>
      <c r="F12" s="42" t="s">
        <v>27</v>
      </c>
    </row>
    <row r="13" spans="2:6" ht="17.25" thickBot="1">
      <c r="B13" s="22" t="s">
        <v>11</v>
      </c>
      <c r="C13" s="31">
        <f>IF(C10&lt;&gt;0,C10,(C9*D9+C8*D8+C7*D7+C6*D6+C5*D5)/SUM(D5:D9))</f>
        <v>10.09</v>
      </c>
      <c r="D13" s="31" t="s">
        <v>39</v>
      </c>
      <c r="E13" s="62">
        <f>IF(E10&lt;&gt;0, E10, E9)</f>
        <v>2721821</v>
      </c>
      <c r="F13" s="33" t="s">
        <v>27</v>
      </c>
    </row>
    <row r="14" spans="2:6" ht="17.25" thickBot="1">
      <c r="B14" s="30"/>
      <c r="C14" s="30"/>
      <c r="D14" s="30"/>
      <c r="F14" s="30"/>
    </row>
    <row r="15" spans="2:6">
      <c r="B15" s="36" t="s">
        <v>20</v>
      </c>
      <c r="C15" s="37" t="s">
        <v>45</v>
      </c>
      <c r="D15" s="27" t="s">
        <v>21</v>
      </c>
      <c r="E15" s="30"/>
      <c r="F15" s="49" t="s">
        <v>29</v>
      </c>
    </row>
    <row r="16" spans="2:6" ht="17.25" thickBot="1">
      <c r="B16" s="38" t="s">
        <v>22</v>
      </c>
      <c r="C16" s="39">
        <v>7.94</v>
      </c>
      <c r="D16" s="32" t="s">
        <v>23</v>
      </c>
      <c r="E16" s="30"/>
      <c r="F16" s="50">
        <f>VLOOKUP(C2, '관심 종목 ROE'!$B$5:$T$130, 10, 0)</f>
        <v>5969782550</v>
      </c>
    </row>
    <row r="17" spans="2:6" ht="17.25" thickBot="1">
      <c r="B17" s="24"/>
      <c r="C17" s="24"/>
      <c r="D17" s="35"/>
      <c r="E17" s="30"/>
      <c r="F17" s="30"/>
    </row>
    <row r="18" spans="2:6">
      <c r="B18" s="51" t="s">
        <v>24</v>
      </c>
      <c r="C18" s="52">
        <f>VLOOKUP(C2, '관심 종목 ROE'!B5:T130, 19, 0)</f>
        <v>54900</v>
      </c>
      <c r="D18" s="30"/>
      <c r="E18" s="30"/>
      <c r="F18" s="30"/>
    </row>
    <row r="19" spans="2:6">
      <c r="B19" s="53" t="s">
        <v>25</v>
      </c>
      <c r="C19" s="54">
        <f>(E13*100000000 + (E13*100000000 * (C13 - C16)) / C16) / $F$16</f>
        <v>57939.095644456589</v>
      </c>
      <c r="D19" s="30">
        <f>(E13*100000000 + (E13*100000000 * (C13 - C16)) / C16)</f>
        <v>345883802141057.94</v>
      </c>
      <c r="E19" s="45"/>
      <c r="F19" s="30"/>
    </row>
    <row r="20" spans="2:6">
      <c r="B20" s="55" t="s">
        <v>26</v>
      </c>
      <c r="C20" s="56"/>
      <c r="D20" s="30"/>
      <c r="E20" s="30"/>
      <c r="F20" s="30"/>
    </row>
    <row r="21" spans="2:6">
      <c r="B21" s="55" t="s">
        <v>12</v>
      </c>
      <c r="C21" s="56">
        <f>C13</f>
        <v>10.09</v>
      </c>
      <c r="D21" s="30"/>
      <c r="E21" s="30"/>
      <c r="F21" s="30"/>
    </row>
    <row r="22" spans="2:6">
      <c r="B22" s="55" t="s">
        <v>13</v>
      </c>
      <c r="C22" s="56"/>
      <c r="D22" s="30"/>
      <c r="E22" s="30"/>
      <c r="F22" s="30"/>
    </row>
    <row r="23" spans="2:6" ht="17.25" thickBot="1">
      <c r="B23" s="38" t="s">
        <v>14</v>
      </c>
      <c r="C23" s="32"/>
      <c r="D23" s="30"/>
      <c r="E23" s="30"/>
      <c r="F23" s="30"/>
    </row>
    <row r="24" spans="2:6" ht="17.25" thickBot="1"/>
    <row r="25" spans="2:6" ht="17.25" thickBot="1">
      <c r="B25" s="51" t="s">
        <v>34</v>
      </c>
      <c r="C25" s="19" t="s">
        <v>36</v>
      </c>
      <c r="E25" s="4" t="s">
        <v>37</v>
      </c>
      <c r="F25" s="23">
        <v>0.9</v>
      </c>
    </row>
    <row r="26" spans="2:6">
      <c r="B26" s="53" t="s">
        <v>35</v>
      </c>
      <c r="C26" s="58">
        <f>C19</f>
        <v>57939.095644456589</v>
      </c>
    </row>
    <row r="27" spans="2:6" ht="17.25" thickBot="1">
      <c r="B27" s="59">
        <f>F25 * 100 - 100</f>
        <v>-10</v>
      </c>
      <c r="C27" s="60">
        <f>(E13 * 100000000+(E13 * 100000000 * (C13 - C16)) * F25 / (1 + C16 - F25)) / $F$16</f>
        <v>56566.317122075794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D3A00-02F0-4941-9C53-1667B80A66FE}">
  <dimension ref="B1:T130"/>
  <sheetViews>
    <sheetView workbookViewId="0">
      <selection activeCell="H6" sqref="H6"/>
    </sheetView>
  </sheetViews>
  <sheetFormatPr defaultRowHeight="16.5"/>
  <cols>
    <col min="2" max="2" width="13" bestFit="1" customWidth="1"/>
    <col min="11" max="11" width="10.5" bestFit="1" customWidth="1"/>
  </cols>
  <sheetData>
    <row r="1" spans="2:20" ht="17.25" thickBot="1"/>
    <row r="2" spans="2:20" ht="17.25" thickBot="1">
      <c r="B2" s="69" t="s">
        <v>1</v>
      </c>
      <c r="C2" s="71" t="s">
        <v>15</v>
      </c>
      <c r="D2" s="72"/>
      <c r="E2" s="72"/>
      <c r="F2" s="72"/>
      <c r="G2" s="72"/>
      <c r="H2" s="72"/>
      <c r="I2" s="72"/>
      <c r="J2" s="73"/>
      <c r="L2" s="71" t="s">
        <v>16</v>
      </c>
      <c r="M2" s="72"/>
      <c r="N2" s="72"/>
      <c r="O2" s="72"/>
      <c r="P2" s="72"/>
      <c r="Q2" s="72"/>
      <c r="R2" s="72"/>
      <c r="S2" s="73"/>
    </row>
    <row r="3" spans="2:20" ht="17.25" thickBot="1">
      <c r="B3" s="70"/>
      <c r="C3" s="2">
        <v>42339</v>
      </c>
      <c r="D3" s="2">
        <v>42705</v>
      </c>
      <c r="E3" s="2">
        <v>43070</v>
      </c>
      <c r="F3" s="2">
        <v>43435</v>
      </c>
      <c r="G3" s="2">
        <v>43800</v>
      </c>
      <c r="H3" s="1" t="s">
        <v>3</v>
      </c>
      <c r="I3" s="1" t="s">
        <v>4</v>
      </c>
      <c r="J3" s="5" t="s">
        <v>5</v>
      </c>
      <c r="L3" s="2">
        <v>42339</v>
      </c>
      <c r="M3" s="2">
        <v>42705</v>
      </c>
      <c r="N3" s="2">
        <v>43070</v>
      </c>
      <c r="O3" s="2">
        <v>43435</v>
      </c>
      <c r="P3" s="2">
        <v>43800</v>
      </c>
      <c r="Q3" s="1" t="s">
        <v>3</v>
      </c>
      <c r="R3" s="1" t="s">
        <v>4</v>
      </c>
      <c r="S3" s="5" t="s">
        <v>5</v>
      </c>
    </row>
    <row r="4" spans="2:20" ht="23.25" thickTop="1">
      <c r="B4" s="70"/>
      <c r="C4" s="13" t="s">
        <v>2</v>
      </c>
      <c r="D4" s="13" t="s">
        <v>2</v>
      </c>
      <c r="E4" s="13" t="s">
        <v>2</v>
      </c>
      <c r="F4" s="13" t="s">
        <v>2</v>
      </c>
      <c r="G4" s="13" t="s">
        <v>2</v>
      </c>
      <c r="H4" s="13" t="s">
        <v>2</v>
      </c>
      <c r="I4" s="13" t="s">
        <v>2</v>
      </c>
      <c r="J4" s="14" t="s">
        <v>2</v>
      </c>
      <c r="K4" s="20" t="s">
        <v>0</v>
      </c>
      <c r="L4" s="13" t="s">
        <v>2</v>
      </c>
      <c r="M4" s="13" t="s">
        <v>2</v>
      </c>
      <c r="N4" s="13" t="s">
        <v>2</v>
      </c>
      <c r="O4" s="13" t="s">
        <v>2</v>
      </c>
      <c r="P4" s="13" t="s">
        <v>2</v>
      </c>
      <c r="Q4" s="13" t="s">
        <v>2</v>
      </c>
      <c r="R4" s="13" t="s">
        <v>2</v>
      </c>
      <c r="S4" s="14" t="s">
        <v>2</v>
      </c>
      <c r="T4" s="47" t="s">
        <v>31</v>
      </c>
    </row>
    <row r="5" spans="2:20">
      <c r="B5" s="15" t="s">
        <v>6</v>
      </c>
      <c r="C5" s="16">
        <v>26.46</v>
      </c>
      <c r="D5" s="16">
        <v>26.2</v>
      </c>
      <c r="E5" s="16">
        <v>18.5</v>
      </c>
      <c r="F5" s="16">
        <v>12.97</v>
      </c>
      <c r="G5" s="16">
        <v>10.56</v>
      </c>
      <c r="H5" s="17">
        <v>14.17</v>
      </c>
      <c r="I5" s="17">
        <v>14.24</v>
      </c>
      <c r="J5" s="17">
        <v>17.440000000000001</v>
      </c>
      <c r="K5" s="18">
        <v>164813395</v>
      </c>
      <c r="L5" s="18">
        <v>21245</v>
      </c>
      <c r="M5" s="18">
        <v>35947</v>
      </c>
      <c r="N5" s="18">
        <v>47623</v>
      </c>
      <c r="O5" s="18">
        <v>52403</v>
      </c>
      <c r="P5" s="18">
        <v>58052</v>
      </c>
      <c r="Q5" s="48">
        <v>65892</v>
      </c>
      <c r="R5" s="48">
        <v>73373</v>
      </c>
      <c r="S5" s="48">
        <v>86461</v>
      </c>
      <c r="T5" s="48">
        <v>168500</v>
      </c>
    </row>
    <row r="6" spans="2:20">
      <c r="B6" s="15" t="s">
        <v>30</v>
      </c>
      <c r="C6" s="16">
        <v>11.16</v>
      </c>
      <c r="D6" s="16">
        <v>12.48</v>
      </c>
      <c r="E6" s="16">
        <v>21.01</v>
      </c>
      <c r="F6" s="16">
        <v>19.63</v>
      </c>
      <c r="G6" s="16">
        <v>8.69</v>
      </c>
      <c r="H6" s="17">
        <v>10.09</v>
      </c>
      <c r="I6" s="17">
        <v>12.97</v>
      </c>
      <c r="J6" s="17">
        <v>13.1</v>
      </c>
      <c r="K6" s="18">
        <v>5969782550</v>
      </c>
      <c r="L6" s="18">
        <v>1728768</v>
      </c>
      <c r="M6" s="18">
        <v>1864243</v>
      </c>
      <c r="N6" s="18">
        <v>2072134</v>
      </c>
      <c r="O6" s="18">
        <v>2400690</v>
      </c>
      <c r="P6" s="18">
        <v>2549155</v>
      </c>
      <c r="Q6" s="48">
        <v>2721821</v>
      </c>
      <c r="R6" s="48">
        <v>2985365</v>
      </c>
      <c r="S6" s="48">
        <v>3274660</v>
      </c>
      <c r="T6" s="48">
        <v>54900</v>
      </c>
    </row>
    <row r="7" spans="2:20">
      <c r="B7" s="15" t="s">
        <v>38</v>
      </c>
      <c r="C7" s="16">
        <v>14.93</v>
      </c>
      <c r="D7" s="16">
        <v>21.86</v>
      </c>
      <c r="E7" s="16">
        <v>28.75</v>
      </c>
      <c r="F7" s="16">
        <v>28.43</v>
      </c>
      <c r="G7" s="16">
        <v>23.15</v>
      </c>
      <c r="H7" s="17">
        <v>23.48</v>
      </c>
      <c r="I7" s="17">
        <v>23.44</v>
      </c>
      <c r="J7" s="17">
        <v>21.84</v>
      </c>
      <c r="K7" s="61">
        <v>11675000</v>
      </c>
      <c r="L7" s="16">
        <v>940</v>
      </c>
      <c r="M7" s="18">
        <v>1140</v>
      </c>
      <c r="N7" s="18">
        <v>1455</v>
      </c>
      <c r="O7" s="18">
        <v>1841</v>
      </c>
      <c r="P7" s="18">
        <v>2205</v>
      </c>
      <c r="Q7" s="48">
        <v>2664</v>
      </c>
      <c r="R7" s="48">
        <v>3190</v>
      </c>
      <c r="S7" s="48">
        <v>3860</v>
      </c>
      <c r="T7" s="48">
        <v>70500</v>
      </c>
    </row>
    <row r="8" spans="2:20">
      <c r="B8" s="15" t="s">
        <v>33</v>
      </c>
      <c r="C8" s="57">
        <v>-8.6999999999999993</v>
      </c>
      <c r="D8" s="16">
        <v>6.37</v>
      </c>
      <c r="E8" s="16">
        <v>10.37</v>
      </c>
      <c r="F8" s="16">
        <v>24.79</v>
      </c>
      <c r="G8" s="16">
        <v>14.26</v>
      </c>
      <c r="H8" s="3"/>
      <c r="I8" s="3"/>
      <c r="J8" s="3"/>
      <c r="K8" s="18">
        <v>4029782</v>
      </c>
      <c r="L8" s="18">
        <v>2373</v>
      </c>
      <c r="M8" s="18">
        <v>2519</v>
      </c>
      <c r="N8" s="18">
        <v>2753</v>
      </c>
      <c r="O8" s="18">
        <v>3644</v>
      </c>
      <c r="P8" s="18">
        <v>4184</v>
      </c>
      <c r="Q8" s="3"/>
      <c r="R8" s="3"/>
      <c r="S8" s="3"/>
      <c r="T8" s="48">
        <v>55300</v>
      </c>
    </row>
    <row r="9" spans="2:20" ht="17.25" thickBot="1">
      <c r="B9" s="15" t="s">
        <v>32</v>
      </c>
      <c r="C9" s="16">
        <v>10.48</v>
      </c>
      <c r="D9" s="16">
        <v>11.58</v>
      </c>
      <c r="E9" s="16">
        <v>19.78</v>
      </c>
      <c r="F9" s="16">
        <v>16.670000000000002</v>
      </c>
      <c r="G9" s="16">
        <v>19.940000000000001</v>
      </c>
      <c r="H9" s="3"/>
      <c r="I9" s="3"/>
      <c r="J9" s="3"/>
      <c r="K9" s="18">
        <v>11000000</v>
      </c>
      <c r="L9" s="18">
        <v>1069</v>
      </c>
      <c r="M9" s="18">
        <v>1204</v>
      </c>
      <c r="N9" s="18">
        <v>1457</v>
      </c>
      <c r="O9" s="18">
        <v>1655</v>
      </c>
      <c r="P9" s="18">
        <v>2068</v>
      </c>
      <c r="Q9" s="3"/>
      <c r="R9" s="3"/>
      <c r="S9" s="3"/>
      <c r="T9" s="48">
        <v>13750</v>
      </c>
    </row>
    <row r="10" spans="2:20" ht="18" thickTop="1" thickBot="1">
      <c r="B10" s="15" t="s">
        <v>40</v>
      </c>
      <c r="C10" s="63">
        <v>18.62</v>
      </c>
      <c r="D10" s="63">
        <v>17.7</v>
      </c>
      <c r="E10" s="63">
        <v>9.81</v>
      </c>
      <c r="F10" s="63">
        <v>7.75</v>
      </c>
      <c r="G10" s="63">
        <v>5.36</v>
      </c>
      <c r="H10" s="64">
        <v>6.28</v>
      </c>
      <c r="I10" s="64">
        <v>8.83</v>
      </c>
      <c r="J10" s="64">
        <v>9.5</v>
      </c>
      <c r="K10" s="65">
        <v>58458490</v>
      </c>
      <c r="L10" s="66">
        <v>33723</v>
      </c>
      <c r="M10" s="66">
        <v>38966</v>
      </c>
      <c r="N10" s="66">
        <v>41754</v>
      </c>
      <c r="O10" s="66">
        <v>44464</v>
      </c>
      <c r="P10" s="66">
        <v>44988</v>
      </c>
      <c r="Q10" s="67">
        <v>47518</v>
      </c>
      <c r="R10" s="67">
        <v>51118</v>
      </c>
      <c r="S10" s="67">
        <v>54414</v>
      </c>
      <c r="T10" s="48">
        <v>180500</v>
      </c>
    </row>
    <row r="11" spans="2:20" ht="18" thickTop="1" thickBot="1">
      <c r="B11" s="15" t="s">
        <v>41</v>
      </c>
      <c r="C11" s="63">
        <v>35.659999999999997</v>
      </c>
      <c r="D11" s="63">
        <v>20.59</v>
      </c>
      <c r="E11" s="63">
        <v>11.91</v>
      </c>
      <c r="F11" s="63">
        <v>17.28</v>
      </c>
      <c r="G11" s="63">
        <v>12.74</v>
      </c>
      <c r="H11" s="64">
        <v>13.26</v>
      </c>
      <c r="I11" s="64">
        <v>13.79</v>
      </c>
      <c r="J11" s="64">
        <v>13.68</v>
      </c>
      <c r="K11" s="66">
        <v>35310884</v>
      </c>
      <c r="L11" s="66">
        <v>1998</v>
      </c>
      <c r="M11" s="66">
        <v>2390</v>
      </c>
      <c r="N11" s="66">
        <v>2692</v>
      </c>
      <c r="O11" s="66">
        <v>3135</v>
      </c>
      <c r="P11" s="66">
        <v>3554</v>
      </c>
      <c r="Q11" s="67">
        <v>4061</v>
      </c>
      <c r="R11" s="67">
        <v>4666</v>
      </c>
      <c r="S11" s="67">
        <v>5301</v>
      </c>
      <c r="T11" s="48">
        <v>19100</v>
      </c>
    </row>
    <row r="12" spans="2:20" ht="18" thickTop="1" thickBot="1">
      <c r="B12" s="15" t="s">
        <v>42</v>
      </c>
      <c r="C12" s="63">
        <v>24.32</v>
      </c>
      <c r="D12" s="63">
        <v>21.35</v>
      </c>
      <c r="E12" s="63">
        <v>18.309999999999999</v>
      </c>
      <c r="F12" s="63">
        <v>18.79</v>
      </c>
      <c r="G12" s="63">
        <v>11.49</v>
      </c>
      <c r="H12" s="3"/>
      <c r="I12" s="3"/>
      <c r="J12" s="3"/>
      <c r="K12" s="66">
        <v>90808100</v>
      </c>
      <c r="L12" s="66">
        <v>4135</v>
      </c>
      <c r="M12" s="66">
        <v>5043</v>
      </c>
      <c r="N12" s="66">
        <v>5948</v>
      </c>
      <c r="O12" s="66">
        <v>7033</v>
      </c>
      <c r="P12" s="66">
        <v>7711</v>
      </c>
      <c r="Q12" s="3"/>
      <c r="R12" s="3"/>
      <c r="S12" s="3"/>
      <c r="T12" s="48">
        <v>3635</v>
      </c>
    </row>
    <row r="13" spans="2:20" ht="18" thickTop="1" thickBot="1">
      <c r="B13" s="15" t="s">
        <v>43</v>
      </c>
      <c r="C13" s="68">
        <v>-0.36</v>
      </c>
      <c r="D13" s="63">
        <v>15.67</v>
      </c>
      <c r="E13" s="63">
        <v>10.26</v>
      </c>
      <c r="F13" s="63">
        <v>18.57</v>
      </c>
      <c r="G13" s="63">
        <v>10.51</v>
      </c>
      <c r="H13" s="3"/>
      <c r="I13" s="3"/>
      <c r="J13" s="3"/>
      <c r="K13" s="66">
        <v>17938966</v>
      </c>
      <c r="L13" s="66">
        <v>2151</v>
      </c>
      <c r="M13" s="66">
        <v>2528</v>
      </c>
      <c r="N13" s="66">
        <v>2938</v>
      </c>
      <c r="O13" s="66">
        <v>3814</v>
      </c>
      <c r="P13" s="66">
        <v>4485</v>
      </c>
      <c r="Q13" s="3"/>
      <c r="R13" s="3"/>
      <c r="S13" s="3"/>
      <c r="T13" s="48">
        <v>30050</v>
      </c>
    </row>
    <row r="14" spans="2:20" ht="18" thickTop="1" thickBot="1">
      <c r="B14" s="15" t="s">
        <v>44</v>
      </c>
      <c r="C14" s="63">
        <v>29.85</v>
      </c>
      <c r="D14" s="63">
        <v>24.29</v>
      </c>
      <c r="E14" s="63">
        <v>21.48</v>
      </c>
      <c r="F14" s="63">
        <v>18.43</v>
      </c>
      <c r="G14" s="63">
        <v>14.29</v>
      </c>
      <c r="H14" s="3"/>
      <c r="I14" s="3"/>
      <c r="J14" s="3"/>
      <c r="K14" s="66">
        <v>6216363</v>
      </c>
      <c r="L14" s="66">
        <v>1586</v>
      </c>
      <c r="M14" s="66">
        <v>1936</v>
      </c>
      <c r="N14" s="66">
        <v>2214</v>
      </c>
      <c r="O14" s="66">
        <v>2613</v>
      </c>
      <c r="P14" s="66">
        <v>2945</v>
      </c>
      <c r="Q14" s="3"/>
      <c r="R14" s="3"/>
      <c r="S14" s="3"/>
      <c r="T14" s="48">
        <v>59400</v>
      </c>
    </row>
    <row r="15" spans="2:20" ht="17.25" thickTop="1">
      <c r="B15" s="1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8"/>
    </row>
    <row r="16" spans="2:20"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8"/>
    </row>
    <row r="17" spans="2:20">
      <c r="B17" s="1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8"/>
    </row>
    <row r="18" spans="2:20"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8"/>
    </row>
    <row r="19" spans="2:20">
      <c r="B19" s="1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48"/>
    </row>
    <row r="20" spans="2:20">
      <c r="B20" s="1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48"/>
    </row>
    <row r="21" spans="2:20">
      <c r="B21" s="1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8"/>
    </row>
    <row r="22" spans="2:20">
      <c r="B22" s="1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8"/>
    </row>
    <row r="23" spans="2:20">
      <c r="B23" s="1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8"/>
    </row>
    <row r="24" spans="2:20">
      <c r="B24" s="1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8"/>
    </row>
    <row r="25" spans="2:20">
      <c r="B25" s="1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8"/>
    </row>
    <row r="26" spans="2:20">
      <c r="B26" s="1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8"/>
    </row>
    <row r="27" spans="2:20">
      <c r="B27" s="1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8"/>
    </row>
    <row r="28" spans="2:20">
      <c r="B28" s="1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8"/>
    </row>
    <row r="29" spans="2:20">
      <c r="B29" s="1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48"/>
    </row>
    <row r="30" spans="2:20">
      <c r="B30" s="1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48"/>
    </row>
    <row r="31" spans="2:20">
      <c r="B31" s="1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48"/>
    </row>
    <row r="32" spans="2:20">
      <c r="B32" s="1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48"/>
    </row>
    <row r="33" spans="2:20">
      <c r="B33" s="15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48"/>
    </row>
    <row r="34" spans="2:20">
      <c r="B34" s="15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48"/>
    </row>
    <row r="35" spans="2:20">
      <c r="B35" s="15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48"/>
    </row>
    <row r="36" spans="2:20">
      <c r="B36" s="15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8"/>
    </row>
    <row r="37" spans="2:20">
      <c r="B37" s="15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8"/>
    </row>
    <row r="38" spans="2:20">
      <c r="B38" s="15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48"/>
    </row>
    <row r="39" spans="2:20">
      <c r="B39" s="15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48"/>
    </row>
    <row r="40" spans="2:20">
      <c r="B40" s="15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48"/>
    </row>
    <row r="41" spans="2:20">
      <c r="B41" s="15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48"/>
    </row>
    <row r="42" spans="2:20">
      <c r="B42" s="15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8"/>
    </row>
    <row r="43" spans="2:20">
      <c r="B43" s="15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48"/>
    </row>
    <row r="44" spans="2:20">
      <c r="B44" s="15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48"/>
    </row>
    <row r="45" spans="2:20">
      <c r="B45" s="15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48"/>
    </row>
    <row r="46" spans="2:20">
      <c r="B46" s="15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8"/>
    </row>
    <row r="47" spans="2:20">
      <c r="B47" s="15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48"/>
    </row>
    <row r="48" spans="2:20">
      <c r="B48" s="15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48"/>
    </row>
    <row r="49" spans="2:20">
      <c r="B49" s="15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48"/>
    </row>
    <row r="50" spans="2:20">
      <c r="B50" s="15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48"/>
    </row>
    <row r="51" spans="2:20">
      <c r="B51" s="15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48"/>
    </row>
    <row r="52" spans="2:20">
      <c r="B52" s="15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48"/>
    </row>
    <row r="53" spans="2:20">
      <c r="B53" s="1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48"/>
    </row>
    <row r="54" spans="2:20">
      <c r="B54" s="15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48"/>
    </row>
    <row r="55" spans="2:20">
      <c r="B55" s="15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48"/>
    </row>
    <row r="56" spans="2:20">
      <c r="B56" s="15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48"/>
    </row>
    <row r="57" spans="2:20">
      <c r="B57" s="15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48"/>
    </row>
    <row r="58" spans="2:20">
      <c r="B58" s="15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48"/>
    </row>
    <row r="59" spans="2:20">
      <c r="B59" s="15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48"/>
    </row>
    <row r="60" spans="2:20">
      <c r="B60" s="15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48"/>
    </row>
    <row r="61" spans="2:20">
      <c r="B61" s="1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48"/>
    </row>
    <row r="62" spans="2:20">
      <c r="B62" s="15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48"/>
    </row>
    <row r="63" spans="2:20">
      <c r="B63" s="15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48"/>
    </row>
    <row r="64" spans="2:20">
      <c r="B64" s="15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48"/>
    </row>
    <row r="65" spans="2:20">
      <c r="B65" s="15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48"/>
    </row>
    <row r="66" spans="2:20">
      <c r="B66" s="15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48"/>
    </row>
    <row r="67" spans="2:20">
      <c r="B67" s="15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48"/>
    </row>
    <row r="68" spans="2:20">
      <c r="B68" s="15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48"/>
    </row>
    <row r="69" spans="2:20">
      <c r="B69" s="15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48"/>
    </row>
    <row r="70" spans="2:20">
      <c r="B70" s="1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48"/>
    </row>
    <row r="71" spans="2:20">
      <c r="B71" s="1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48"/>
    </row>
    <row r="72" spans="2:20">
      <c r="B72" s="1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48"/>
    </row>
    <row r="73" spans="2:20">
      <c r="B73" s="1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48"/>
    </row>
    <row r="74" spans="2:20">
      <c r="B74" s="1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48"/>
    </row>
    <row r="75" spans="2:20">
      <c r="B75" s="15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48"/>
    </row>
    <row r="76" spans="2:20">
      <c r="B76" s="15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48"/>
    </row>
    <row r="77" spans="2:20">
      <c r="B77" s="15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48"/>
    </row>
    <row r="78" spans="2:20">
      <c r="B78" s="15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48"/>
    </row>
    <row r="79" spans="2:20">
      <c r="B79" s="15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48"/>
    </row>
    <row r="80" spans="2:20">
      <c r="B80" s="15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48"/>
    </row>
    <row r="81" spans="2:20">
      <c r="B81" s="15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48"/>
    </row>
    <row r="82" spans="2:20">
      <c r="B82" s="15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48"/>
    </row>
    <row r="83" spans="2:20">
      <c r="B83" s="15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48"/>
    </row>
    <row r="84" spans="2:20">
      <c r="B84" s="15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48"/>
    </row>
    <row r="85" spans="2:20">
      <c r="B85" s="15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48"/>
    </row>
    <row r="86" spans="2:20">
      <c r="B86" s="15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48"/>
    </row>
    <row r="87" spans="2:20">
      <c r="B87" s="15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48"/>
    </row>
    <row r="88" spans="2:20">
      <c r="B88" s="15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48"/>
    </row>
    <row r="89" spans="2:20">
      <c r="B89" s="15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48"/>
    </row>
    <row r="90" spans="2:20">
      <c r="B90" s="15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48"/>
    </row>
    <row r="91" spans="2:20">
      <c r="B91" s="15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48"/>
    </row>
    <row r="92" spans="2:20">
      <c r="B92" s="15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48"/>
    </row>
    <row r="93" spans="2:20">
      <c r="B93" s="15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48"/>
    </row>
    <row r="94" spans="2:20">
      <c r="B94" s="15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48"/>
    </row>
    <row r="95" spans="2:20">
      <c r="B95" s="15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48"/>
    </row>
    <row r="96" spans="2:20">
      <c r="B96" s="15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48"/>
    </row>
    <row r="97" spans="2:20">
      <c r="B97" s="15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48"/>
    </row>
    <row r="98" spans="2:20">
      <c r="B98" s="15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48"/>
    </row>
    <row r="99" spans="2:20">
      <c r="B99" s="15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48"/>
    </row>
    <row r="100" spans="2:20">
      <c r="B100" s="15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48"/>
    </row>
    <row r="101" spans="2:20">
      <c r="B101" s="15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48"/>
    </row>
    <row r="102" spans="2:20">
      <c r="B102" s="15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48"/>
    </row>
    <row r="103" spans="2:20">
      <c r="B103" s="15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48"/>
    </row>
    <row r="104" spans="2:20">
      <c r="B104" s="15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48"/>
    </row>
    <row r="105" spans="2:20">
      <c r="B105" s="15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48"/>
    </row>
    <row r="106" spans="2:20">
      <c r="B106" s="15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48"/>
    </row>
    <row r="107" spans="2:20">
      <c r="B107" s="15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48"/>
    </row>
    <row r="108" spans="2:20">
      <c r="B108" s="15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48"/>
    </row>
    <row r="109" spans="2:20">
      <c r="B109" s="15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48"/>
    </row>
    <row r="110" spans="2:20">
      <c r="B110" s="15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48"/>
    </row>
    <row r="111" spans="2:20">
      <c r="B111" s="15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48"/>
    </row>
    <row r="112" spans="2:20">
      <c r="B112" s="15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48"/>
    </row>
    <row r="113" spans="2:20">
      <c r="B113" s="15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48"/>
    </row>
    <row r="114" spans="2:20">
      <c r="B114" s="15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48"/>
    </row>
    <row r="115" spans="2:20">
      <c r="B115" s="15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48"/>
    </row>
    <row r="116" spans="2:20">
      <c r="B116" s="15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48"/>
    </row>
    <row r="117" spans="2:20">
      <c r="B117" s="15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48"/>
    </row>
    <row r="118" spans="2:20">
      <c r="B118" s="15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48"/>
    </row>
    <row r="119" spans="2:20">
      <c r="B119" s="15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48"/>
    </row>
    <row r="120" spans="2:20">
      <c r="B120" s="15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48"/>
    </row>
    <row r="121" spans="2:20">
      <c r="B121" s="15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48"/>
    </row>
    <row r="122" spans="2:20">
      <c r="B122" s="15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48"/>
    </row>
    <row r="123" spans="2:20">
      <c r="B123" s="15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48"/>
    </row>
    <row r="124" spans="2:20">
      <c r="B124" s="15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48"/>
    </row>
    <row r="125" spans="2:20">
      <c r="B125" s="15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48"/>
    </row>
    <row r="126" spans="2:20">
      <c r="B126" s="15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48"/>
    </row>
    <row r="127" spans="2:20">
      <c r="B127" s="15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48"/>
    </row>
    <row r="128" spans="2:20">
      <c r="B128" s="15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48"/>
    </row>
    <row r="129" spans="2:20">
      <c r="B129" s="15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48"/>
    </row>
    <row r="130" spans="2:20">
      <c r="B130" s="15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48"/>
    </row>
  </sheetData>
  <mergeCells count="3">
    <mergeCell ref="B2:B4"/>
    <mergeCell ref="C2:J2"/>
    <mergeCell ref="L2:S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A88A-6120-4141-8C9C-BFA84B77F1C4}">
  <dimension ref="B1:C4"/>
  <sheetViews>
    <sheetView workbookViewId="0">
      <selection activeCell="C4" sqref="C4"/>
    </sheetView>
  </sheetViews>
  <sheetFormatPr defaultRowHeight="16.5"/>
  <cols>
    <col min="2" max="2" width="11.125" style="6" bestFit="1" customWidth="1"/>
    <col min="3" max="3" width="26.5" style="7" bestFit="1" customWidth="1"/>
  </cols>
  <sheetData>
    <row r="1" spans="2:3" ht="17.25" thickBot="1">
      <c r="B1" s="10"/>
      <c r="C1" s="10"/>
    </row>
    <row r="2" spans="2:3" ht="17.25" thickBot="1">
      <c r="B2" s="11" t="s">
        <v>7</v>
      </c>
      <c r="C2" s="12" t="s">
        <v>9</v>
      </c>
    </row>
    <row r="3" spans="2:3">
      <c r="B3" s="8" t="s">
        <v>8</v>
      </c>
      <c r="C3" s="9">
        <v>7.94</v>
      </c>
    </row>
    <row r="4" spans="2:3">
      <c r="B4" s="6" t="s">
        <v>46</v>
      </c>
      <c r="C4" s="7">
        <v>7.82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98E5F91E979164C992EE2CA215A3C28" ma:contentTypeVersion="5" ma:contentTypeDescription="새 문서를 만듭니다." ma:contentTypeScope="" ma:versionID="9a9cf7a4d4dd4fa861bfc507391ebec3">
  <xsd:schema xmlns:xsd="http://www.w3.org/2001/XMLSchema" xmlns:xs="http://www.w3.org/2001/XMLSchema" xmlns:p="http://schemas.microsoft.com/office/2006/metadata/properties" xmlns:ns3="d0220011-274f-4645-b82c-0d5e637d567e" targetNamespace="http://schemas.microsoft.com/office/2006/metadata/properties" ma:root="true" ma:fieldsID="1b769ed9e4aa527b7dd9e6d82d3c1aa6" ns3:_="">
    <xsd:import namespace="d0220011-274f-4645-b82c-0d5e637d567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20011-274f-4645-b82c-0d5e637d5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E70607-6A9D-44AB-9CC8-B49441AF52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220011-274f-4645-b82c-0d5e637d56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62162E-A809-47EF-AD68-E2759D1F4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A5E116-355E-413B-882D-D879C8147CA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d0220011-274f-4645-b82c-0d5e637d567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S-RIM</vt:lpstr>
      <vt:lpstr>관심 종목 ROE</vt:lpstr>
      <vt:lpstr>채권 금리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정준현</dc:creator>
  <cp:lastModifiedBy>정 준현</cp:lastModifiedBy>
  <dcterms:created xsi:type="dcterms:W3CDTF">2020-04-14T10:36:35Z</dcterms:created>
  <dcterms:modified xsi:type="dcterms:W3CDTF">2020-08-15T06:49:21Z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0x010100F98E5F91E979164C992EE2CA215A3C28</vt:lpwstr>
  </property>
</Properties>
</file>