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1020" yWindow="2080" windowWidth="37500" windowHeight="21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18" i="1" l="1"/>
  <c r="F18" i="1"/>
  <c r="E18" i="1"/>
  <c r="G18" i="1"/>
  <c r="J17" i="1"/>
  <c r="F17" i="1"/>
  <c r="E17" i="1"/>
  <c r="G17" i="1"/>
  <c r="G16" i="1"/>
  <c r="G15" i="1"/>
  <c r="G14" i="1"/>
  <c r="G13" i="1"/>
  <c r="G12" i="1"/>
  <c r="G11" i="1"/>
  <c r="J16" i="1"/>
  <c r="J15" i="1"/>
  <c r="J14" i="1"/>
  <c r="J13" i="1"/>
  <c r="J12" i="1"/>
  <c r="J11" i="1"/>
  <c r="F16" i="1"/>
  <c r="F15" i="1"/>
  <c r="F14" i="1"/>
  <c r="F13" i="1"/>
  <c r="F12" i="1"/>
  <c r="F11" i="1"/>
  <c r="E16" i="1"/>
  <c r="E15" i="1"/>
  <c r="E14" i="1"/>
  <c r="E13" i="1"/>
  <c r="E12" i="1"/>
  <c r="E11" i="1"/>
  <c r="J10" i="1"/>
  <c r="J9" i="1"/>
  <c r="J8" i="1"/>
  <c r="J7" i="1"/>
  <c r="G10" i="1"/>
  <c r="G9" i="1"/>
  <c r="G8" i="1"/>
  <c r="G7" i="1"/>
  <c r="F10" i="1"/>
  <c r="F9" i="1"/>
  <c r="F8" i="1"/>
  <c r="F7" i="1"/>
  <c r="E10" i="1"/>
  <c r="E9" i="1"/>
  <c r="E8" i="1"/>
  <c r="E7" i="1"/>
  <c r="G6" i="1"/>
  <c r="F6" i="1"/>
  <c r="E6" i="1"/>
  <c r="G5" i="1"/>
  <c r="F5" i="1"/>
  <c r="E5" i="1"/>
  <c r="G4" i="1"/>
  <c r="F4" i="1"/>
  <c r="E4" i="1"/>
  <c r="G3" i="1"/>
  <c r="F3" i="1"/>
  <c r="E3" i="1"/>
  <c r="J6" i="1"/>
  <c r="J5" i="1"/>
  <c r="J4" i="1"/>
  <c r="J3" i="1"/>
  <c r="J2" i="1"/>
  <c r="G2" i="1"/>
  <c r="F2" i="1"/>
  <c r="E2" i="1"/>
</calcChain>
</file>

<file path=xl/sharedStrings.xml><?xml version="1.0" encoding="utf-8"?>
<sst xmlns="http://schemas.openxmlformats.org/spreadsheetml/2006/main" count="30" uniqueCount="28">
  <si>
    <t>Date</t>
  </si>
  <si>
    <t>Bag #</t>
  </si>
  <si>
    <t>Transect/Location</t>
  </si>
  <si>
    <t>Stem Count (#)</t>
  </si>
  <si>
    <t>Avg Leaf Diameter (cm)</t>
  </si>
  <si>
    <t>Avg Stem Diameter (cm)</t>
  </si>
  <si>
    <t>Tin weight (g)</t>
  </si>
  <si>
    <t>Total Weight (tin + sample, g)</t>
  </si>
  <si>
    <t>Sample Dry Weight (total - tin, g)</t>
  </si>
  <si>
    <t>M1E</t>
  </si>
  <si>
    <t>Avg Stem Height (cm)</t>
  </si>
  <si>
    <t>C1 NW Corner</t>
  </si>
  <si>
    <t>M1E NE Corner</t>
  </si>
  <si>
    <t>C1 NW Corner Middle</t>
  </si>
  <si>
    <t>C2 SW Corner</t>
  </si>
  <si>
    <t>M1E East Patch</t>
  </si>
  <si>
    <t>Inflow SE Corner</t>
  </si>
  <si>
    <t>C1 North Patch</t>
  </si>
  <si>
    <t>C1 South Patch</t>
  </si>
  <si>
    <t>C2 North Patch</t>
  </si>
  <si>
    <t>C2 South Patch</t>
  </si>
  <si>
    <t>C3 North Patch</t>
  </si>
  <si>
    <t>Boardwalk Road East</t>
  </si>
  <si>
    <t>Inflow NE Corner</t>
  </si>
  <si>
    <t>SW Corner</t>
  </si>
  <si>
    <t>notes</t>
  </si>
  <si>
    <t>potentially mislabeled with hyd17</t>
  </si>
  <si>
    <t>potentially mislabeled with hyd16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</si>
</sst>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14" fontId="0" fillId="0" borderId="0" xfId="0" applyNumberFormat="1" applyBorder="1"/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129" zoomScaleNormal="129" zoomScalePageLayoutView="129" workbookViewId="0">
      <selection activeCell="G13" sqref="G13"/>
    </sheetView>
  </sheetViews>
  <sheetFormatPr baseColWidth="10" defaultRowHeight="15" x14ac:dyDescent="0"/>
  <cols>
    <col min="1" max="1" width="10.5" customWidth="1"/>
    <col min="2" max="2" width="5.6640625" bestFit="1" customWidth="1"/>
    <col min="3" max="3" width="18.33203125" customWidth="1"/>
    <col min="4" max="4" width="13.5" bestFit="1" customWidth="1"/>
    <col min="5" max="5" width="20.5" bestFit="1" customWidth="1"/>
    <col min="6" max="6" width="15.5" bestFit="1" customWidth="1"/>
    <col min="7" max="7" width="21.33203125" bestFit="1" customWidth="1"/>
    <col min="8" max="8" width="25.5" bestFit="1" customWidth="1"/>
    <col min="9" max="9" width="12.5" bestFit="1" customWidth="1"/>
    <col min="10" max="10" width="28.6640625" bestFit="1" customWidth="1"/>
  </cols>
  <sheetData>
    <row r="1" spans="1:11" s="1" customFormat="1" ht="32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5</v>
      </c>
      <c r="H1" s="3" t="s">
        <v>7</v>
      </c>
      <c r="I1" s="3" t="s">
        <v>6</v>
      </c>
      <c r="J1" s="3" t="s">
        <v>8</v>
      </c>
      <c r="K1" s="3" t="s">
        <v>25</v>
      </c>
    </row>
    <row r="2" spans="1:11" s="1" customFormat="1">
      <c r="A2" s="4">
        <v>42660</v>
      </c>
      <c r="B2" s="1">
        <v>1</v>
      </c>
      <c r="C2" s="1" t="s">
        <v>9</v>
      </c>
      <c r="D2" s="1">
        <v>136</v>
      </c>
      <c r="E2" s="1">
        <f>AVERAGE(7.6,4.7,7.3,6,6.1,7.3,4.3,5.4,7,6.2,6.3,7.8,5.5,4.6,5.6,4.7,8.1,7.2,6.2,5.8,5.1,4.3,7.2,4.9,5.5)</f>
        <v>6.0279999999999996</v>
      </c>
      <c r="F2" s="1">
        <f>AVERAGE(62,69,66,68,63,69.2,5.3,67,49,44,76)</f>
        <v>58.045454545454547</v>
      </c>
      <c r="G2" s="1">
        <f>AVERAGE(0.4,0.31,0.35,0.43,0.28,0.34,0.41,0.33,0.35,0.22,0.14)</f>
        <v>0.32363636363636367</v>
      </c>
      <c r="H2" s="1">
        <v>193.4</v>
      </c>
      <c r="I2" s="1">
        <v>57.5</v>
      </c>
      <c r="J2" s="1">
        <f>H:H-I:I</f>
        <v>135.9</v>
      </c>
    </row>
    <row r="3" spans="1:11" s="1" customFormat="1">
      <c r="A3" s="4">
        <v>42660</v>
      </c>
      <c r="B3" s="1">
        <v>2</v>
      </c>
      <c r="C3" s="1" t="s">
        <v>12</v>
      </c>
      <c r="D3" s="1">
        <v>123</v>
      </c>
      <c r="E3" s="1">
        <f>AVERAGE(6.9,6.2,3.7,7.5,6.3,7,8.1,4.5,6.4,5.8,6.3,5.1,5.6)</f>
        <v>6.1076923076923073</v>
      </c>
      <c r="F3" s="1">
        <f>AVERAGE(61,68,57,59,62,55,58,63,62,67,65,51,36)</f>
        <v>58.769230769230766</v>
      </c>
      <c r="G3" s="1">
        <f>AVERAGE(0.25,0.3,0.25,0.31,0.21,0.28,0.25,0.18,0.3,0.3,0.15,0.16)</f>
        <v>0.245</v>
      </c>
      <c r="H3" s="1">
        <v>159</v>
      </c>
      <c r="I3" s="1">
        <v>54.5</v>
      </c>
      <c r="J3" s="1">
        <f t="shared" ref="J3:J18" si="0">H3-I3</f>
        <v>104.5</v>
      </c>
    </row>
    <row r="4" spans="1:11" s="1" customFormat="1">
      <c r="A4" s="4">
        <v>42660</v>
      </c>
      <c r="B4" s="1">
        <v>3</v>
      </c>
      <c r="C4" s="1" t="s">
        <v>11</v>
      </c>
      <c r="D4" s="1">
        <v>99</v>
      </c>
      <c r="E4" s="1">
        <f>AVERAGE(9.1,8.5,6.4,8.6,7.5,3.6,7.7,4.5,5.1,5.5)</f>
        <v>6.65</v>
      </c>
      <c r="F4" s="1">
        <f>AVERAGE(56,67,58,59,49,54,77,61,51,71)</f>
        <v>60.3</v>
      </c>
      <c r="G4" s="1">
        <f>AVERAGE(0.55,0.18,0.25,0.19,0.28,0.22,0.16,0.2,0.21,0.19)</f>
        <v>0.24299999999999997</v>
      </c>
      <c r="H4" s="1">
        <v>67.3</v>
      </c>
      <c r="I4" s="1">
        <v>12.6</v>
      </c>
      <c r="J4" s="1">
        <f t="shared" si="0"/>
        <v>54.699999999999996</v>
      </c>
    </row>
    <row r="5" spans="1:11" s="1" customFormat="1">
      <c r="A5" s="4">
        <v>42660</v>
      </c>
      <c r="B5" s="5">
        <v>4</v>
      </c>
      <c r="C5" s="5" t="s">
        <v>13</v>
      </c>
      <c r="D5" s="5">
        <v>131</v>
      </c>
      <c r="E5" s="1">
        <f>AVERAGE(5.6,5.4,6.1,5.2,5.6,6.7,6.7,6.9)</f>
        <v>6.0250000000000004</v>
      </c>
      <c r="F5" s="1">
        <f>AVERAGE(76,82,72,72,76,76,49,72,67,74,69,71,70)</f>
        <v>71.230769230769226</v>
      </c>
      <c r="G5" s="1">
        <f>AVERAGE(0.31,0.57,0.22,0.21,0.24,0.18,0.15,0.28,0.14,0.23,0.28,0.3,0.22)</f>
        <v>0.25615384615384612</v>
      </c>
      <c r="H5" s="1">
        <v>111.3</v>
      </c>
      <c r="I5" s="5">
        <v>13.9</v>
      </c>
      <c r="J5" s="1">
        <f t="shared" si="0"/>
        <v>97.399999999999991</v>
      </c>
    </row>
    <row r="6" spans="1:11" s="1" customFormat="1">
      <c r="A6" s="4">
        <v>42660</v>
      </c>
      <c r="B6" s="5">
        <v>5</v>
      </c>
      <c r="C6" s="5" t="s">
        <v>14</v>
      </c>
      <c r="D6" s="5">
        <v>77</v>
      </c>
      <c r="E6" s="1">
        <f>AVERAGE(8.2,7.5,4.9,8.5,8,6.3,8.4,6.7,3.3,7.5)</f>
        <v>6.93</v>
      </c>
      <c r="F6" s="1">
        <f>AVERAGE(69,55,60,57,60,64,61,62,43,53)</f>
        <v>58.4</v>
      </c>
      <c r="G6" s="1">
        <f>AVERAGE(0.43,0.2,0.19,0.33,0.4,0.15,0.13,0.12,0.34,0.28)</f>
        <v>0.25700000000000001</v>
      </c>
      <c r="H6" s="1">
        <v>72.400000000000006</v>
      </c>
      <c r="I6" s="5">
        <v>11.4</v>
      </c>
      <c r="J6" s="1">
        <f t="shared" si="0"/>
        <v>61.000000000000007</v>
      </c>
    </row>
    <row r="7" spans="1:11" s="1" customFormat="1">
      <c r="A7" s="4">
        <v>42674</v>
      </c>
      <c r="B7" s="5">
        <v>6</v>
      </c>
      <c r="C7" s="5" t="s">
        <v>15</v>
      </c>
      <c r="D7" s="5">
        <v>66</v>
      </c>
      <c r="E7" s="1">
        <f>AVERAGE(7.4,9.6,7.6,9.2,6,8.3,10,5.7,6.2,5.3)</f>
        <v>7.5299999999999994</v>
      </c>
      <c r="F7" s="1">
        <f>AVERAGE(61,48,49,40,45,60,43,44,41,47)</f>
        <v>47.8</v>
      </c>
      <c r="G7" s="1">
        <f>AVERAGE(0.26,0.27,0.31,0.22,0.08,0.37,0.25,0.29,0.31,0.35,0.24)</f>
        <v>0.26818181818181819</v>
      </c>
      <c r="H7" s="5">
        <v>62.4</v>
      </c>
      <c r="I7" s="5">
        <v>15.7</v>
      </c>
      <c r="J7" s="5">
        <f t="shared" si="0"/>
        <v>46.7</v>
      </c>
    </row>
    <row r="8" spans="1:11" s="1" customFormat="1">
      <c r="A8" s="4">
        <v>42674</v>
      </c>
      <c r="B8" s="5">
        <v>7</v>
      </c>
      <c r="C8" s="5" t="s">
        <v>15</v>
      </c>
      <c r="D8" s="5">
        <v>89</v>
      </c>
      <c r="E8" s="1">
        <f>AVERAGE(8,6.5,7.8,9.9,9,4.5,7,6.6,9,9.3)</f>
        <v>7.7600000000000007</v>
      </c>
      <c r="F8" s="1">
        <f>AVERAGE(53,48,49,48,54,52,46,43,48,49,50)</f>
        <v>49.090909090909093</v>
      </c>
      <c r="G8" s="1">
        <f>AVERAGE(0.33,0.28,0.31,0.26,0.27,0.38,0.29,0.28,0.33,0.34)</f>
        <v>0.30700000000000005</v>
      </c>
      <c r="H8" s="5">
        <v>76.2</v>
      </c>
      <c r="I8" s="5">
        <v>15.9</v>
      </c>
      <c r="J8" s="5">
        <f t="shared" si="0"/>
        <v>60.300000000000004</v>
      </c>
    </row>
    <row r="9" spans="1:11" s="1" customFormat="1">
      <c r="A9" s="4">
        <v>42674</v>
      </c>
      <c r="B9" s="5">
        <v>8</v>
      </c>
      <c r="C9" s="5" t="s">
        <v>16</v>
      </c>
      <c r="D9" s="5">
        <v>63</v>
      </c>
      <c r="E9" s="1">
        <f>AVERAGE(5,8.1,4.2,7.6,9.3,9,3.1,8.4,6,7.5)</f>
        <v>6.82</v>
      </c>
      <c r="F9" s="1">
        <f>AVERAGE(34,38,42,43,39,45,46,42,37)</f>
        <v>40.666666666666664</v>
      </c>
      <c r="G9" s="1">
        <f>AVERAGE(0.36,0.12,0.24,0.36,0.24,0.19,0.31,0.39,0.35,0.3,0.23)</f>
        <v>0.28090909090909089</v>
      </c>
      <c r="H9" s="5">
        <v>47.5</v>
      </c>
      <c r="I9" s="5">
        <v>15.9</v>
      </c>
      <c r="J9" s="5">
        <f t="shared" si="0"/>
        <v>31.6</v>
      </c>
    </row>
    <row r="10" spans="1:11" s="1" customFormat="1">
      <c r="A10" s="4">
        <v>42674</v>
      </c>
      <c r="B10" s="5">
        <v>9</v>
      </c>
      <c r="C10" s="5" t="s">
        <v>16</v>
      </c>
      <c r="D10" s="5">
        <v>82</v>
      </c>
      <c r="E10" s="1">
        <f>AVERAGE(7,6.1,6.8,6.6,5,7.7,9,4.9,7.6,10)</f>
        <v>7.07</v>
      </c>
      <c r="F10" s="1">
        <f>AVERAGE(38,40,43,37,34,30,44,48,42,45)</f>
        <v>40.1</v>
      </c>
      <c r="G10" s="1">
        <f>AVERAGE(0.21,0.2,0.31,0.34,0.42,0.28,0.1,0.33,0.31,0.38,0.25)</f>
        <v>0.28454545454545455</v>
      </c>
      <c r="H10" s="5">
        <v>59.8</v>
      </c>
      <c r="I10" s="5">
        <v>16.2</v>
      </c>
      <c r="J10" s="5">
        <f t="shared" si="0"/>
        <v>43.599999999999994</v>
      </c>
    </row>
    <row r="11" spans="1:11" s="1" customFormat="1">
      <c r="A11" s="4">
        <v>42709</v>
      </c>
      <c r="B11" s="5">
        <v>10</v>
      </c>
      <c r="C11" s="5" t="s">
        <v>17</v>
      </c>
      <c r="D11" s="5">
        <v>105</v>
      </c>
      <c r="E11" s="1">
        <f>AVERAGE(7.5,6.4,4.4,6.9,8,9.5,4,5.5,4.5,6.6)</f>
        <v>6.33</v>
      </c>
      <c r="F11" s="1">
        <f>AVERAGE(46,48,57,61,51,46,36,37,42,53)</f>
        <v>47.7</v>
      </c>
      <c r="G11" s="1">
        <f>AVERAGE(0.35,0.3,0.37,0.15,0.31,0.25,0.4,0.22,0.15,0.31)</f>
        <v>0.28100000000000003</v>
      </c>
      <c r="H11" s="5">
        <v>101.8</v>
      </c>
      <c r="I11" s="5">
        <v>16.3</v>
      </c>
      <c r="J11" s="5">
        <f t="shared" si="0"/>
        <v>85.5</v>
      </c>
    </row>
    <row r="12" spans="1:11" s="1" customFormat="1">
      <c r="A12" s="4">
        <v>42709</v>
      </c>
      <c r="B12" s="5">
        <v>11</v>
      </c>
      <c r="C12" s="5" t="s">
        <v>18</v>
      </c>
      <c r="D12" s="5">
        <v>122</v>
      </c>
      <c r="E12" s="1">
        <f>AVERAGE(8,8.5,7.2,7.5,4.4,6.1,4.6,10,9.7,9.3,0.6)</f>
        <v>6.8999999999999995</v>
      </c>
      <c r="F12" s="1">
        <f>AVERAGE(49,50,45,44,52,31,35,22,23,39,34,44)</f>
        <v>39</v>
      </c>
      <c r="G12" s="1">
        <f>AVERAGE(0.4,0.4,0.25,0.22,0.32,0.21,0.26,0.41,0.23,0.38,0.31,0.3)</f>
        <v>0.3075</v>
      </c>
      <c r="H12" s="5">
        <v>83.7</v>
      </c>
      <c r="I12" s="5">
        <v>17.7</v>
      </c>
      <c r="J12" s="5">
        <f t="shared" si="0"/>
        <v>66</v>
      </c>
    </row>
    <row r="13" spans="1:11" s="1" customFormat="1">
      <c r="A13" s="4">
        <v>42709</v>
      </c>
      <c r="B13" s="5">
        <v>12</v>
      </c>
      <c r="C13" s="5" t="s">
        <v>19</v>
      </c>
      <c r="D13" s="5">
        <v>64</v>
      </c>
      <c r="E13" s="1">
        <f>AVERAGE(10,9.7,5.6,3,9.1,8.3,7.4,4.5,6,5.6)</f>
        <v>6.92</v>
      </c>
      <c r="F13" s="1">
        <f>AVERAGE(41,49,51,49,46,54,52,39,38,41)</f>
        <v>46</v>
      </c>
      <c r="G13" s="1">
        <f>AVERAGE(0.2,0.31,0.39,0.29,0.3,0.26,0.31,0.35,0.2,0.19)</f>
        <v>0.28000000000000003</v>
      </c>
      <c r="H13" s="5">
        <v>76.7</v>
      </c>
      <c r="I13" s="5">
        <v>18.399999999999999</v>
      </c>
      <c r="J13" s="5">
        <f t="shared" si="0"/>
        <v>58.300000000000004</v>
      </c>
    </row>
    <row r="14" spans="1:11" s="1" customFormat="1">
      <c r="A14" s="4">
        <v>42709</v>
      </c>
      <c r="B14" s="5">
        <v>13</v>
      </c>
      <c r="C14" s="5" t="s">
        <v>20</v>
      </c>
      <c r="D14" s="5">
        <v>83</v>
      </c>
      <c r="E14" s="1">
        <f>AVERAGE(8.5,7.6,4,4.1,8.6,5.6,6,9.7,9.1,9.5,0.4)</f>
        <v>6.6454545454545473</v>
      </c>
      <c r="F14" s="1">
        <f>AVERAGE(46,47,49,51,44,53,47,54,41,35)</f>
        <v>46.7</v>
      </c>
      <c r="G14" s="1">
        <f>AVERAGE(0.22,0.25,0.26,0.24,0.35,0.42,0.22,0.26,0.41,0.4)</f>
        <v>0.30299999999999999</v>
      </c>
      <c r="H14" s="5">
        <v>83</v>
      </c>
      <c r="I14" s="5">
        <v>17.2</v>
      </c>
      <c r="J14" s="5">
        <f t="shared" si="0"/>
        <v>65.8</v>
      </c>
    </row>
    <row r="15" spans="1:11" s="1" customFormat="1">
      <c r="A15" s="4">
        <v>42709</v>
      </c>
      <c r="B15" s="5">
        <v>14</v>
      </c>
      <c r="C15" s="5" t="s">
        <v>21</v>
      </c>
      <c r="D15" s="5">
        <v>61</v>
      </c>
      <c r="E15" s="1">
        <f>AVERAGE(8.3,8.5,8.2,8.1,3.5,7.5,9,3.6,3,7.4)</f>
        <v>6.7100000000000009</v>
      </c>
      <c r="F15" s="1">
        <f>AVERAGE(39,32,31,28,27,31,41,36,33,26)</f>
        <v>32.4</v>
      </c>
      <c r="G15" s="1">
        <f>AVERAGE(0.36,0.22,0.33,0.23,0.32,0.3,0.35,0.22,0.26,0.19)</f>
        <v>0.27799999999999997</v>
      </c>
      <c r="H15" s="5">
        <v>79.2</v>
      </c>
      <c r="I15" s="5">
        <v>18</v>
      </c>
      <c r="J15" s="5">
        <f t="shared" si="0"/>
        <v>61.2</v>
      </c>
    </row>
    <row r="16" spans="1:11" s="1" customFormat="1">
      <c r="A16" s="4">
        <v>42709</v>
      </c>
      <c r="B16" s="5">
        <v>15</v>
      </c>
      <c r="C16" s="5" t="s">
        <v>22</v>
      </c>
      <c r="D16" s="5">
        <v>113</v>
      </c>
      <c r="E16" s="1">
        <f>AVERAGE(8.5,7.1,7.4,6,9.1,8.8,8,7.4,7.5,5.7)</f>
        <v>7.5500000000000016</v>
      </c>
      <c r="F16" s="1">
        <f>AVERAGE(39,36,38,45,46,41,40,42,47,45)</f>
        <v>41.9</v>
      </c>
      <c r="G16" s="1">
        <f>AVERAGE(0.3,0.12,0.22,0.35,0.32,0.4,0.28,0.36,0.25,0.18)</f>
        <v>0.27800000000000002</v>
      </c>
      <c r="H16" s="5">
        <v>72.2</v>
      </c>
      <c r="I16" s="5">
        <v>15.8</v>
      </c>
      <c r="J16" s="5">
        <f t="shared" si="0"/>
        <v>56.400000000000006</v>
      </c>
    </row>
    <row r="17" spans="1:11" s="1" customFormat="1">
      <c r="A17" s="4">
        <v>43133</v>
      </c>
      <c r="B17" s="5">
        <v>16</v>
      </c>
      <c r="C17" s="5" t="s">
        <v>23</v>
      </c>
      <c r="D17" s="5">
        <v>117</v>
      </c>
      <c r="E17" s="1">
        <f>AVERAGE(6.5, 6, 2, 4.5, 7, 4.4, 5.5, 3.2, 2.4, 6.2, 6.1, 6.6)</f>
        <v>5.0333333333333341</v>
      </c>
      <c r="F17" s="1">
        <f>AVERAGE(24.1, 13.5, 35.5, 13.1, 26.3, 18.8, 35.2, 27, 16.5, 13, 25.5, 28.5)</f>
        <v>23.083333333333332</v>
      </c>
      <c r="G17" s="1">
        <f>AVERAGE(0.53, 0.46, 0.49, 0.39, 0.35, 0.48, 0.16, 0.36, 0.5, 0.5, 0.32, 0.21)</f>
        <v>0.39583333333333343</v>
      </c>
      <c r="H17" s="5">
        <v>58.4</v>
      </c>
      <c r="I17" s="5">
        <v>13.9</v>
      </c>
      <c r="J17" s="5">
        <f t="shared" si="0"/>
        <v>44.5</v>
      </c>
      <c r="K17" s="1" t="s">
        <v>26</v>
      </c>
    </row>
    <row r="18" spans="1:11" s="1" customFormat="1">
      <c r="A18" s="4">
        <v>43133</v>
      </c>
      <c r="B18" s="5">
        <v>17</v>
      </c>
      <c r="C18" s="5" t="s">
        <v>24</v>
      </c>
      <c r="D18" s="5">
        <v>136</v>
      </c>
      <c r="E18" s="1">
        <f>AVERAGE(8, 5.5, 6.4, 3.6, 7.7, 6.7, 5.4, 9.1, 6.4, 6.6, 6, 4.2, 7.2, 6.3)</f>
        <v>6.3642857142857139</v>
      </c>
      <c r="F18" s="1">
        <f>AVERAGE(31.3, 28, 36.9, 35.1, 33, 36.4, 37.5, 33.4, 23, 31.4, 30.5, 43, 40.5)</f>
        <v>33.84615384615384</v>
      </c>
      <c r="G18" s="1">
        <f>AVERAGE(0.11, 0.45, 0.32, 0.44, 0.3, 0.31, 0.43, 0.36, 0.29, 0.35, 0.3, 0.44, 0.34)</f>
        <v>0.34153846153846157</v>
      </c>
      <c r="H18" s="5">
        <v>146.80000000000001</v>
      </c>
      <c r="I18" s="5">
        <v>42.7</v>
      </c>
      <c r="J18" s="5">
        <f t="shared" si="0"/>
        <v>104.10000000000001</v>
      </c>
      <c r="K18" s="1" t="s">
        <v>27</v>
      </c>
    </row>
    <row r="19" spans="1:11" s="1" customFormat="1"/>
    <row r="20" spans="1:11" s="1" customFormat="1"/>
    <row r="21" spans="1:11" s="1" customFormat="1"/>
    <row r="22" spans="1:11" s="1" customFormat="1"/>
    <row r="23" spans="1:11" s="1" customFormat="1"/>
    <row r="24" spans="1:11" s="1" customFormat="1"/>
    <row r="25" spans="1:11" s="1" customFormat="1"/>
    <row r="26" spans="1:11" s="1" customFormat="1"/>
    <row r="27" spans="1:11" s="1" customFormat="1"/>
    <row r="28" spans="1:11" s="1" customFormat="1"/>
    <row r="29" spans="1:11" s="1" customFormat="1"/>
    <row r="30" spans="1:11" s="1" customFormat="1"/>
    <row r="31" spans="1:11" s="1" customFormat="1"/>
    <row r="32" spans="1:11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</sheetData>
  <phoneticPr fontId="1" type="noConversion"/>
  <pageMargins left="0.7" right="0.7" top="0.75" bottom="0.75" header="0.3" footer="0.3"/>
  <pageSetup orientation="landscape" horizontalDpi="4294967292" verticalDpi="4294967292"/>
  <headerFooter>
    <oddHeader>&amp;C&amp;"-,Bold"Tres Rios - Hyrocottle Biomass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Sanchez</dc:creator>
  <cp:lastModifiedBy>Daniel Childers</cp:lastModifiedBy>
  <cp:lastPrinted>2016-10-26T19:33:00Z</cp:lastPrinted>
  <dcterms:created xsi:type="dcterms:W3CDTF">2016-10-26T19:22:02Z</dcterms:created>
  <dcterms:modified xsi:type="dcterms:W3CDTF">2018-02-12T19:31:35Z</dcterms:modified>
</cp:coreProperties>
</file>