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showInkAnnotation="0" autoCompressPictures="0"/>
  <bookViews>
    <workbookView xWindow="23760" yWindow="0" windowWidth="27440" windowHeight="2330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495" i="1" l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4" i="1"/>
  <c r="N493" i="1"/>
  <c r="N492" i="1"/>
  <c r="N491" i="1"/>
  <c r="N490" i="1"/>
  <c r="N489" i="1"/>
  <c r="N488" i="1"/>
  <c r="N487" i="1"/>
  <c r="N486" i="1"/>
  <c r="N485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O513" i="1"/>
  <c r="P513" i="1"/>
  <c r="O512" i="1"/>
  <c r="P512" i="1"/>
  <c r="O511" i="1"/>
  <c r="P511" i="1"/>
  <c r="O510" i="1"/>
  <c r="P510" i="1"/>
  <c r="O509" i="1"/>
  <c r="P509" i="1"/>
  <c r="O508" i="1"/>
  <c r="P508" i="1"/>
  <c r="O507" i="1"/>
  <c r="P507" i="1"/>
  <c r="O506" i="1"/>
  <c r="P506" i="1"/>
  <c r="O505" i="1"/>
  <c r="P505" i="1"/>
  <c r="O504" i="1"/>
  <c r="P504" i="1"/>
  <c r="O503" i="1"/>
  <c r="P503" i="1"/>
  <c r="O502" i="1"/>
  <c r="P502" i="1"/>
  <c r="O501" i="1"/>
  <c r="P501" i="1"/>
  <c r="O500" i="1"/>
  <c r="P500" i="1"/>
  <c r="O499" i="1"/>
  <c r="P499" i="1"/>
  <c r="O498" i="1"/>
  <c r="P498" i="1"/>
  <c r="O497" i="1"/>
  <c r="P497" i="1"/>
  <c r="O496" i="1"/>
  <c r="P496" i="1"/>
  <c r="O495" i="1"/>
  <c r="P495" i="1"/>
  <c r="O494" i="1"/>
  <c r="P494" i="1"/>
  <c r="R47" i="2"/>
  <c r="J513" i="1"/>
  <c r="J512" i="1"/>
  <c r="J511" i="1"/>
  <c r="J510" i="1"/>
  <c r="J509" i="1"/>
  <c r="J508" i="1"/>
  <c r="J507" i="1"/>
  <c r="J506" i="1"/>
  <c r="J505" i="1"/>
  <c r="J504" i="1"/>
  <c r="J503" i="1"/>
  <c r="J502" i="1"/>
  <c r="R32" i="2"/>
  <c r="R31" i="2"/>
  <c r="J501" i="1"/>
  <c r="J498" i="1"/>
  <c r="J497" i="1"/>
  <c r="J496" i="1"/>
  <c r="S493" i="1"/>
  <c r="S492" i="1"/>
  <c r="S491" i="1"/>
  <c r="S490" i="1"/>
  <c r="S489" i="1"/>
  <c r="S488" i="1"/>
  <c r="S487" i="1"/>
  <c r="S486" i="1"/>
  <c r="S485" i="1"/>
  <c r="O493" i="1"/>
  <c r="P493" i="1"/>
  <c r="O492" i="1"/>
  <c r="P492" i="1"/>
  <c r="O491" i="1"/>
  <c r="P491" i="1"/>
  <c r="O490" i="1"/>
  <c r="P490" i="1"/>
  <c r="O489" i="1"/>
  <c r="P489" i="1"/>
  <c r="O488" i="1"/>
  <c r="P488" i="1"/>
  <c r="O487" i="1"/>
  <c r="P487" i="1"/>
  <c r="O486" i="1"/>
  <c r="P486" i="1"/>
  <c r="O485" i="1"/>
  <c r="P485" i="1"/>
  <c r="R11" i="2"/>
  <c r="C11" i="2"/>
  <c r="T11" i="2"/>
  <c r="J48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56" i="1"/>
  <c r="O66" i="1"/>
  <c r="J483" i="1"/>
  <c r="O483" i="1"/>
  <c r="P483" i="1"/>
  <c r="R51" i="2"/>
  <c r="J478" i="1"/>
  <c r="O478" i="1"/>
  <c r="P478" i="1"/>
  <c r="J479" i="1"/>
  <c r="O479" i="1"/>
  <c r="P479" i="1"/>
  <c r="J480" i="1"/>
  <c r="O480" i="1"/>
  <c r="P480" i="1"/>
  <c r="J481" i="1"/>
  <c r="O481" i="1"/>
  <c r="P481" i="1"/>
  <c r="J482" i="1"/>
  <c r="O482" i="1"/>
  <c r="P482" i="1"/>
  <c r="R50" i="2"/>
  <c r="J472" i="1"/>
  <c r="O472" i="1"/>
  <c r="P472" i="1"/>
  <c r="J473" i="1"/>
  <c r="O473" i="1"/>
  <c r="P473" i="1"/>
  <c r="J474" i="1"/>
  <c r="O474" i="1"/>
  <c r="P474" i="1"/>
  <c r="J475" i="1"/>
  <c r="O475" i="1"/>
  <c r="P475" i="1"/>
  <c r="J476" i="1"/>
  <c r="O476" i="1"/>
  <c r="P476" i="1"/>
  <c r="J477" i="1"/>
  <c r="O477" i="1"/>
  <c r="P477" i="1"/>
  <c r="R49" i="2"/>
  <c r="J467" i="1"/>
  <c r="O467" i="1"/>
  <c r="P467" i="1"/>
  <c r="J468" i="1"/>
  <c r="O468" i="1"/>
  <c r="P468" i="1"/>
  <c r="J469" i="1"/>
  <c r="O469" i="1"/>
  <c r="P469" i="1"/>
  <c r="J470" i="1"/>
  <c r="O470" i="1"/>
  <c r="P470" i="1"/>
  <c r="J471" i="1"/>
  <c r="O471" i="1"/>
  <c r="P471" i="1"/>
  <c r="R48" i="2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I46" i="2"/>
  <c r="J218" i="1"/>
  <c r="O218" i="1"/>
  <c r="P218" i="1"/>
  <c r="J219" i="1"/>
  <c r="O219" i="1"/>
  <c r="P219" i="1"/>
  <c r="J220" i="1"/>
  <c r="O220" i="1"/>
  <c r="P220" i="1"/>
  <c r="J221" i="1"/>
  <c r="O221" i="1"/>
  <c r="P221" i="1"/>
  <c r="O222" i="1"/>
  <c r="P222" i="1"/>
  <c r="R44" i="2"/>
  <c r="J217" i="1"/>
  <c r="O217" i="1"/>
  <c r="P217" i="1"/>
  <c r="R43" i="2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N402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N460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I41" i="2"/>
  <c r="J351" i="1"/>
  <c r="O351" i="1"/>
  <c r="P351" i="1"/>
  <c r="J352" i="1"/>
  <c r="O352" i="1"/>
  <c r="P352" i="1"/>
  <c r="J353" i="1"/>
  <c r="O353" i="1"/>
  <c r="P353" i="1"/>
  <c r="J354" i="1"/>
  <c r="O354" i="1"/>
  <c r="P354" i="1"/>
  <c r="J355" i="1"/>
  <c r="O355" i="1"/>
  <c r="P355" i="1"/>
  <c r="J356" i="1"/>
  <c r="O356" i="1"/>
  <c r="P356" i="1"/>
  <c r="J357" i="1"/>
  <c r="O357" i="1"/>
  <c r="P357" i="1"/>
  <c r="J358" i="1"/>
  <c r="O358" i="1"/>
  <c r="P358" i="1"/>
  <c r="J359" i="1"/>
  <c r="O359" i="1"/>
  <c r="P359" i="1"/>
  <c r="O360" i="1"/>
  <c r="P360" i="1"/>
  <c r="J361" i="1"/>
  <c r="O361" i="1"/>
  <c r="P361" i="1"/>
  <c r="J362" i="1"/>
  <c r="O362" i="1"/>
  <c r="P362" i="1"/>
  <c r="J363" i="1"/>
  <c r="O363" i="1"/>
  <c r="P363" i="1"/>
  <c r="J364" i="1"/>
  <c r="O364" i="1"/>
  <c r="P364" i="1"/>
  <c r="R40" i="2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C39" i="2"/>
  <c r="J336" i="1"/>
  <c r="O336" i="1"/>
  <c r="P336" i="1"/>
  <c r="J337" i="1"/>
  <c r="O337" i="1"/>
  <c r="P337" i="1"/>
  <c r="J338" i="1"/>
  <c r="O338" i="1"/>
  <c r="P338" i="1"/>
  <c r="J339" i="1"/>
  <c r="O339" i="1"/>
  <c r="P339" i="1"/>
  <c r="R39" i="2"/>
  <c r="J329" i="1"/>
  <c r="O329" i="1"/>
  <c r="P329" i="1"/>
  <c r="J330" i="1"/>
  <c r="O330" i="1"/>
  <c r="P330" i="1"/>
  <c r="J331" i="1"/>
  <c r="O331" i="1"/>
  <c r="P331" i="1"/>
  <c r="J332" i="1"/>
  <c r="O332" i="1"/>
  <c r="P332" i="1"/>
  <c r="J333" i="1"/>
  <c r="O333" i="1"/>
  <c r="P333" i="1"/>
  <c r="J334" i="1"/>
  <c r="O334" i="1"/>
  <c r="P334" i="1"/>
  <c r="O335" i="1"/>
  <c r="P335" i="1"/>
  <c r="R38" i="2"/>
  <c r="J317" i="1"/>
  <c r="O317" i="1"/>
  <c r="P317" i="1"/>
  <c r="J318" i="1"/>
  <c r="O318" i="1"/>
  <c r="P318" i="1"/>
  <c r="R37" i="2"/>
  <c r="O319" i="1"/>
  <c r="P319" i="1"/>
  <c r="O320" i="1"/>
  <c r="P320" i="1"/>
  <c r="O321" i="1"/>
  <c r="P321" i="1"/>
  <c r="O322" i="1"/>
  <c r="P322" i="1"/>
  <c r="N323" i="1"/>
  <c r="O323" i="1"/>
  <c r="P323" i="1"/>
  <c r="O324" i="1"/>
  <c r="P324" i="1"/>
  <c r="O325" i="1"/>
  <c r="P325" i="1"/>
  <c r="N326" i="1"/>
  <c r="O326" i="1"/>
  <c r="P326" i="1"/>
  <c r="O327" i="1"/>
  <c r="P327" i="1"/>
  <c r="O328" i="1"/>
  <c r="P328" i="1"/>
  <c r="C37" i="2"/>
  <c r="O316" i="1"/>
  <c r="P316" i="1"/>
  <c r="C36" i="2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N279" i="1"/>
  <c r="O279" i="1"/>
  <c r="P279" i="1"/>
  <c r="O280" i="1"/>
  <c r="P280" i="1"/>
  <c r="O281" i="1"/>
  <c r="P281" i="1"/>
  <c r="O282" i="1"/>
  <c r="P282" i="1"/>
  <c r="N283" i="1"/>
  <c r="O283" i="1"/>
  <c r="P283" i="1"/>
  <c r="O284" i="1"/>
  <c r="P284" i="1"/>
  <c r="O285" i="1"/>
  <c r="P285" i="1"/>
  <c r="N286" i="1"/>
  <c r="O286" i="1"/>
  <c r="P286" i="1"/>
  <c r="O287" i="1"/>
  <c r="P287" i="1"/>
  <c r="O288" i="1"/>
  <c r="P288" i="1"/>
  <c r="O289" i="1"/>
  <c r="P289" i="1"/>
  <c r="N290" i="1"/>
  <c r="O290" i="1"/>
  <c r="P290" i="1"/>
  <c r="O291" i="1"/>
  <c r="P291" i="1"/>
  <c r="N292" i="1"/>
  <c r="O292" i="1"/>
  <c r="P292" i="1"/>
  <c r="O293" i="1"/>
  <c r="P293" i="1"/>
  <c r="N294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N306" i="1"/>
  <c r="O306" i="1"/>
  <c r="P306" i="1"/>
  <c r="O307" i="1"/>
  <c r="P307" i="1"/>
  <c r="N308" i="1"/>
  <c r="O308" i="1"/>
  <c r="P308" i="1"/>
  <c r="O309" i="1"/>
  <c r="P309" i="1"/>
  <c r="N310" i="1"/>
  <c r="O310" i="1"/>
  <c r="P310" i="1"/>
  <c r="O311" i="1"/>
  <c r="P311" i="1"/>
  <c r="O312" i="1"/>
  <c r="P312" i="1"/>
  <c r="N313" i="1"/>
  <c r="O313" i="1"/>
  <c r="P313" i="1"/>
  <c r="O314" i="1"/>
  <c r="P314" i="1"/>
  <c r="N315" i="1"/>
  <c r="O315" i="1"/>
  <c r="P315" i="1"/>
  <c r="C35" i="2"/>
  <c r="J249" i="1"/>
  <c r="O249" i="1"/>
  <c r="P249" i="1"/>
  <c r="J250" i="1"/>
  <c r="O250" i="1"/>
  <c r="P250" i="1"/>
  <c r="J251" i="1"/>
  <c r="O251" i="1"/>
  <c r="P251" i="1"/>
  <c r="J252" i="1"/>
  <c r="O252" i="1"/>
  <c r="P252" i="1"/>
  <c r="J253" i="1"/>
  <c r="O253" i="1"/>
  <c r="P253" i="1"/>
  <c r="J254" i="1"/>
  <c r="O254" i="1"/>
  <c r="P254" i="1"/>
  <c r="R34" i="2"/>
  <c r="J244" i="1"/>
  <c r="O244" i="1"/>
  <c r="P244" i="1"/>
  <c r="J245" i="1"/>
  <c r="O245" i="1"/>
  <c r="P245" i="1"/>
  <c r="J246" i="1"/>
  <c r="O246" i="1"/>
  <c r="P246" i="1"/>
  <c r="J247" i="1"/>
  <c r="O247" i="1"/>
  <c r="P247" i="1"/>
  <c r="J248" i="1"/>
  <c r="O248" i="1"/>
  <c r="P248" i="1"/>
  <c r="R33" i="2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I30" i="2"/>
  <c r="J182" i="1"/>
  <c r="O182" i="1"/>
  <c r="P182" i="1"/>
  <c r="J183" i="1"/>
  <c r="O183" i="1"/>
  <c r="P183" i="1"/>
  <c r="J184" i="1"/>
  <c r="O184" i="1"/>
  <c r="P184" i="1"/>
  <c r="R29" i="2"/>
  <c r="J180" i="1"/>
  <c r="O180" i="1"/>
  <c r="P180" i="1"/>
  <c r="R28" i="2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I27" i="2"/>
  <c r="J121" i="1"/>
  <c r="O121" i="1"/>
  <c r="P121" i="1"/>
  <c r="J122" i="1"/>
  <c r="O122" i="1"/>
  <c r="P122" i="1"/>
  <c r="R26" i="2"/>
  <c r="J116" i="1"/>
  <c r="O116" i="1"/>
  <c r="P116" i="1"/>
  <c r="J117" i="1"/>
  <c r="O117" i="1"/>
  <c r="P117" i="1"/>
  <c r="J118" i="1"/>
  <c r="O118" i="1"/>
  <c r="P118" i="1"/>
  <c r="J119" i="1"/>
  <c r="O119" i="1"/>
  <c r="P119" i="1"/>
  <c r="J120" i="1"/>
  <c r="O120" i="1"/>
  <c r="P120" i="1"/>
  <c r="R25" i="2"/>
  <c r="O110" i="1"/>
  <c r="P110" i="1"/>
  <c r="O111" i="1"/>
  <c r="P111" i="1"/>
  <c r="O112" i="1"/>
  <c r="P112" i="1"/>
  <c r="O113" i="1"/>
  <c r="P113" i="1"/>
  <c r="O114" i="1"/>
  <c r="P114" i="1"/>
  <c r="O115" i="1"/>
  <c r="P115" i="1"/>
  <c r="C25" i="2"/>
  <c r="J90" i="1"/>
  <c r="O90" i="1"/>
  <c r="P90" i="1"/>
  <c r="J91" i="1"/>
  <c r="O91" i="1"/>
  <c r="P91" i="1"/>
  <c r="J92" i="1"/>
  <c r="O92" i="1"/>
  <c r="P92" i="1"/>
  <c r="J93" i="1"/>
  <c r="O93" i="1"/>
  <c r="P93" i="1"/>
  <c r="J94" i="1"/>
  <c r="O94" i="1"/>
  <c r="P94" i="1"/>
  <c r="J95" i="1"/>
  <c r="O95" i="1"/>
  <c r="P95" i="1"/>
  <c r="J96" i="1"/>
  <c r="O96" i="1"/>
  <c r="P96" i="1"/>
  <c r="J97" i="1"/>
  <c r="O97" i="1"/>
  <c r="P97" i="1"/>
  <c r="J98" i="1"/>
  <c r="O98" i="1"/>
  <c r="P98" i="1"/>
  <c r="J99" i="1"/>
  <c r="O99" i="1"/>
  <c r="P99" i="1"/>
  <c r="J100" i="1"/>
  <c r="O100" i="1"/>
  <c r="P100" i="1"/>
  <c r="J101" i="1"/>
  <c r="O101" i="1"/>
  <c r="P101" i="1"/>
  <c r="J102" i="1"/>
  <c r="O102" i="1"/>
  <c r="P102" i="1"/>
  <c r="J103" i="1"/>
  <c r="O103" i="1"/>
  <c r="P103" i="1"/>
  <c r="J104" i="1"/>
  <c r="O104" i="1"/>
  <c r="P104" i="1"/>
  <c r="J105" i="1"/>
  <c r="O105" i="1"/>
  <c r="P105" i="1"/>
  <c r="J106" i="1"/>
  <c r="O106" i="1"/>
  <c r="P106" i="1"/>
  <c r="J107" i="1"/>
  <c r="O107" i="1"/>
  <c r="P107" i="1"/>
  <c r="J108" i="1"/>
  <c r="O108" i="1"/>
  <c r="P108" i="1"/>
  <c r="J109" i="1"/>
  <c r="O109" i="1"/>
  <c r="P109" i="1"/>
  <c r="R24" i="2"/>
  <c r="J82" i="1"/>
  <c r="O82" i="1"/>
  <c r="P82" i="1"/>
  <c r="J83" i="1"/>
  <c r="O83" i="1"/>
  <c r="P83" i="1"/>
  <c r="J84" i="1"/>
  <c r="O84" i="1"/>
  <c r="P84" i="1"/>
  <c r="J85" i="1"/>
  <c r="O85" i="1"/>
  <c r="P85" i="1"/>
  <c r="J86" i="1"/>
  <c r="O86" i="1"/>
  <c r="P86" i="1"/>
  <c r="J87" i="1"/>
  <c r="O87" i="1"/>
  <c r="P87" i="1"/>
  <c r="J88" i="1"/>
  <c r="O88" i="1"/>
  <c r="P88" i="1"/>
  <c r="R23" i="2"/>
  <c r="O51" i="1"/>
  <c r="P51" i="1"/>
  <c r="R22" i="2"/>
  <c r="J40" i="1"/>
  <c r="P40" i="1"/>
  <c r="J41" i="1"/>
  <c r="P41" i="1"/>
  <c r="J42" i="1"/>
  <c r="O42" i="1"/>
  <c r="P42" i="1"/>
  <c r="J43" i="1"/>
  <c r="O43" i="1"/>
  <c r="P43" i="1"/>
  <c r="J44" i="1"/>
  <c r="O44" i="1"/>
  <c r="P44" i="1"/>
  <c r="J45" i="1"/>
  <c r="O45" i="1"/>
  <c r="P45" i="1"/>
  <c r="J46" i="1"/>
  <c r="O46" i="1"/>
  <c r="P46" i="1"/>
  <c r="J47" i="1"/>
  <c r="O47" i="1"/>
  <c r="P47" i="1"/>
  <c r="J48" i="1"/>
  <c r="O48" i="1"/>
  <c r="P48" i="1"/>
  <c r="J49" i="1"/>
  <c r="O49" i="1"/>
  <c r="P49" i="1"/>
  <c r="J50" i="1"/>
  <c r="O50" i="1"/>
  <c r="P50" i="1"/>
  <c r="R21" i="2"/>
  <c r="J33" i="1"/>
  <c r="P33" i="1"/>
  <c r="J34" i="1"/>
  <c r="P34" i="1"/>
  <c r="J35" i="1"/>
  <c r="P35" i="1"/>
  <c r="J36" i="1"/>
  <c r="P36" i="1"/>
  <c r="J37" i="1"/>
  <c r="P37" i="1"/>
  <c r="J38" i="1"/>
  <c r="P38" i="1"/>
  <c r="J39" i="1"/>
  <c r="P39" i="1"/>
  <c r="R20" i="2"/>
  <c r="P32" i="1"/>
  <c r="R19" i="2"/>
  <c r="J21" i="1"/>
  <c r="P21" i="1"/>
  <c r="J22" i="1"/>
  <c r="P22" i="1"/>
  <c r="J23" i="1"/>
  <c r="P23" i="1"/>
  <c r="J24" i="1"/>
  <c r="P24" i="1"/>
  <c r="J25" i="1"/>
  <c r="P25" i="1"/>
  <c r="J26" i="1"/>
  <c r="P26" i="1"/>
  <c r="J27" i="1"/>
  <c r="P27" i="1"/>
  <c r="J28" i="1"/>
  <c r="P28" i="1"/>
  <c r="J29" i="1"/>
  <c r="P29" i="1"/>
  <c r="J30" i="1"/>
  <c r="P30" i="1"/>
  <c r="J31" i="1"/>
  <c r="P31" i="1"/>
  <c r="R18" i="2"/>
  <c r="J17" i="1"/>
  <c r="P17" i="1"/>
  <c r="J18" i="1"/>
  <c r="P18" i="1"/>
  <c r="J19" i="1"/>
  <c r="P19" i="1"/>
  <c r="J20" i="1"/>
  <c r="P20" i="1"/>
  <c r="R17" i="2"/>
  <c r="P11" i="1"/>
  <c r="P12" i="1"/>
  <c r="P13" i="1"/>
  <c r="P14" i="1"/>
  <c r="P15" i="1"/>
  <c r="P16" i="1"/>
  <c r="I16" i="2"/>
  <c r="J8" i="1"/>
  <c r="P8" i="1"/>
  <c r="J9" i="1"/>
  <c r="P9" i="1"/>
  <c r="J10" i="1"/>
  <c r="P10" i="1"/>
  <c r="R15" i="2"/>
  <c r="P7" i="1"/>
  <c r="R14" i="2"/>
  <c r="J4" i="1"/>
  <c r="P4" i="1"/>
  <c r="J5" i="1"/>
  <c r="P5" i="1"/>
  <c r="J6" i="1"/>
  <c r="P6" i="1"/>
  <c r="R13" i="2"/>
  <c r="J172" i="1"/>
  <c r="O172" i="1"/>
  <c r="P172" i="1"/>
  <c r="J173" i="1"/>
  <c r="O173" i="1"/>
  <c r="P173" i="1"/>
  <c r="O174" i="1"/>
  <c r="P174" i="1"/>
  <c r="O175" i="1"/>
  <c r="P175" i="1"/>
  <c r="J176" i="1"/>
  <c r="O176" i="1"/>
  <c r="P176" i="1"/>
  <c r="J177" i="1"/>
  <c r="O177" i="1"/>
  <c r="P177" i="1"/>
  <c r="J178" i="1"/>
  <c r="O178" i="1"/>
  <c r="P178" i="1"/>
  <c r="J179" i="1"/>
  <c r="O179" i="1"/>
  <c r="P179" i="1"/>
  <c r="R10" i="2"/>
  <c r="J171" i="1"/>
  <c r="O171" i="1"/>
  <c r="P171" i="1"/>
  <c r="R9" i="2"/>
  <c r="J163" i="1"/>
  <c r="O163" i="1"/>
  <c r="P163" i="1"/>
  <c r="J164" i="1"/>
  <c r="O164" i="1"/>
  <c r="P164" i="1"/>
  <c r="J165" i="1"/>
  <c r="O165" i="1"/>
  <c r="P165" i="1"/>
  <c r="J166" i="1"/>
  <c r="O166" i="1"/>
  <c r="P166" i="1"/>
  <c r="J167" i="1"/>
  <c r="O167" i="1"/>
  <c r="P167" i="1"/>
  <c r="O168" i="1"/>
  <c r="P168" i="1"/>
  <c r="J169" i="1"/>
  <c r="O169" i="1"/>
  <c r="P169" i="1"/>
  <c r="R8" i="2"/>
  <c r="J79" i="1"/>
  <c r="O79" i="1"/>
  <c r="P79" i="1"/>
  <c r="J80" i="1"/>
  <c r="O80" i="1"/>
  <c r="P80" i="1"/>
  <c r="J81" i="1"/>
  <c r="O81" i="1"/>
  <c r="P81" i="1"/>
  <c r="R7" i="2"/>
  <c r="J72" i="1"/>
  <c r="O72" i="1"/>
  <c r="P72" i="1"/>
  <c r="R6" i="2"/>
  <c r="O70" i="1"/>
  <c r="O71" i="1"/>
  <c r="N73" i="1"/>
  <c r="O73" i="1"/>
  <c r="O74" i="1"/>
  <c r="O75" i="1"/>
  <c r="O76" i="1"/>
  <c r="O77" i="1"/>
  <c r="O78" i="1"/>
  <c r="C6" i="2"/>
  <c r="J64" i="1"/>
  <c r="O64" i="1"/>
  <c r="P64" i="1"/>
  <c r="J65" i="1"/>
  <c r="O65" i="1"/>
  <c r="P65" i="1"/>
  <c r="J66" i="1"/>
  <c r="P66" i="1"/>
  <c r="J67" i="1"/>
  <c r="O67" i="1"/>
  <c r="P67" i="1"/>
  <c r="J68" i="1"/>
  <c r="O68" i="1"/>
  <c r="P68" i="1"/>
  <c r="J69" i="1"/>
  <c r="O69" i="1"/>
  <c r="P69" i="1"/>
  <c r="R5" i="2"/>
  <c r="J59" i="1"/>
  <c r="O59" i="1"/>
  <c r="P59" i="1"/>
  <c r="J60" i="1"/>
  <c r="O60" i="1"/>
  <c r="P60" i="1"/>
  <c r="J61" i="1"/>
  <c r="O61" i="1"/>
  <c r="P61" i="1"/>
  <c r="J62" i="1"/>
  <c r="O62" i="1"/>
  <c r="P62" i="1"/>
  <c r="J63" i="1"/>
  <c r="O63" i="1"/>
  <c r="P63" i="1"/>
  <c r="R4" i="2"/>
  <c r="J52" i="1"/>
  <c r="O52" i="1"/>
  <c r="P52" i="1"/>
  <c r="J53" i="1"/>
  <c r="O53" i="1"/>
  <c r="P53" i="1"/>
  <c r="J54" i="1"/>
  <c r="O54" i="1"/>
  <c r="P54" i="1"/>
  <c r="J55" i="1"/>
  <c r="O55" i="1"/>
  <c r="P55" i="1"/>
  <c r="J56" i="1"/>
  <c r="P56" i="1"/>
  <c r="J57" i="1"/>
  <c r="O57" i="1"/>
  <c r="P57" i="1"/>
  <c r="J58" i="1"/>
  <c r="O58" i="1"/>
  <c r="P58" i="1"/>
  <c r="R3" i="2"/>
  <c r="N458" i="1"/>
  <c r="N450" i="1"/>
  <c r="N447" i="1"/>
  <c r="N238" i="1"/>
  <c r="J181" i="1"/>
  <c r="J170" i="1"/>
  <c r="J8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80" i="1"/>
  <c r="N281" i="1"/>
  <c r="N282" i="1"/>
  <c r="N284" i="1"/>
  <c r="N285" i="1"/>
  <c r="N287" i="1"/>
  <c r="N288" i="1"/>
  <c r="N289" i="1"/>
  <c r="N291" i="1"/>
  <c r="N293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9" i="1"/>
  <c r="N311" i="1"/>
  <c r="N312" i="1"/>
  <c r="N314" i="1"/>
  <c r="N316" i="1"/>
  <c r="N317" i="1"/>
  <c r="N318" i="1"/>
  <c r="N319" i="1"/>
  <c r="N320" i="1"/>
  <c r="N321" i="1"/>
  <c r="N322" i="1"/>
  <c r="N324" i="1"/>
  <c r="N325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8" i="1"/>
  <c r="N449" i="1"/>
  <c r="N451" i="1"/>
  <c r="N452" i="1"/>
  <c r="N453" i="1"/>
  <c r="N454" i="1"/>
  <c r="N455" i="1"/>
  <c r="N456" i="1"/>
  <c r="N457" i="1"/>
  <c r="N459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O350" i="1"/>
  <c r="P350" i="1"/>
  <c r="O484" i="1"/>
  <c r="P484" i="1"/>
  <c r="O466" i="1"/>
  <c r="P466" i="1"/>
  <c r="O242" i="1"/>
  <c r="P242" i="1"/>
  <c r="O243" i="1"/>
  <c r="P243" i="1"/>
  <c r="O223" i="1"/>
  <c r="P223" i="1"/>
  <c r="P70" i="1"/>
  <c r="P71" i="1"/>
  <c r="P73" i="1"/>
  <c r="O181" i="1"/>
  <c r="P181" i="1"/>
  <c r="O123" i="1"/>
  <c r="P123" i="1"/>
  <c r="O89" i="1"/>
  <c r="P89" i="1"/>
  <c r="O170" i="1"/>
  <c r="P170" i="1"/>
  <c r="P78" i="1"/>
  <c r="P77" i="1"/>
  <c r="P76" i="1"/>
  <c r="P75" i="1"/>
  <c r="P74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<sst xmlns="http://schemas.openxmlformats.org/spreadsheetml/2006/main" count="1128" uniqueCount="66">
  <si>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</si>
  <si>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</si>
  <si>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</si>
  <si>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</si>
  <si>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</si>
  <si>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</si>
  <si>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</si>
  <si>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</si>
  <si>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</si>
  <si>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</si>
  <si>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</si>
  <si>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</si>
  <si>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</si>
  <si>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</si>
  <si>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</si>
  <si>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</si>
  <si>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</si>
  <si>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</si>
  <si>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</si>
  <si>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</si>
  <si>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</si>
  <si>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</si>
  <si>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</si>
  <si>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</si>
  <si>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</si>
  <si>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</si>
  <si>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</si>
  <si>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</si>
  <si>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</si>
  <si>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</si>
  <si>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</si>
  <si>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</si>
  <si>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</si>
  <si>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</si>
  <si>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</si>
  <si>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</si>
  <si>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</si>
  <si>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</si>
  <si>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</si>
  <si>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</si>
  <si>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</si>
  <si>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</si>
  <si>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</si>
  <si>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</si>
  <si>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</si>
  <si>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</si>
  <si>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</si>
  <si>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</si>
  <si>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</si>
  <si>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</si>
  <si>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</si>
  <si>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</si>
  <si>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</si>
  <si>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</si>
  <si>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</si>
  <si>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</si>
  <si>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</si>
  <si>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</si>
  <si>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</si>
  <si>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</si>
  <si>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</si>
  <si>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</si>
  <si>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Thatched</t>
  </si>
  <si>
    <t>S. Californicus</t>
  </si>
  <si>
    <t>Airboat Trail</t>
  </si>
  <si>
    <t>S. Acutus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</si>
</sst>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0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6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abSelected="1" zoomScale="125" zoomScaleNormal="125" zoomScalePageLayoutView="125" workbookViewId="0">
      <selection activeCell="P4" sqref="P4:P513"/>
    </sheetView>
  </sheetViews>
  <sheetFormatPr baseColWidth="10" defaultRowHeight="15" x14ac:dyDescent="0.75"/>
  <sheetData>
    <row r="1" spans="1:19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  <c r="Q1" s="1"/>
      <c r="R1" s="1"/>
    </row>
    <row r="2" spans="1:19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  <c r="Q2" s="2"/>
      <c r="R2" s="2"/>
    </row>
    <row r="3" spans="1:19" ht="64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60</v>
      </c>
      <c r="Q3" s="5" t="s">
        <v>17</v>
      </c>
      <c r="R3" s="5" t="s">
        <v>18</v>
      </c>
      <c r="S3" s="5" t="s">
        <v>26</v>
      </c>
    </row>
    <row r="4" spans="1:19">
      <c r="A4" s="7">
        <v>42382</v>
      </c>
      <c r="B4" t="s">
        <v>19</v>
      </c>
      <c r="C4">
        <v>29</v>
      </c>
      <c r="D4" t="s">
        <v>61</v>
      </c>
      <c r="F4">
        <v>1.25</v>
      </c>
      <c r="J4">
        <f>49+86+107+109+111</f>
        <v>462</v>
      </c>
      <c r="K4">
        <v>5</v>
      </c>
      <c r="L4">
        <v>111</v>
      </c>
      <c r="N4" t="str">
        <f t="shared" ref="N4:N67" si="0">IF(OR(D4="S. acutus", D4="S. tabernaemontani", D4="S. californicus"),(1/3)*(3.14159)*((F4/2)^2)*E4,"NA")</f>
        <v>NA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7.8018339999999995</v>
      </c>
      <c r="P4">
        <f>IF(O4&lt;0," ",O4)</f>
        <v>7.8018339999999995</v>
      </c>
      <c r="Q4">
        <v>10</v>
      </c>
      <c r="S4">
        <f>3.14159*((F4/2)^2)</f>
        <v>1.22718359375</v>
      </c>
    </row>
    <row r="5" spans="1:19">
      <c r="A5" s="7">
        <v>42382</v>
      </c>
      <c r="B5" t="s">
        <v>19</v>
      </c>
      <c r="C5">
        <v>29</v>
      </c>
      <c r="D5" t="s">
        <v>61</v>
      </c>
      <c r="F5">
        <v>1.55</v>
      </c>
      <c r="J5">
        <f>85+60+108+120</f>
        <v>373</v>
      </c>
      <c r="K5">
        <v>4</v>
      </c>
      <c r="L5">
        <v>120</v>
      </c>
      <c r="N5" t="str">
        <f t="shared" si="0"/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3.7687869999999997</v>
      </c>
      <c r="P5">
        <f t="shared" ref="P5:P68" si="1">IF(O5&lt;0," ",O5)</f>
        <v>3.7687869999999997</v>
      </c>
      <c r="S5">
        <f t="shared" ref="S5:S68" si="2">3.14159*((F5/2)^2)</f>
        <v>1.8869174937500002</v>
      </c>
    </row>
    <row r="6" spans="1:19">
      <c r="A6" s="7">
        <v>42382</v>
      </c>
      <c r="B6" t="s">
        <v>19</v>
      </c>
      <c r="C6">
        <v>29</v>
      </c>
      <c r="D6" t="s">
        <v>61</v>
      </c>
      <c r="F6">
        <v>0.42</v>
      </c>
      <c r="J6">
        <f>28+30+99</f>
        <v>157</v>
      </c>
      <c r="K6">
        <v>3</v>
      </c>
      <c r="L6">
        <v>99</v>
      </c>
      <c r="N6" t="str">
        <f t="shared" si="0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-3.1337949999999992</v>
      </c>
      <c r="P6" t="str">
        <f t="shared" si="1"/>
        <v xml:space="preserve"> </v>
      </c>
      <c r="S6">
        <f t="shared" si="2"/>
        <v>0.13854411899999997</v>
      </c>
    </row>
    <row r="7" spans="1:19">
      <c r="A7" s="9">
        <v>42382</v>
      </c>
      <c r="B7" t="s">
        <v>19</v>
      </c>
      <c r="C7">
        <v>26</v>
      </c>
      <c r="M7" t="s">
        <v>62</v>
      </c>
      <c r="N7" t="str">
        <f t="shared" si="0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0</v>
      </c>
      <c r="P7">
        <f t="shared" si="1"/>
        <v>0</v>
      </c>
      <c r="S7">
        <f t="shared" si="2"/>
        <v>0</v>
      </c>
    </row>
    <row r="8" spans="1:19">
      <c r="A8" s="9">
        <v>42382</v>
      </c>
      <c r="B8" t="s">
        <v>19</v>
      </c>
      <c r="C8">
        <v>20</v>
      </c>
      <c r="D8" s="8" t="s">
        <v>61</v>
      </c>
      <c r="F8">
        <v>1.75</v>
      </c>
      <c r="J8">
        <f>35+36+65+64+80+87</f>
        <v>367</v>
      </c>
      <c r="K8">
        <v>6</v>
      </c>
      <c r="L8">
        <v>82</v>
      </c>
      <c r="N8" t="str">
        <f t="shared" si="0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0.60886099999999743</v>
      </c>
      <c r="P8">
        <f t="shared" si="1"/>
        <v>0.60886099999999743</v>
      </c>
      <c r="S8">
        <f t="shared" si="2"/>
        <v>2.4052798437499998</v>
      </c>
    </row>
    <row r="9" spans="1:19">
      <c r="A9" s="9">
        <v>42382</v>
      </c>
      <c r="B9" s="9" t="s">
        <v>19</v>
      </c>
      <c r="C9">
        <v>20</v>
      </c>
      <c r="D9" s="8" t="s">
        <v>61</v>
      </c>
      <c r="F9">
        <v>9.81</v>
      </c>
      <c r="J9">
        <f>98+141+158+203+215+214+213</f>
        <v>1242</v>
      </c>
      <c r="K9">
        <v>7</v>
      </c>
      <c r="L9">
        <v>215</v>
      </c>
      <c r="N9" t="str">
        <f t="shared" si="0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35.556548000000014</v>
      </c>
      <c r="P9">
        <f t="shared" si="1"/>
        <v>35.556548000000014</v>
      </c>
      <c r="S9">
        <f t="shared" si="2"/>
        <v>75.583592349750006</v>
      </c>
    </row>
    <row r="10" spans="1:19">
      <c r="A10" s="9">
        <v>42382</v>
      </c>
      <c r="B10" t="s">
        <v>19</v>
      </c>
      <c r="C10">
        <v>20</v>
      </c>
      <c r="D10" s="8" t="s">
        <v>61</v>
      </c>
      <c r="F10">
        <v>6.94</v>
      </c>
      <c r="J10">
        <f>118+162+197+198+203+207</f>
        <v>1085</v>
      </c>
      <c r="K10">
        <v>6</v>
      </c>
      <c r="L10">
        <v>207</v>
      </c>
      <c r="N10" t="str">
        <f t="shared" si="0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30.269326</v>
      </c>
      <c r="P10">
        <f t="shared" si="1"/>
        <v>30.269326</v>
      </c>
      <c r="S10">
        <f t="shared" si="2"/>
        <v>37.827571030999998</v>
      </c>
    </row>
    <row r="11" spans="1:19">
      <c r="A11" s="9">
        <v>42382</v>
      </c>
      <c r="B11" t="s">
        <v>19</v>
      </c>
      <c r="C11">
        <v>10</v>
      </c>
      <c r="D11" s="8" t="s">
        <v>63</v>
      </c>
      <c r="E11">
        <v>110</v>
      </c>
      <c r="F11">
        <v>1.66</v>
      </c>
      <c r="N11">
        <f t="shared" si="0"/>
        <v>79.355516203333323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3.1209530000000001</v>
      </c>
      <c r="P11">
        <f t="shared" si="1"/>
        <v>3.1209530000000001</v>
      </c>
      <c r="S11">
        <f t="shared" si="2"/>
        <v>2.1642413509999998</v>
      </c>
    </row>
    <row r="12" spans="1:19">
      <c r="A12" s="9">
        <v>42382</v>
      </c>
      <c r="B12" t="s">
        <v>19</v>
      </c>
      <c r="C12" s="8">
        <v>10</v>
      </c>
      <c r="D12" s="8" t="s">
        <v>63</v>
      </c>
      <c r="E12">
        <v>135</v>
      </c>
      <c r="F12">
        <v>1.1599999999999999</v>
      </c>
      <c r="N12">
        <f t="shared" si="0"/>
        <v>47.557389419999986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4.8735780000000011</v>
      </c>
      <c r="P12">
        <f t="shared" si="1"/>
        <v>4.8735780000000011</v>
      </c>
      <c r="S12">
        <f t="shared" si="2"/>
        <v>1.0568308759999998</v>
      </c>
    </row>
    <row r="13" spans="1:19">
      <c r="A13" s="9">
        <v>42382</v>
      </c>
      <c r="B13" t="s">
        <v>19</v>
      </c>
      <c r="C13" s="8">
        <v>10</v>
      </c>
      <c r="D13" s="8" t="s">
        <v>63</v>
      </c>
      <c r="E13">
        <v>60</v>
      </c>
      <c r="F13">
        <v>1.06</v>
      </c>
      <c r="N13">
        <f t="shared" si="0"/>
        <v>17.649452620000002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-0.38429700000000011</v>
      </c>
      <c r="P13" t="str">
        <f t="shared" si="1"/>
        <v xml:space="preserve"> </v>
      </c>
      <c r="S13">
        <f t="shared" si="2"/>
        <v>0.88247263100000006</v>
      </c>
    </row>
    <row r="14" spans="1:19">
      <c r="A14" s="7">
        <v>42382</v>
      </c>
      <c r="B14" t="s">
        <v>19</v>
      </c>
      <c r="C14">
        <v>10</v>
      </c>
      <c r="D14" s="8" t="s">
        <v>63</v>
      </c>
      <c r="E14">
        <v>67</v>
      </c>
      <c r="F14">
        <v>0.85</v>
      </c>
      <c r="N14">
        <f t="shared" si="0"/>
        <v>12.673043160416663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0.10643799999999981</v>
      </c>
      <c r="P14">
        <f t="shared" si="1"/>
        <v>0.10643799999999981</v>
      </c>
      <c r="S14">
        <f t="shared" si="2"/>
        <v>0.56744969374999987</v>
      </c>
    </row>
    <row r="15" spans="1:19">
      <c r="A15" s="7">
        <v>42382</v>
      </c>
      <c r="B15" t="s">
        <v>19</v>
      </c>
      <c r="C15">
        <v>10</v>
      </c>
      <c r="D15" s="8" t="s">
        <v>63</v>
      </c>
      <c r="E15">
        <v>82</v>
      </c>
      <c r="F15">
        <v>0.94</v>
      </c>
      <c r="N15">
        <f t="shared" si="0"/>
        <v>18.968710980666664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1.1580130000000004</v>
      </c>
      <c r="P15">
        <f t="shared" si="1"/>
        <v>1.1580130000000004</v>
      </c>
      <c r="S15">
        <f t="shared" si="2"/>
        <v>0.69397723099999997</v>
      </c>
    </row>
    <row r="16" spans="1:19">
      <c r="A16" s="7">
        <v>42382</v>
      </c>
      <c r="B16" t="s">
        <v>19</v>
      </c>
      <c r="C16">
        <v>10</v>
      </c>
      <c r="D16" s="8" t="s">
        <v>63</v>
      </c>
      <c r="E16">
        <v>95</v>
      </c>
      <c r="F16">
        <v>1.61</v>
      </c>
      <c r="N16">
        <f t="shared" si="0"/>
        <v>64.467913892083331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2.0693780000000004</v>
      </c>
      <c r="P16">
        <f t="shared" si="1"/>
        <v>2.0693780000000004</v>
      </c>
      <c r="S16">
        <f t="shared" si="2"/>
        <v>2.0358288597500001</v>
      </c>
    </row>
    <row r="17" spans="1:19">
      <c r="A17" s="9">
        <v>42382</v>
      </c>
      <c r="B17" t="s">
        <v>19</v>
      </c>
      <c r="C17">
        <v>5</v>
      </c>
      <c r="D17" s="8" t="s">
        <v>61</v>
      </c>
      <c r="F17">
        <v>3.48</v>
      </c>
      <c r="J17">
        <f>66+101+118+125+127+129</f>
        <v>666</v>
      </c>
      <c r="K17">
        <v>6</v>
      </c>
      <c r="L17">
        <v>129</v>
      </c>
      <c r="N17" t="str">
        <f t="shared" si="0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14.483091000000002</v>
      </c>
      <c r="P17">
        <f t="shared" si="1"/>
        <v>14.483091000000002</v>
      </c>
      <c r="S17">
        <f t="shared" si="2"/>
        <v>9.5114778839999996</v>
      </c>
    </row>
    <row r="18" spans="1:19">
      <c r="A18" s="7">
        <v>42382</v>
      </c>
      <c r="B18" t="s">
        <v>19</v>
      </c>
      <c r="C18">
        <v>5</v>
      </c>
      <c r="D18" s="8" t="s">
        <v>61</v>
      </c>
      <c r="F18">
        <v>3.91</v>
      </c>
      <c r="J18">
        <f>27+95+109+125+127+137+136</f>
        <v>756</v>
      </c>
      <c r="K18">
        <v>7</v>
      </c>
      <c r="L18">
        <v>137</v>
      </c>
      <c r="N18" t="str">
        <f t="shared" si="0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13.488728000000009</v>
      </c>
      <c r="P18">
        <f t="shared" si="1"/>
        <v>13.488728000000009</v>
      </c>
      <c r="S18">
        <f t="shared" si="2"/>
        <v>12.007235519750001</v>
      </c>
    </row>
    <row r="19" spans="1:19">
      <c r="A19" s="9">
        <v>42382</v>
      </c>
      <c r="B19" t="s">
        <v>19</v>
      </c>
      <c r="C19">
        <v>5</v>
      </c>
      <c r="D19" s="8" t="s">
        <v>61</v>
      </c>
      <c r="F19">
        <v>4.51</v>
      </c>
      <c r="J19">
        <f>121+129+138+126+146+143+140</f>
        <v>943</v>
      </c>
      <c r="K19">
        <v>7</v>
      </c>
      <c r="L19">
        <v>146</v>
      </c>
      <c r="N19" t="str">
        <f t="shared" si="0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28.309708000000008</v>
      </c>
      <c r="P19">
        <f t="shared" si="1"/>
        <v>28.309708000000008</v>
      </c>
      <c r="S19">
        <f t="shared" si="2"/>
        <v>15.97506368975</v>
      </c>
    </row>
    <row r="20" spans="1:19">
      <c r="A20" s="9">
        <v>42382</v>
      </c>
      <c r="B20" t="s">
        <v>19</v>
      </c>
      <c r="C20">
        <v>5</v>
      </c>
      <c r="D20" s="8" t="s">
        <v>61</v>
      </c>
      <c r="F20">
        <v>4.9400000000000004</v>
      </c>
      <c r="J20" s="8">
        <f>194+128+139+143+144+144+146</f>
        <v>1038</v>
      </c>
      <c r="K20">
        <v>7</v>
      </c>
      <c r="L20">
        <v>194</v>
      </c>
      <c r="N20" t="str">
        <f t="shared" si="0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22.756672999999999</v>
      </c>
      <c r="P20">
        <f t="shared" si="1"/>
        <v>22.756672999999999</v>
      </c>
      <c r="S20">
        <f t="shared" si="2"/>
        <v>19.166526431000001</v>
      </c>
    </row>
    <row r="21" spans="1:19">
      <c r="A21" s="9">
        <v>42382</v>
      </c>
      <c r="B21" t="s">
        <v>56</v>
      </c>
      <c r="C21">
        <v>48</v>
      </c>
      <c r="D21" s="8" t="s">
        <v>61</v>
      </c>
      <c r="F21">
        <v>0.54</v>
      </c>
      <c r="J21" s="8">
        <f>31+38+48</f>
        <v>117</v>
      </c>
      <c r="K21">
        <v>3</v>
      </c>
      <c r="L21">
        <v>48</v>
      </c>
      <c r="N21" t="str">
        <f t="shared" si="0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8.479499999999998</v>
      </c>
      <c r="P21">
        <f t="shared" si="1"/>
        <v>8.479499999999998</v>
      </c>
      <c r="S21">
        <f t="shared" si="2"/>
        <v>0.22902191100000002</v>
      </c>
    </row>
    <row r="22" spans="1:19">
      <c r="A22" s="7">
        <v>42382</v>
      </c>
      <c r="B22" t="s">
        <v>56</v>
      </c>
      <c r="C22">
        <v>48</v>
      </c>
      <c r="D22" s="8" t="s">
        <v>61</v>
      </c>
      <c r="F22">
        <v>1.73</v>
      </c>
      <c r="J22" s="8">
        <f>82+154+155</f>
        <v>391</v>
      </c>
      <c r="K22">
        <v>3</v>
      </c>
      <c r="L22">
        <v>155</v>
      </c>
      <c r="N22" t="str">
        <f t="shared" si="0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1.9351550000000017</v>
      </c>
      <c r="P22">
        <f t="shared" si="1"/>
        <v>1.9351550000000017</v>
      </c>
      <c r="S22">
        <f t="shared" si="2"/>
        <v>2.3506161777500001</v>
      </c>
    </row>
    <row r="23" spans="1:19">
      <c r="A23" s="9">
        <v>42382</v>
      </c>
      <c r="B23" t="s">
        <v>56</v>
      </c>
      <c r="C23">
        <v>48</v>
      </c>
      <c r="D23" s="8" t="s">
        <v>61</v>
      </c>
      <c r="F23">
        <v>1.29</v>
      </c>
      <c r="J23" s="8">
        <f>44+96+99+121</f>
        <v>360</v>
      </c>
      <c r="K23">
        <v>4</v>
      </c>
      <c r="L23">
        <v>121</v>
      </c>
      <c r="N23" t="str">
        <f t="shared" si="0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2.2487269999999988</v>
      </c>
      <c r="P23">
        <f t="shared" si="1"/>
        <v>2.2487269999999988</v>
      </c>
      <c r="S23">
        <f t="shared" si="2"/>
        <v>1.3069799797500001</v>
      </c>
    </row>
    <row r="24" spans="1:19">
      <c r="A24" s="7">
        <v>42382</v>
      </c>
      <c r="B24" t="s">
        <v>56</v>
      </c>
      <c r="C24">
        <v>48</v>
      </c>
      <c r="D24" s="8" t="s">
        <v>61</v>
      </c>
      <c r="F24">
        <v>0.52</v>
      </c>
      <c r="J24" s="8">
        <f>45+80+72</f>
        <v>197</v>
      </c>
      <c r="K24">
        <v>3</v>
      </c>
      <c r="L24">
        <v>80</v>
      </c>
      <c r="N24" t="str">
        <f t="shared" si="0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6.3400599999999976</v>
      </c>
      <c r="P24">
        <f t="shared" si="1"/>
        <v>6.3400599999999976</v>
      </c>
      <c r="S24">
        <f t="shared" si="2"/>
        <v>0.21237148400000003</v>
      </c>
    </row>
    <row r="25" spans="1:19">
      <c r="A25" s="7">
        <v>42382</v>
      </c>
      <c r="B25" t="s">
        <v>56</v>
      </c>
      <c r="C25">
        <v>48</v>
      </c>
      <c r="D25" s="8" t="s">
        <v>61</v>
      </c>
      <c r="F25">
        <v>2.78</v>
      </c>
      <c r="J25" s="8">
        <f>119+188+122+123+125</f>
        <v>677</v>
      </c>
      <c r="K25">
        <v>5</v>
      </c>
      <c r="L25">
        <v>188</v>
      </c>
      <c r="N25" t="str">
        <f t="shared" si="0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4.7632940000000019</v>
      </c>
      <c r="P25">
        <f t="shared" si="1"/>
        <v>4.7632940000000019</v>
      </c>
      <c r="S25">
        <f t="shared" si="2"/>
        <v>6.069866038999999</v>
      </c>
    </row>
    <row r="26" spans="1:19">
      <c r="A26" s="9">
        <v>42382</v>
      </c>
      <c r="B26" t="s">
        <v>56</v>
      </c>
      <c r="C26">
        <v>48</v>
      </c>
      <c r="D26" s="8" t="s">
        <v>61</v>
      </c>
      <c r="F26">
        <v>7.07</v>
      </c>
      <c r="J26" s="8">
        <f>29+213+248+249+258+263+270+361</f>
        <v>1891</v>
      </c>
      <c r="K26">
        <v>8</v>
      </c>
      <c r="L26">
        <v>361</v>
      </c>
      <c r="N26" t="str">
        <f t="shared" si="0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45.399420000000013</v>
      </c>
      <c r="P26">
        <f t="shared" si="1"/>
        <v>45.399420000000013</v>
      </c>
      <c r="S26">
        <f t="shared" si="2"/>
        <v>39.258015497750002</v>
      </c>
    </row>
    <row r="27" spans="1:19">
      <c r="A27" s="9">
        <v>42382</v>
      </c>
      <c r="B27" t="s">
        <v>56</v>
      </c>
      <c r="C27">
        <v>48</v>
      </c>
      <c r="D27" s="8" t="s">
        <v>61</v>
      </c>
      <c r="F27">
        <v>0.94</v>
      </c>
      <c r="J27" s="8">
        <f>34+42+48</f>
        <v>124</v>
      </c>
      <c r="K27">
        <v>3</v>
      </c>
      <c r="L27">
        <v>48</v>
      </c>
      <c r="N27" t="str">
        <f t="shared" si="0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9.1357849999999985</v>
      </c>
      <c r="P27">
        <f t="shared" si="1"/>
        <v>9.1357849999999985</v>
      </c>
      <c r="S27">
        <f t="shared" si="2"/>
        <v>0.69397723099999997</v>
      </c>
    </row>
    <row r="28" spans="1:19">
      <c r="A28" s="7">
        <v>42382</v>
      </c>
      <c r="B28" t="s">
        <v>56</v>
      </c>
      <c r="C28">
        <v>48</v>
      </c>
      <c r="D28" s="8" t="s">
        <v>61</v>
      </c>
      <c r="F28">
        <v>1.23</v>
      </c>
      <c r="J28" s="8">
        <f>23+26+33+43+49</f>
        <v>174</v>
      </c>
      <c r="K28">
        <v>5</v>
      </c>
      <c r="L28">
        <v>49</v>
      </c>
      <c r="N28" t="str">
        <f t="shared" si="0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-0.52241599999999977</v>
      </c>
      <c r="P28" t="str">
        <f t="shared" si="1"/>
        <v xml:space="preserve"> </v>
      </c>
      <c r="S28">
        <f t="shared" si="2"/>
        <v>1.1882278777499999</v>
      </c>
    </row>
    <row r="29" spans="1:19">
      <c r="A29" s="9">
        <v>42382</v>
      </c>
      <c r="B29" t="s">
        <v>56</v>
      </c>
      <c r="C29" s="8">
        <v>48</v>
      </c>
      <c r="D29" s="8" t="s">
        <v>61</v>
      </c>
      <c r="F29">
        <v>2.92</v>
      </c>
      <c r="J29" s="8">
        <f>52+121+192+195+224+225+227</f>
        <v>1236</v>
      </c>
      <c r="K29">
        <v>7</v>
      </c>
      <c r="L29">
        <v>227</v>
      </c>
      <c r="N29" t="str">
        <f t="shared" si="0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31.379078</v>
      </c>
      <c r="P29">
        <f t="shared" si="1"/>
        <v>31.379078</v>
      </c>
      <c r="S29">
        <f t="shared" si="2"/>
        <v>6.696613243999999</v>
      </c>
    </row>
    <row r="30" spans="1:19">
      <c r="A30" s="9">
        <v>42382</v>
      </c>
      <c r="B30" t="s">
        <v>56</v>
      </c>
      <c r="C30" s="8">
        <v>48</v>
      </c>
      <c r="D30" s="8" t="s">
        <v>61</v>
      </c>
      <c r="F30">
        <v>5.04</v>
      </c>
      <c r="J30" s="8">
        <f>80+69+107+174+205+214+217+218</f>
        <v>1284</v>
      </c>
      <c r="K30">
        <v>8</v>
      </c>
      <c r="L30">
        <v>218</v>
      </c>
      <c r="N30" t="str">
        <f t="shared" si="0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31.568170000000002</v>
      </c>
      <c r="P30">
        <f t="shared" si="1"/>
        <v>31.568170000000002</v>
      </c>
      <c r="S30">
        <f t="shared" si="2"/>
        <v>19.950353136</v>
      </c>
    </row>
    <row r="31" spans="1:19">
      <c r="A31" s="9">
        <v>42382</v>
      </c>
      <c r="B31" t="s">
        <v>56</v>
      </c>
      <c r="C31" s="8">
        <v>48</v>
      </c>
      <c r="D31" s="8" t="s">
        <v>61</v>
      </c>
      <c r="F31">
        <v>4.95</v>
      </c>
      <c r="J31" s="8">
        <f>61+81+145+212+253+282+306+312</f>
        <v>1652</v>
      </c>
      <c r="K31">
        <v>8</v>
      </c>
      <c r="L31">
        <v>312</v>
      </c>
      <c r="N31" t="str">
        <f t="shared" si="0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37.752980000000015</v>
      </c>
      <c r="P31">
        <f t="shared" si="1"/>
        <v>37.752980000000015</v>
      </c>
      <c r="S31">
        <f t="shared" si="2"/>
        <v>19.244202243749999</v>
      </c>
    </row>
    <row r="32" spans="1:19">
      <c r="A32" s="9">
        <v>42382</v>
      </c>
      <c r="B32" t="s">
        <v>56</v>
      </c>
      <c r="C32" s="8">
        <v>42</v>
      </c>
      <c r="D32" s="8"/>
      <c r="J32" s="8"/>
      <c r="M32" t="s">
        <v>62</v>
      </c>
      <c r="N32" t="str">
        <f t="shared" si="0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0</v>
      </c>
      <c r="P32">
        <f t="shared" si="1"/>
        <v>0</v>
      </c>
      <c r="S32">
        <f t="shared" si="2"/>
        <v>0</v>
      </c>
    </row>
    <row r="33" spans="1:19">
      <c r="A33" s="7">
        <v>42382</v>
      </c>
      <c r="B33" t="s">
        <v>56</v>
      </c>
      <c r="C33" s="8">
        <v>41</v>
      </c>
      <c r="D33" s="8" t="s">
        <v>61</v>
      </c>
      <c r="F33">
        <v>0.97</v>
      </c>
      <c r="J33" s="8">
        <f>47+51+65+89</f>
        <v>252</v>
      </c>
      <c r="K33">
        <v>4</v>
      </c>
      <c r="L33">
        <v>89</v>
      </c>
      <c r="N33" t="str">
        <f t="shared" si="0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1.763027000000001</v>
      </c>
      <c r="P33">
        <f t="shared" si="1"/>
        <v>1.763027000000001</v>
      </c>
      <c r="S33">
        <f t="shared" si="2"/>
        <v>0.7389805077499999</v>
      </c>
    </row>
    <row r="34" spans="1:19">
      <c r="A34" s="9">
        <v>42382</v>
      </c>
      <c r="B34" t="s">
        <v>56</v>
      </c>
      <c r="C34" s="8">
        <v>41</v>
      </c>
      <c r="D34" s="8" t="s">
        <v>61</v>
      </c>
      <c r="F34">
        <v>4.5199999999999996</v>
      </c>
      <c r="J34" s="8">
        <f>107+144+201+252+231+247+251</f>
        <v>1433</v>
      </c>
      <c r="K34">
        <v>7</v>
      </c>
      <c r="L34">
        <v>251</v>
      </c>
      <c r="N34" t="str">
        <f t="shared" si="0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42.61893300000002</v>
      </c>
      <c r="P34">
        <f t="shared" si="1"/>
        <v>42.61893300000002</v>
      </c>
      <c r="S34">
        <f t="shared" si="2"/>
        <v>16.045985083999994</v>
      </c>
    </row>
    <row r="35" spans="1:19">
      <c r="A35" s="9">
        <v>42382</v>
      </c>
      <c r="B35" t="s">
        <v>56</v>
      </c>
      <c r="C35" s="8">
        <v>41</v>
      </c>
      <c r="D35" s="8" t="s">
        <v>61</v>
      </c>
      <c r="F35">
        <v>0.88</v>
      </c>
      <c r="J35" s="8">
        <f>31+34+58+71</f>
        <v>194</v>
      </c>
      <c r="K35">
        <v>4</v>
      </c>
      <c r="L35">
        <v>71</v>
      </c>
      <c r="N35" t="str">
        <f t="shared" si="0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1.7476470000000006</v>
      </c>
      <c r="P35">
        <f t="shared" si="1"/>
        <v>1.7476470000000006</v>
      </c>
      <c r="S35">
        <f t="shared" si="2"/>
        <v>0.60821182399999996</v>
      </c>
    </row>
    <row r="36" spans="1:19">
      <c r="A36" s="9">
        <v>42382</v>
      </c>
      <c r="B36" t="s">
        <v>56</v>
      </c>
      <c r="C36" s="8">
        <v>41</v>
      </c>
      <c r="D36" s="8" t="s">
        <v>61</v>
      </c>
      <c r="F36">
        <v>0.27</v>
      </c>
      <c r="J36" s="8">
        <f>19+20</f>
        <v>39</v>
      </c>
      <c r="K36">
        <v>2</v>
      </c>
      <c r="L36">
        <v>20</v>
      </c>
      <c r="N36" t="str">
        <f t="shared" si="0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16.623822999999998</v>
      </c>
      <c r="P36">
        <f t="shared" si="1"/>
        <v>16.623822999999998</v>
      </c>
      <c r="S36">
        <f t="shared" si="2"/>
        <v>5.7255477750000006E-2</v>
      </c>
    </row>
    <row r="37" spans="1:19">
      <c r="A37" s="9">
        <v>42382</v>
      </c>
      <c r="B37" t="s">
        <v>56</v>
      </c>
      <c r="C37" s="8">
        <v>41</v>
      </c>
      <c r="D37" s="8" t="s">
        <v>61</v>
      </c>
      <c r="F37">
        <v>4.92</v>
      </c>
      <c r="J37" s="8">
        <f>112+232+236+274+257+285+297</f>
        <v>1693</v>
      </c>
      <c r="K37">
        <v>7</v>
      </c>
      <c r="L37">
        <v>297</v>
      </c>
      <c r="N37" t="str">
        <f t="shared" si="0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53.137963000000006</v>
      </c>
      <c r="P37">
        <f t="shared" si="1"/>
        <v>53.137963000000006</v>
      </c>
      <c r="S37">
        <f t="shared" si="2"/>
        <v>19.011646043999999</v>
      </c>
    </row>
    <row r="38" spans="1:19">
      <c r="A38" s="9">
        <v>42382</v>
      </c>
      <c r="B38" t="s">
        <v>56</v>
      </c>
      <c r="C38" s="8">
        <v>41</v>
      </c>
      <c r="D38" s="8" t="s">
        <v>61</v>
      </c>
      <c r="F38">
        <v>3.19</v>
      </c>
      <c r="J38" s="8">
        <f>89+113+183+167+185</f>
        <v>737</v>
      </c>
      <c r="K38">
        <v>5</v>
      </c>
      <c r="L38">
        <v>185</v>
      </c>
      <c r="N38" t="str">
        <f t="shared" si="0"/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11.292329000000002</v>
      </c>
      <c r="P38">
        <f t="shared" si="1"/>
        <v>11.292329000000002</v>
      </c>
      <c r="S38">
        <f t="shared" si="2"/>
        <v>7.9922834997500001</v>
      </c>
    </row>
    <row r="39" spans="1:19">
      <c r="A39" s="9">
        <v>42382</v>
      </c>
      <c r="B39" t="s">
        <v>56</v>
      </c>
      <c r="C39" s="8">
        <v>41</v>
      </c>
      <c r="D39" s="8" t="s">
        <v>61</v>
      </c>
      <c r="F39">
        <v>0.24</v>
      </c>
      <c r="J39" s="8">
        <f>21+22</f>
        <v>43</v>
      </c>
      <c r="K39">
        <v>2</v>
      </c>
      <c r="L39">
        <v>22</v>
      </c>
      <c r="N39" t="str">
        <f t="shared" si="0"/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16.396352999999998</v>
      </c>
      <c r="P39">
        <f t="shared" si="1"/>
        <v>16.396352999999998</v>
      </c>
      <c r="S39">
        <f t="shared" si="2"/>
        <v>4.5238895999999994E-2</v>
      </c>
    </row>
    <row r="40" spans="1:19">
      <c r="A40" s="9">
        <v>42382</v>
      </c>
      <c r="B40" t="s">
        <v>56</v>
      </c>
      <c r="C40" s="8">
        <v>38</v>
      </c>
      <c r="D40" s="8" t="s">
        <v>61</v>
      </c>
      <c r="F40">
        <v>0.76</v>
      </c>
      <c r="J40">
        <f>24+28+29+29+92+108</f>
        <v>310</v>
      </c>
      <c r="K40">
        <v>6</v>
      </c>
      <c r="L40">
        <v>108</v>
      </c>
      <c r="N40" t="str">
        <f t="shared" si="0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-12.567543999999998</v>
      </c>
      <c r="P40" t="str">
        <f t="shared" si="1"/>
        <v xml:space="preserve"> </v>
      </c>
      <c r="S40">
        <f t="shared" si="2"/>
        <v>0.45364559599999998</v>
      </c>
    </row>
    <row r="41" spans="1:19">
      <c r="A41" s="9">
        <v>42382</v>
      </c>
      <c r="B41" t="s">
        <v>56</v>
      </c>
      <c r="C41" s="8">
        <v>38</v>
      </c>
      <c r="D41" s="8" t="s">
        <v>61</v>
      </c>
      <c r="F41">
        <v>1.61</v>
      </c>
      <c r="J41">
        <f>26+60+100+112+131+145</f>
        <v>574</v>
      </c>
      <c r="K41">
        <v>6</v>
      </c>
      <c r="L41">
        <v>145</v>
      </c>
      <c r="N41" t="str">
        <f t="shared" si="0"/>
        <v>NA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1.0377110000000016</v>
      </c>
      <c r="P41">
        <f t="shared" si="1"/>
        <v>1.0377110000000016</v>
      </c>
      <c r="S41">
        <f t="shared" si="2"/>
        <v>2.0358288597500001</v>
      </c>
    </row>
    <row r="42" spans="1:19">
      <c r="A42" s="9">
        <v>42382</v>
      </c>
      <c r="B42" t="s">
        <v>56</v>
      </c>
      <c r="C42" s="8">
        <v>38</v>
      </c>
      <c r="D42" s="8" t="s">
        <v>61</v>
      </c>
      <c r="F42">
        <v>4.46</v>
      </c>
      <c r="J42">
        <f>88+97+116+149+174+192+199+217</f>
        <v>1232</v>
      </c>
      <c r="K42">
        <v>8</v>
      </c>
      <c r="L42">
        <v>217</v>
      </c>
      <c r="N42" t="str">
        <f t="shared" si="0"/>
        <v>NA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26.994155000000006</v>
      </c>
      <c r="P42">
        <f t="shared" si="1"/>
        <v>26.994155000000006</v>
      </c>
      <c r="S42">
        <f t="shared" si="2"/>
        <v>15.622812911</v>
      </c>
    </row>
    <row r="43" spans="1:19">
      <c r="A43" s="9">
        <v>42382</v>
      </c>
      <c r="B43" t="s">
        <v>56</v>
      </c>
      <c r="C43" s="8">
        <v>38</v>
      </c>
      <c r="D43" s="8" t="s">
        <v>61</v>
      </c>
      <c r="F43">
        <v>4.5599999999999996</v>
      </c>
      <c r="J43">
        <f>7+122+187+203+235+249+219+253</f>
        <v>1475</v>
      </c>
      <c r="K43">
        <v>8</v>
      </c>
      <c r="L43">
        <v>253</v>
      </c>
      <c r="N43" t="str">
        <f t="shared" si="0"/>
        <v>NA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38.931800000000003</v>
      </c>
      <c r="P43">
        <f t="shared" si="1"/>
        <v>38.931800000000003</v>
      </c>
      <c r="S43">
        <f t="shared" si="2"/>
        <v>16.331241455999997</v>
      </c>
    </row>
    <row r="44" spans="1:19">
      <c r="A44" s="7">
        <v>42382</v>
      </c>
      <c r="B44" t="s">
        <v>56</v>
      </c>
      <c r="C44" s="8">
        <v>38</v>
      </c>
      <c r="D44" s="8" t="s">
        <v>61</v>
      </c>
      <c r="F44">
        <v>4.03</v>
      </c>
      <c r="J44">
        <f>41+39+117+153+182+195+205+218</f>
        <v>1150</v>
      </c>
      <c r="K44">
        <v>8</v>
      </c>
      <c r="L44">
        <v>218</v>
      </c>
      <c r="N44" t="str">
        <f t="shared" si="0"/>
        <v>NA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19.00500000000001</v>
      </c>
      <c r="P44">
        <f t="shared" si="1"/>
        <v>19.00500000000001</v>
      </c>
      <c r="S44">
        <f t="shared" si="2"/>
        <v>12.755562257750002</v>
      </c>
    </row>
    <row r="45" spans="1:19">
      <c r="A45" s="7">
        <v>42382</v>
      </c>
      <c r="B45" t="s">
        <v>56</v>
      </c>
      <c r="C45" s="8">
        <v>38</v>
      </c>
      <c r="D45" s="8" t="s">
        <v>61</v>
      </c>
      <c r="F45">
        <v>2.64</v>
      </c>
      <c r="J45">
        <f>150+152+192</f>
        <v>494</v>
      </c>
      <c r="K45">
        <v>3</v>
      </c>
      <c r="L45">
        <v>192</v>
      </c>
      <c r="N45" t="str">
        <f t="shared" si="0"/>
        <v>NA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0.44585500000000167</v>
      </c>
      <c r="P45">
        <f t="shared" si="1"/>
        <v>0.44585500000000167</v>
      </c>
      <c r="S45">
        <f t="shared" si="2"/>
        <v>5.4739064160000002</v>
      </c>
    </row>
    <row r="46" spans="1:19">
      <c r="A46" s="9">
        <v>42382</v>
      </c>
      <c r="B46" t="s">
        <v>56</v>
      </c>
      <c r="C46" s="8">
        <v>38</v>
      </c>
      <c r="D46" s="8" t="s">
        <v>61</v>
      </c>
      <c r="F46">
        <v>2.3199999999999998</v>
      </c>
      <c r="J46">
        <f>60+106+149+164+173</f>
        <v>652</v>
      </c>
      <c r="K46">
        <v>5</v>
      </c>
      <c r="L46">
        <v>173</v>
      </c>
      <c r="N46" t="str">
        <f t="shared" si="0"/>
        <v>NA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6.9380940000000066</v>
      </c>
      <c r="P46">
        <f t="shared" si="1"/>
        <v>6.9380940000000066</v>
      </c>
      <c r="S46">
        <f t="shared" si="2"/>
        <v>4.2273235039999992</v>
      </c>
    </row>
    <row r="47" spans="1:19">
      <c r="A47" s="9">
        <v>42382</v>
      </c>
      <c r="B47" t="s">
        <v>56</v>
      </c>
      <c r="C47" s="8">
        <v>38</v>
      </c>
      <c r="D47" s="8" t="s">
        <v>61</v>
      </c>
      <c r="F47">
        <v>2.06</v>
      </c>
      <c r="J47">
        <f>15+20+37+42+43</f>
        <v>157</v>
      </c>
      <c r="K47">
        <v>5</v>
      </c>
      <c r="L47">
        <v>43</v>
      </c>
      <c r="N47" t="str">
        <f t="shared" si="0"/>
        <v>NA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-0.3087810000000033</v>
      </c>
      <c r="P47" t="str">
        <f t="shared" si="1"/>
        <v xml:space="preserve"> </v>
      </c>
      <c r="S47">
        <f t="shared" si="2"/>
        <v>3.3329128309999998</v>
      </c>
    </row>
    <row r="48" spans="1:19">
      <c r="A48" s="9">
        <v>42382</v>
      </c>
      <c r="B48" t="s">
        <v>56</v>
      </c>
      <c r="C48" s="8">
        <v>38</v>
      </c>
      <c r="D48" s="8" t="s">
        <v>61</v>
      </c>
      <c r="F48">
        <v>1.3</v>
      </c>
      <c r="J48">
        <f>42+124+129+130</f>
        <v>425</v>
      </c>
      <c r="K48">
        <v>4</v>
      </c>
      <c r="L48">
        <v>130</v>
      </c>
      <c r="N48" t="str">
        <f t="shared" si="0"/>
        <v>NA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5.6315969999999957</v>
      </c>
      <c r="P48">
        <f t="shared" si="1"/>
        <v>5.6315969999999957</v>
      </c>
      <c r="S48">
        <f t="shared" si="2"/>
        <v>1.3273217750000001</v>
      </c>
    </row>
    <row r="49" spans="1:19">
      <c r="A49" s="9">
        <v>42382</v>
      </c>
      <c r="B49" t="s">
        <v>56</v>
      </c>
      <c r="C49" s="8">
        <v>38</v>
      </c>
      <c r="D49" s="8" t="s">
        <v>61</v>
      </c>
      <c r="F49">
        <v>0.66</v>
      </c>
      <c r="J49">
        <f>29+45+78</f>
        <v>152</v>
      </c>
      <c r="K49">
        <v>3</v>
      </c>
      <c r="L49">
        <v>78</v>
      </c>
      <c r="N49" t="str">
        <f t="shared" si="0"/>
        <v>NA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2.7235749999999967</v>
      </c>
      <c r="P49">
        <f t="shared" si="1"/>
        <v>2.7235749999999967</v>
      </c>
      <c r="S49">
        <f t="shared" si="2"/>
        <v>0.34211915100000001</v>
      </c>
    </row>
    <row r="50" spans="1:19">
      <c r="A50" s="7">
        <v>42382</v>
      </c>
      <c r="B50" s="8" t="s">
        <v>56</v>
      </c>
      <c r="C50" s="8">
        <v>38</v>
      </c>
      <c r="D50" s="8" t="s">
        <v>61</v>
      </c>
      <c r="F50">
        <v>2.3199999999999998</v>
      </c>
      <c r="J50">
        <f>74+105+145+171+176+195+210</f>
        <v>1076</v>
      </c>
      <c r="K50">
        <v>7</v>
      </c>
      <c r="L50">
        <v>210</v>
      </c>
      <c r="N50" t="str">
        <f t="shared" si="0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21.499443000000007</v>
      </c>
      <c r="P50">
        <f t="shared" si="1"/>
        <v>21.499443000000007</v>
      </c>
      <c r="S50">
        <f t="shared" si="2"/>
        <v>4.2273235039999992</v>
      </c>
    </row>
    <row r="51" spans="1:19">
      <c r="A51" s="9">
        <v>42382</v>
      </c>
      <c r="B51" s="8" t="s">
        <v>56</v>
      </c>
      <c r="C51" s="8">
        <v>9</v>
      </c>
      <c r="D51" s="8"/>
      <c r="M51" t="s">
        <v>64</v>
      </c>
      <c r="N51" t="str">
        <f t="shared" si="0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0</v>
      </c>
      <c r="P51">
        <f t="shared" si="1"/>
        <v>0</v>
      </c>
      <c r="S51">
        <f t="shared" si="2"/>
        <v>0</v>
      </c>
    </row>
    <row r="52" spans="1:19">
      <c r="A52" s="7">
        <v>42382</v>
      </c>
      <c r="B52" s="8" t="s">
        <v>55</v>
      </c>
      <c r="C52" s="8">
        <v>50</v>
      </c>
      <c r="D52" s="8" t="s">
        <v>61</v>
      </c>
      <c r="F52">
        <v>3.95</v>
      </c>
      <c r="J52">
        <f>129+217+246+253+270</f>
        <v>1115</v>
      </c>
      <c r="K52">
        <v>5</v>
      </c>
      <c r="L52">
        <v>270</v>
      </c>
      <c r="N52" t="str">
        <f t="shared" si="0"/>
        <v>NA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21.125894000000009</v>
      </c>
      <c r="P52">
        <f t="shared" si="1"/>
        <v>21.125894000000009</v>
      </c>
      <c r="S52">
        <f t="shared" si="2"/>
        <v>12.25416449375</v>
      </c>
    </row>
    <row r="53" spans="1:19">
      <c r="A53" s="9">
        <v>42382</v>
      </c>
      <c r="B53" s="8" t="s">
        <v>55</v>
      </c>
      <c r="C53" s="8">
        <v>50</v>
      </c>
      <c r="D53" s="8" t="s">
        <v>61</v>
      </c>
      <c r="F53">
        <v>4.37</v>
      </c>
      <c r="J53">
        <f>106+117+192+128+156+160+161+170</f>
        <v>1190</v>
      </c>
      <c r="K53">
        <v>8</v>
      </c>
      <c r="L53">
        <v>192</v>
      </c>
      <c r="N53" t="str">
        <f t="shared" si="0"/>
        <v>NA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30.587570000000014</v>
      </c>
      <c r="P53">
        <f t="shared" si="1"/>
        <v>30.587570000000014</v>
      </c>
      <c r="S53">
        <f t="shared" si="2"/>
        <v>14.998657517750001</v>
      </c>
    </row>
    <row r="54" spans="1:19">
      <c r="A54" s="9">
        <v>42382</v>
      </c>
      <c r="B54" s="8" t="s">
        <v>55</v>
      </c>
      <c r="C54" s="8">
        <v>50</v>
      </c>
      <c r="D54" s="8" t="s">
        <v>61</v>
      </c>
      <c r="F54">
        <v>3.21</v>
      </c>
      <c r="J54">
        <f>56+101+138+165+180+186+198+199</f>
        <v>1223</v>
      </c>
      <c r="K54">
        <v>8</v>
      </c>
      <c r="L54">
        <v>199</v>
      </c>
      <c r="N54" t="str">
        <f t="shared" si="0"/>
        <v>NA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31.572770000000013</v>
      </c>
      <c r="P54">
        <f t="shared" si="1"/>
        <v>31.572770000000013</v>
      </c>
      <c r="S54">
        <f t="shared" si="2"/>
        <v>8.0928143797499992</v>
      </c>
    </row>
    <row r="55" spans="1:19">
      <c r="A55" s="9">
        <v>42382</v>
      </c>
      <c r="B55" s="8" t="s">
        <v>55</v>
      </c>
      <c r="C55" s="8">
        <v>50</v>
      </c>
      <c r="D55" s="8" t="s">
        <v>61</v>
      </c>
      <c r="F55">
        <v>0.48</v>
      </c>
      <c r="J55">
        <f>29+37+38+46</f>
        <v>150</v>
      </c>
      <c r="K55">
        <v>4</v>
      </c>
      <c r="L55">
        <v>46</v>
      </c>
      <c r="N55" t="str">
        <f t="shared" si="0"/>
        <v>NA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5.1535519999999977</v>
      </c>
      <c r="P55">
        <f t="shared" si="1"/>
        <v>5.1535519999999977</v>
      </c>
      <c r="S55">
        <f t="shared" si="2"/>
        <v>0.18095558399999997</v>
      </c>
    </row>
    <row r="56" spans="1:19">
      <c r="A56" s="9">
        <v>42382</v>
      </c>
      <c r="B56" s="8" t="s">
        <v>55</v>
      </c>
      <c r="C56" s="8">
        <v>50</v>
      </c>
      <c r="D56" s="8" t="s">
        <v>61</v>
      </c>
      <c r="F56">
        <v>3.46</v>
      </c>
      <c r="J56">
        <f>41+41+39+89+126+168+186</f>
        <v>690</v>
      </c>
      <c r="K56">
        <v>7</v>
      </c>
      <c r="L56">
        <v>186</v>
      </c>
      <c r="N56" t="str">
        <f t="shared" si="0"/>
        <v>NA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-7.4601069999999936</v>
      </c>
      <c r="P56" t="str">
        <f t="shared" si="1"/>
        <v xml:space="preserve"> </v>
      </c>
      <c r="S56">
        <f t="shared" si="2"/>
        <v>9.4024647110000004</v>
      </c>
    </row>
    <row r="57" spans="1:19">
      <c r="A57" s="9">
        <v>42382</v>
      </c>
      <c r="B57" s="8" t="s">
        <v>55</v>
      </c>
      <c r="C57" s="8">
        <v>50</v>
      </c>
      <c r="D57" s="8" t="s">
        <v>61</v>
      </c>
      <c r="F57">
        <v>3.51</v>
      </c>
      <c r="J57">
        <f>41+78+83+143+156+174+189+194+207</f>
        <v>1265</v>
      </c>
      <c r="K57">
        <v>9</v>
      </c>
      <c r="L57">
        <v>207</v>
      </c>
      <c r="N57" t="str">
        <f t="shared" si="0"/>
        <v>NA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26.078167000000001</v>
      </c>
      <c r="P57">
        <f t="shared" si="1"/>
        <v>26.078167000000001</v>
      </c>
      <c r="S57">
        <f t="shared" si="2"/>
        <v>9.6761757397499988</v>
      </c>
    </row>
    <row r="58" spans="1:19">
      <c r="A58" s="9">
        <v>42382</v>
      </c>
      <c r="B58" s="8" t="s">
        <v>55</v>
      </c>
      <c r="C58" s="8">
        <v>50</v>
      </c>
      <c r="D58" s="8" t="s">
        <v>61</v>
      </c>
      <c r="F58">
        <v>1.31</v>
      </c>
      <c r="J58">
        <f>30+62+79+98+99</f>
        <v>368</v>
      </c>
      <c r="K58">
        <v>5</v>
      </c>
      <c r="L58">
        <v>99</v>
      </c>
      <c r="N58" t="str">
        <f t="shared" si="0"/>
        <v>NA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2.6038040000000002</v>
      </c>
      <c r="P58">
        <f t="shared" si="1"/>
        <v>2.6038040000000002</v>
      </c>
      <c r="S58">
        <f t="shared" si="2"/>
        <v>1.34782064975</v>
      </c>
    </row>
    <row r="59" spans="1:19">
      <c r="A59" s="9">
        <v>42382</v>
      </c>
      <c r="B59" s="8" t="s">
        <v>55</v>
      </c>
      <c r="C59" s="8">
        <v>44</v>
      </c>
      <c r="D59" s="8" t="s">
        <v>61</v>
      </c>
      <c r="F59">
        <v>4.5999999999999996</v>
      </c>
      <c r="J59">
        <f>36+82+85+91+104+172+173+185+187</f>
        <v>1115</v>
      </c>
      <c r="K59">
        <v>9</v>
      </c>
      <c r="L59">
        <v>187</v>
      </c>
      <c r="N59" t="str">
        <f t="shared" si="0"/>
        <v>NA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18.039817000000006</v>
      </c>
      <c r="P59">
        <f t="shared" si="1"/>
        <v>18.039817000000006</v>
      </c>
      <c r="S59">
        <f t="shared" si="2"/>
        <v>16.619011099999998</v>
      </c>
    </row>
    <row r="60" spans="1:19">
      <c r="A60" s="9">
        <v>42382</v>
      </c>
      <c r="B60" s="8" t="s">
        <v>55</v>
      </c>
      <c r="C60" s="8">
        <v>44</v>
      </c>
      <c r="D60" s="8" t="s">
        <v>61</v>
      </c>
      <c r="F60">
        <v>3.78</v>
      </c>
      <c r="J60">
        <f>82+137+156+198+205+209</f>
        <v>987</v>
      </c>
      <c r="K60">
        <v>7</v>
      </c>
      <c r="L60">
        <v>216</v>
      </c>
      <c r="N60" t="str">
        <f t="shared" si="0"/>
        <v>NA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11.347778000000012</v>
      </c>
      <c r="P60">
        <f t="shared" si="1"/>
        <v>11.347778000000012</v>
      </c>
      <c r="S60">
        <f t="shared" si="2"/>
        <v>11.222073639</v>
      </c>
    </row>
    <row r="61" spans="1:19">
      <c r="A61" s="9">
        <v>42382</v>
      </c>
      <c r="B61" s="8" t="s">
        <v>55</v>
      </c>
      <c r="C61" s="8">
        <v>44</v>
      </c>
      <c r="D61" s="8" t="s">
        <v>61</v>
      </c>
      <c r="F61">
        <v>4.83</v>
      </c>
      <c r="J61">
        <f>81+114+120</f>
        <v>315</v>
      </c>
      <c r="K61">
        <v>3</v>
      </c>
      <c r="L61">
        <v>120</v>
      </c>
      <c r="N61" t="str">
        <f t="shared" si="0"/>
        <v>NA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5.3533499999999989</v>
      </c>
      <c r="P61">
        <f t="shared" si="1"/>
        <v>5.3533499999999989</v>
      </c>
      <c r="S61">
        <f t="shared" si="2"/>
        <v>18.322459737749998</v>
      </c>
    </row>
    <row r="62" spans="1:19">
      <c r="A62" s="9">
        <v>42382</v>
      </c>
      <c r="B62" s="8" t="s">
        <v>55</v>
      </c>
      <c r="C62" s="8">
        <v>44</v>
      </c>
      <c r="D62" s="8" t="s">
        <v>61</v>
      </c>
      <c r="F62">
        <v>2.7</v>
      </c>
      <c r="J62">
        <f>129+137+182+184+212+223</f>
        <v>1067</v>
      </c>
      <c r="K62">
        <v>6</v>
      </c>
      <c r="L62">
        <v>223</v>
      </c>
      <c r="N62" t="str">
        <f t="shared" si="0"/>
        <v>NA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23.761816000000003</v>
      </c>
      <c r="P62">
        <f t="shared" si="1"/>
        <v>23.761816000000003</v>
      </c>
      <c r="S62">
        <f t="shared" si="2"/>
        <v>5.7255477750000008</v>
      </c>
    </row>
    <row r="63" spans="1:19">
      <c r="A63" s="9">
        <v>42382</v>
      </c>
      <c r="B63" s="8" t="s">
        <v>55</v>
      </c>
      <c r="C63" s="8">
        <v>44</v>
      </c>
      <c r="D63" s="8" t="s">
        <v>61</v>
      </c>
      <c r="F63">
        <v>3.35</v>
      </c>
      <c r="J63">
        <f>155+215+216+249+253+261</f>
        <v>1349</v>
      </c>
      <c r="K63">
        <v>6</v>
      </c>
      <c r="L63">
        <v>261</v>
      </c>
      <c r="N63" t="str">
        <f t="shared" si="0"/>
        <v>NA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38.753416000000009</v>
      </c>
      <c r="P63">
        <f t="shared" si="1"/>
        <v>38.753416000000009</v>
      </c>
      <c r="S63">
        <f t="shared" si="2"/>
        <v>8.8141234437499989</v>
      </c>
    </row>
    <row r="64" spans="1:19">
      <c r="A64" s="9">
        <v>42382</v>
      </c>
      <c r="B64" s="8" t="s">
        <v>55</v>
      </c>
      <c r="C64" s="8">
        <v>39</v>
      </c>
      <c r="D64" s="8" t="s">
        <v>61</v>
      </c>
      <c r="F64">
        <v>0.76</v>
      </c>
      <c r="J64">
        <f>25+28+29</f>
        <v>82</v>
      </c>
      <c r="K64">
        <v>3</v>
      </c>
      <c r="L64">
        <v>29</v>
      </c>
      <c r="N64" t="str">
        <f t="shared" si="0"/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10.921729999999997</v>
      </c>
      <c r="P64">
        <f t="shared" si="1"/>
        <v>10.921729999999997</v>
      </c>
      <c r="S64">
        <f t="shared" si="2"/>
        <v>0.45364559599999998</v>
      </c>
    </row>
    <row r="65" spans="1:19">
      <c r="A65" s="9">
        <v>42382</v>
      </c>
      <c r="B65" s="8" t="s">
        <v>55</v>
      </c>
      <c r="C65" s="8">
        <v>39</v>
      </c>
      <c r="D65" s="8" t="s">
        <v>61</v>
      </c>
      <c r="F65">
        <v>1.5</v>
      </c>
      <c r="J65">
        <f>92+152+165</f>
        <v>409</v>
      </c>
      <c r="K65">
        <v>3</v>
      </c>
      <c r="L65">
        <v>165</v>
      </c>
      <c r="N65" t="str">
        <f t="shared" si="0"/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0.6102950000000007</v>
      </c>
      <c r="P65">
        <f t="shared" si="1"/>
        <v>0.6102950000000007</v>
      </c>
      <c r="S65">
        <f t="shared" si="2"/>
        <v>1.767144375</v>
      </c>
    </row>
    <row r="66" spans="1:19">
      <c r="A66" s="9">
        <v>42382</v>
      </c>
      <c r="B66" s="8" t="s">
        <v>55</v>
      </c>
      <c r="C66" s="8">
        <v>39</v>
      </c>
      <c r="D66" s="8" t="s">
        <v>61</v>
      </c>
      <c r="F66">
        <v>1.41</v>
      </c>
      <c r="J66">
        <f>51+52+171+185</f>
        <v>459</v>
      </c>
      <c r="K66">
        <v>4</v>
      </c>
      <c r="L66">
        <v>185</v>
      </c>
      <c r="N66" t="str">
        <f t="shared" si="0"/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-7.749208000000003</v>
      </c>
      <c r="P66" t="str">
        <f t="shared" si="1"/>
        <v xml:space="preserve"> </v>
      </c>
      <c r="S66">
        <f t="shared" si="2"/>
        <v>1.5614487697499997</v>
      </c>
    </row>
    <row r="67" spans="1:19">
      <c r="A67" s="9">
        <v>42382</v>
      </c>
      <c r="B67" s="8" t="s">
        <v>55</v>
      </c>
      <c r="C67" s="8">
        <v>39</v>
      </c>
      <c r="D67" s="8" t="s">
        <v>61</v>
      </c>
      <c r="F67">
        <v>1.39</v>
      </c>
      <c r="J67">
        <f>56+129+130</f>
        <v>315</v>
      </c>
      <c r="K67">
        <v>3</v>
      </c>
      <c r="L67">
        <v>130</v>
      </c>
      <c r="N67" t="str">
        <f t="shared" si="0"/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2.3408999999999978</v>
      </c>
      <c r="P67">
        <f t="shared" si="1"/>
        <v>2.3408999999999978</v>
      </c>
      <c r="S67">
        <f t="shared" si="2"/>
        <v>1.5174665097499997</v>
      </c>
    </row>
    <row r="68" spans="1:19">
      <c r="A68" s="9">
        <v>42382</v>
      </c>
      <c r="B68" s="8" t="s">
        <v>55</v>
      </c>
      <c r="C68" s="8">
        <v>39</v>
      </c>
      <c r="D68" s="8" t="s">
        <v>61</v>
      </c>
      <c r="F68">
        <v>0.68</v>
      </c>
      <c r="J68">
        <f>49+50+69</f>
        <v>168</v>
      </c>
      <c r="K68">
        <v>3</v>
      </c>
      <c r="L68">
        <v>69</v>
      </c>
      <c r="N68" t="str">
        <f t="shared" ref="N68:N131" si="3">IF(OR(D68="S. acutus", D68="S. tabernaemontani", D68="S. californicus"),(1/3)*(3.14159)*((F68/2)^2)*E68,"NA")</f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6.9348599999999969</v>
      </c>
      <c r="P68">
        <f t="shared" si="1"/>
        <v>6.9348599999999969</v>
      </c>
      <c r="S68">
        <f t="shared" si="2"/>
        <v>0.36316780400000004</v>
      </c>
    </row>
    <row r="69" spans="1:19">
      <c r="A69" s="9">
        <v>42382</v>
      </c>
      <c r="B69" s="8" t="s">
        <v>55</v>
      </c>
      <c r="C69" s="8">
        <v>39</v>
      </c>
      <c r="D69" s="8" t="s">
        <v>61</v>
      </c>
      <c r="F69">
        <v>0.54</v>
      </c>
      <c r="J69">
        <f>18+20+40+42</f>
        <v>120</v>
      </c>
      <c r="K69">
        <v>4</v>
      </c>
      <c r="L69">
        <v>42</v>
      </c>
      <c r="N69" t="str">
        <f t="shared" si="3"/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3.5458819999999989</v>
      </c>
      <c r="P69">
        <f t="shared" ref="P69:P132" si="4">IF(O69&lt;0," ",O69)</f>
        <v>3.5458819999999989</v>
      </c>
      <c r="S69">
        <f t="shared" ref="S69:S132" si="5">3.14159*((F69/2)^2)</f>
        <v>0.22902191100000002</v>
      </c>
    </row>
    <row r="70" spans="1:19">
      <c r="A70" s="9">
        <v>42382</v>
      </c>
      <c r="B70" s="8" t="s">
        <v>55</v>
      </c>
      <c r="C70" s="8">
        <v>33</v>
      </c>
      <c r="D70" s="8" t="s">
        <v>65</v>
      </c>
      <c r="E70">
        <v>164</v>
      </c>
      <c r="F70">
        <v>1.01</v>
      </c>
      <c r="N70">
        <f t="shared" si="3"/>
        <v>43.798058106333329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6.9066230000000006</v>
      </c>
      <c r="P70">
        <f t="shared" si="4"/>
        <v>6.9066230000000006</v>
      </c>
      <c r="S70">
        <f t="shared" si="5"/>
        <v>0.80118398974999994</v>
      </c>
    </row>
    <row r="71" spans="1:19">
      <c r="A71" s="9">
        <v>42382</v>
      </c>
      <c r="B71" s="8" t="s">
        <v>55</v>
      </c>
      <c r="C71" s="8">
        <v>33</v>
      </c>
      <c r="D71" s="8" t="s">
        <v>65</v>
      </c>
      <c r="E71">
        <v>167</v>
      </c>
      <c r="F71" s="8">
        <v>1.61</v>
      </c>
      <c r="N71">
        <f t="shared" si="3"/>
        <v>113.32780652608334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7.1169380000000002</v>
      </c>
      <c r="P71">
        <f t="shared" si="4"/>
        <v>7.1169380000000002</v>
      </c>
      <c r="S71">
        <f t="shared" si="5"/>
        <v>2.0358288597500001</v>
      </c>
    </row>
    <row r="72" spans="1:19">
      <c r="A72" s="9">
        <v>42382</v>
      </c>
      <c r="B72" s="8" t="s">
        <v>55</v>
      </c>
      <c r="C72" s="8">
        <v>33</v>
      </c>
      <c r="D72" s="8" t="s">
        <v>61</v>
      </c>
      <c r="F72">
        <v>0.93</v>
      </c>
      <c r="J72">
        <f>20+27</f>
        <v>47</v>
      </c>
      <c r="K72">
        <v>2</v>
      </c>
      <c r="L72">
        <v>27</v>
      </c>
      <c r="N72" t="str">
        <f t="shared" si="3"/>
        <v>NA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15.265147999999996</v>
      </c>
      <c r="P72">
        <f t="shared" si="4"/>
        <v>15.265147999999996</v>
      </c>
      <c r="S72">
        <f t="shared" si="5"/>
        <v>0.67929029775000005</v>
      </c>
    </row>
    <row r="73" spans="1:19">
      <c r="A73" s="9">
        <v>42382</v>
      </c>
      <c r="B73" s="8" t="s">
        <v>55</v>
      </c>
      <c r="C73" s="8">
        <v>33</v>
      </c>
      <c r="D73" s="8" t="s">
        <v>65</v>
      </c>
      <c r="E73">
        <v>231</v>
      </c>
      <c r="F73" s="8">
        <v>1.41</v>
      </c>
      <c r="G73">
        <v>4</v>
      </c>
      <c r="N73">
        <f t="shared" si="3"/>
        <v>120.23155527074998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12.766704388117894</v>
      </c>
      <c r="P73">
        <f t="shared" si="4"/>
        <v>12.766704388117894</v>
      </c>
      <c r="S73">
        <f t="shared" si="5"/>
        <v>1.5614487697499997</v>
      </c>
    </row>
    <row r="74" spans="1:19">
      <c r="A74" s="9">
        <v>42382</v>
      </c>
      <c r="B74" s="8" t="s">
        <v>55</v>
      </c>
      <c r="C74" s="8">
        <v>33</v>
      </c>
      <c r="D74" s="8" t="s">
        <v>65</v>
      </c>
      <c r="E74">
        <v>222</v>
      </c>
      <c r="F74">
        <v>1.4</v>
      </c>
      <c r="N74">
        <f t="shared" si="3"/>
        <v>113.91405339999997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10.972712999999999</v>
      </c>
      <c r="P74">
        <f t="shared" si="4"/>
        <v>10.972712999999999</v>
      </c>
      <c r="S74">
        <f t="shared" si="5"/>
        <v>1.5393790999999997</v>
      </c>
    </row>
    <row r="75" spans="1:19">
      <c r="A75" s="9">
        <v>42382</v>
      </c>
      <c r="B75" s="8" t="s">
        <v>55</v>
      </c>
      <c r="C75" s="8">
        <v>33</v>
      </c>
      <c r="D75" s="8" t="s">
        <v>65</v>
      </c>
      <c r="E75">
        <v>158</v>
      </c>
      <c r="F75" s="8">
        <v>1.4</v>
      </c>
      <c r="N75">
        <f t="shared" si="3"/>
        <v>81.073965933333312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6.4859929999999997</v>
      </c>
      <c r="P75">
        <f t="shared" si="4"/>
        <v>6.4859929999999997</v>
      </c>
      <c r="S75">
        <f t="shared" si="5"/>
        <v>1.5393790999999997</v>
      </c>
    </row>
    <row r="76" spans="1:19">
      <c r="A76" s="9">
        <v>42382</v>
      </c>
      <c r="B76" s="8" t="s">
        <v>55</v>
      </c>
      <c r="C76" s="8">
        <v>33</v>
      </c>
      <c r="D76" s="8" t="s">
        <v>65</v>
      </c>
      <c r="E76">
        <v>131</v>
      </c>
      <c r="F76" s="8">
        <v>1.24</v>
      </c>
      <c r="N76">
        <f t="shared" si="3"/>
        <v>52.733054225333326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4.5931579999999999</v>
      </c>
      <c r="P76">
        <f t="shared" si="4"/>
        <v>4.5931579999999999</v>
      </c>
      <c r="S76">
        <f t="shared" si="5"/>
        <v>1.207627196</v>
      </c>
    </row>
    <row r="77" spans="1:19">
      <c r="A77" s="9">
        <v>42382</v>
      </c>
      <c r="B77" s="8" t="s">
        <v>55</v>
      </c>
      <c r="C77" s="8">
        <v>33</v>
      </c>
      <c r="D77" s="8" t="s">
        <v>65</v>
      </c>
      <c r="E77">
        <v>134</v>
      </c>
      <c r="F77" s="8">
        <v>1.17</v>
      </c>
      <c r="N77">
        <f t="shared" si="3"/>
        <v>48.022501819499986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4.8034729999999994</v>
      </c>
      <c r="P77">
        <f t="shared" si="4"/>
        <v>4.8034729999999994</v>
      </c>
      <c r="S77">
        <f t="shared" si="5"/>
        <v>1.0751306377499998</v>
      </c>
    </row>
    <row r="78" spans="1:19">
      <c r="A78" s="9">
        <v>42382</v>
      </c>
      <c r="B78" s="8" t="s">
        <v>55</v>
      </c>
      <c r="C78" s="8">
        <v>33</v>
      </c>
      <c r="D78" s="8" t="s">
        <v>65</v>
      </c>
      <c r="E78">
        <v>134</v>
      </c>
      <c r="F78" s="8">
        <v>0.88</v>
      </c>
      <c r="N78">
        <f t="shared" si="3"/>
        <v>27.166794805333328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4.8034729999999994</v>
      </c>
      <c r="P78">
        <f t="shared" si="4"/>
        <v>4.8034729999999994</v>
      </c>
      <c r="S78">
        <f t="shared" si="5"/>
        <v>0.60821182399999996</v>
      </c>
    </row>
    <row r="79" spans="1:19">
      <c r="A79" s="9">
        <v>42382</v>
      </c>
      <c r="B79" s="8" t="s">
        <v>55</v>
      </c>
      <c r="C79" s="8">
        <v>32</v>
      </c>
      <c r="D79" s="8" t="s">
        <v>61</v>
      </c>
      <c r="F79" s="8">
        <v>2.02</v>
      </c>
      <c r="J79">
        <f>37+64+88+109+109+121</f>
        <v>528</v>
      </c>
      <c r="K79">
        <v>6</v>
      </c>
      <c r="L79">
        <v>121</v>
      </c>
      <c r="N79" t="str">
        <f t="shared" si="3"/>
        <v>NA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3.954860999999994</v>
      </c>
      <c r="P79">
        <f t="shared" si="4"/>
        <v>3.954860999999994</v>
      </c>
      <c r="S79">
        <f t="shared" si="5"/>
        <v>3.2047359589999997</v>
      </c>
    </row>
    <row r="80" spans="1:19">
      <c r="A80" s="9">
        <v>42382</v>
      </c>
      <c r="B80" s="8" t="s">
        <v>55</v>
      </c>
      <c r="C80" s="8">
        <v>32</v>
      </c>
      <c r="D80" s="8" t="s">
        <v>61</v>
      </c>
      <c r="F80" s="8">
        <v>0.94</v>
      </c>
      <c r="J80">
        <f>127+44</f>
        <v>171</v>
      </c>
      <c r="K80">
        <v>2</v>
      </c>
      <c r="L80">
        <v>127</v>
      </c>
      <c r="N80" t="str">
        <f t="shared" si="3"/>
        <v>NA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-3.2337319999999963</v>
      </c>
      <c r="P80" t="str">
        <f t="shared" si="4"/>
        <v xml:space="preserve"> </v>
      </c>
      <c r="S80">
        <f t="shared" si="5"/>
        <v>0.69397723099999997</v>
      </c>
    </row>
    <row r="81" spans="1:19">
      <c r="A81" s="9">
        <v>42382</v>
      </c>
      <c r="B81" s="8" t="s">
        <v>55</v>
      </c>
      <c r="C81" s="8">
        <v>32</v>
      </c>
      <c r="D81" s="8" t="s">
        <v>61</v>
      </c>
      <c r="F81" s="8">
        <v>1.21</v>
      </c>
      <c r="J81">
        <f>92+102</f>
        <v>194</v>
      </c>
      <c r="K81">
        <v>2</v>
      </c>
      <c r="L81">
        <v>102</v>
      </c>
      <c r="N81" t="str">
        <f t="shared" si="3"/>
        <v>NA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6.4537580000000005</v>
      </c>
      <c r="P81">
        <f t="shared" si="4"/>
        <v>6.4537580000000005</v>
      </c>
      <c r="S81">
        <f t="shared" si="5"/>
        <v>1.1499004797499999</v>
      </c>
    </row>
    <row r="82" spans="1:19">
      <c r="A82" s="9">
        <v>42382</v>
      </c>
      <c r="B82" s="8" t="s">
        <v>20</v>
      </c>
      <c r="C82" s="8">
        <v>47</v>
      </c>
      <c r="D82" s="8" t="s">
        <v>61</v>
      </c>
      <c r="F82" s="8">
        <v>5.31</v>
      </c>
      <c r="J82">
        <f>108+187+157+193+205+263+282+289</f>
        <v>1684</v>
      </c>
      <c r="K82">
        <v>8</v>
      </c>
      <c r="L82">
        <v>289</v>
      </c>
      <c r="N82" t="str">
        <f t="shared" si="3"/>
        <v>NA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47.681775000000009</v>
      </c>
      <c r="P82">
        <f t="shared" si="4"/>
        <v>47.681775000000009</v>
      </c>
      <c r="S82">
        <f t="shared" si="5"/>
        <v>22.145146449749994</v>
      </c>
    </row>
    <row r="83" spans="1:19">
      <c r="A83" s="9">
        <v>42382</v>
      </c>
      <c r="B83" s="8" t="s">
        <v>20</v>
      </c>
      <c r="C83" s="8">
        <v>47</v>
      </c>
      <c r="D83" s="8" t="s">
        <v>61</v>
      </c>
      <c r="F83" s="8">
        <v>1.19</v>
      </c>
      <c r="J83">
        <f>33+44+54+68</f>
        <v>199</v>
      </c>
      <c r="K83">
        <v>4</v>
      </c>
      <c r="L83">
        <v>68</v>
      </c>
      <c r="N83" t="str">
        <f t="shared" si="3"/>
        <v>NA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3.120156999999999</v>
      </c>
      <c r="P83">
        <f t="shared" si="4"/>
        <v>3.120156999999999</v>
      </c>
      <c r="S83">
        <f t="shared" si="5"/>
        <v>1.11220139975</v>
      </c>
    </row>
    <row r="84" spans="1:19">
      <c r="A84" s="9">
        <v>42382</v>
      </c>
      <c r="B84" s="8" t="s">
        <v>20</v>
      </c>
      <c r="C84" s="8">
        <v>47</v>
      </c>
      <c r="D84" s="8" t="s">
        <v>61</v>
      </c>
      <c r="F84" s="8">
        <v>0.72</v>
      </c>
      <c r="J84">
        <f>16+17+27+29</f>
        <v>89</v>
      </c>
      <c r="K84">
        <v>4</v>
      </c>
      <c r="L84">
        <v>29</v>
      </c>
      <c r="N84" t="str">
        <f t="shared" si="3"/>
        <v>NA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4.5556619999999981</v>
      </c>
      <c r="P84">
        <f t="shared" si="4"/>
        <v>4.5556619999999981</v>
      </c>
      <c r="S84">
        <f t="shared" si="5"/>
        <v>0.40715006399999998</v>
      </c>
    </row>
    <row r="85" spans="1:19">
      <c r="A85" s="9">
        <v>42382</v>
      </c>
      <c r="B85" s="8" t="s">
        <v>20</v>
      </c>
      <c r="C85" s="8">
        <v>47</v>
      </c>
      <c r="D85" s="8" t="s">
        <v>61</v>
      </c>
      <c r="F85" s="8">
        <v>0.82</v>
      </c>
      <c r="J85">
        <f>19+20+20+28+29</f>
        <v>116</v>
      </c>
      <c r="K85">
        <v>5</v>
      </c>
      <c r="L85">
        <v>29</v>
      </c>
      <c r="N85" t="str">
        <f t="shared" si="3"/>
        <v>NA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6.469399999999581E-2</v>
      </c>
      <c r="P85">
        <f t="shared" si="4"/>
        <v>6.469399999999581E-2</v>
      </c>
      <c r="S85">
        <f t="shared" si="5"/>
        <v>0.52810127899999992</v>
      </c>
    </row>
    <row r="86" spans="1:19">
      <c r="A86" s="9">
        <v>42382</v>
      </c>
      <c r="B86" s="8" t="s">
        <v>20</v>
      </c>
      <c r="C86" s="8">
        <v>47</v>
      </c>
      <c r="D86" s="8" t="s">
        <v>61</v>
      </c>
      <c r="F86" s="8">
        <v>0.86</v>
      </c>
      <c r="J86">
        <f>15+18+23+27</f>
        <v>83</v>
      </c>
      <c r="K86">
        <v>4</v>
      </c>
      <c r="L86">
        <v>27</v>
      </c>
      <c r="N86" t="str">
        <f t="shared" si="3"/>
        <v>NA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4.5956219999999988</v>
      </c>
      <c r="P86">
        <f t="shared" si="4"/>
        <v>4.5956219999999988</v>
      </c>
      <c r="S86">
        <f t="shared" si="5"/>
        <v>0.58087999099999987</v>
      </c>
    </row>
    <row r="87" spans="1:19">
      <c r="A87" s="9">
        <v>42382</v>
      </c>
      <c r="B87" s="8" t="s">
        <v>20</v>
      </c>
      <c r="C87" s="8">
        <v>47</v>
      </c>
      <c r="D87" s="8" t="s">
        <v>61</v>
      </c>
      <c r="F87" s="8">
        <v>7.09</v>
      </c>
      <c r="J87">
        <f>111+12+154+187+207+213+248+359</f>
        <v>1491</v>
      </c>
      <c r="K87">
        <v>8</v>
      </c>
      <c r="L87">
        <v>359</v>
      </c>
      <c r="N87" t="str">
        <f t="shared" si="3"/>
        <v>NA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8.4999100000000354</v>
      </c>
      <c r="P87">
        <f t="shared" si="4"/>
        <v>8.4999100000000354</v>
      </c>
      <c r="S87">
        <f t="shared" si="5"/>
        <v>39.480440069749996</v>
      </c>
    </row>
    <row r="88" spans="1:19">
      <c r="A88" s="9">
        <v>42382</v>
      </c>
      <c r="B88" s="8" t="s">
        <v>20</v>
      </c>
      <c r="C88" s="8">
        <v>47</v>
      </c>
      <c r="D88" s="8" t="s">
        <v>61</v>
      </c>
      <c r="F88" s="8">
        <v>0.82</v>
      </c>
      <c r="J88">
        <f>81+103</f>
        <v>184</v>
      </c>
      <c r="K88">
        <v>2</v>
      </c>
      <c r="L88">
        <v>103</v>
      </c>
      <c r="N88" t="str">
        <f t="shared" si="3"/>
        <v>NA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5.2149629999999974</v>
      </c>
      <c r="P88">
        <f t="shared" si="4"/>
        <v>5.2149629999999974</v>
      </c>
      <c r="S88">
        <f t="shared" si="5"/>
        <v>0.52810127899999992</v>
      </c>
    </row>
    <row r="89" spans="1:19">
      <c r="A89" s="9">
        <v>42382</v>
      </c>
      <c r="B89" s="8" t="s">
        <v>20</v>
      </c>
      <c r="C89" s="8">
        <v>47</v>
      </c>
      <c r="D89" s="8" t="s">
        <v>61</v>
      </c>
      <c r="F89" s="8">
        <v>3.55</v>
      </c>
      <c r="J89">
        <f>131+142+206+211+245+247</f>
        <v>1182</v>
      </c>
      <c r="K89">
        <v>6</v>
      </c>
      <c r="L89">
        <v>247</v>
      </c>
      <c r="N89" t="str">
        <f t="shared" si="3"/>
        <v>NA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27.313761000000007</v>
      </c>
      <c r="P89">
        <f t="shared" si="4"/>
        <v>27.313761000000007</v>
      </c>
      <c r="S89">
        <f t="shared" si="5"/>
        <v>9.8979719937499997</v>
      </c>
    </row>
    <row r="90" spans="1:19">
      <c r="A90" s="9">
        <v>42382</v>
      </c>
      <c r="B90" s="8" t="s">
        <v>20</v>
      </c>
      <c r="C90" s="8">
        <v>46</v>
      </c>
      <c r="D90" s="8" t="s">
        <v>61</v>
      </c>
      <c r="F90" s="8">
        <v>5.12</v>
      </c>
      <c r="J90">
        <f>72+90+95+161+186+227+283</f>
        <v>1114</v>
      </c>
      <c r="K90">
        <v>7</v>
      </c>
      <c r="L90">
        <v>283</v>
      </c>
      <c r="N90" t="str">
        <f t="shared" si="3"/>
        <v>NA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3.0712480000000042</v>
      </c>
      <c r="P90">
        <f t="shared" si="4"/>
        <v>3.0712480000000042</v>
      </c>
      <c r="S90">
        <f t="shared" si="5"/>
        <v>20.588724224</v>
      </c>
    </row>
    <row r="91" spans="1:19">
      <c r="A91" s="9">
        <v>42382</v>
      </c>
      <c r="B91" s="8" t="s">
        <v>20</v>
      </c>
      <c r="C91" s="8">
        <v>46</v>
      </c>
      <c r="D91" s="8" t="s">
        <v>61</v>
      </c>
      <c r="F91" s="8">
        <v>1.04</v>
      </c>
      <c r="J91">
        <f>45+58+79+85+102</f>
        <v>369</v>
      </c>
      <c r="K91">
        <v>5</v>
      </c>
      <c r="L91">
        <v>102</v>
      </c>
      <c r="N91" t="str">
        <f t="shared" si="3"/>
        <v>NA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1.7938240000000043</v>
      </c>
      <c r="P91">
        <f t="shared" si="4"/>
        <v>1.7938240000000043</v>
      </c>
      <c r="S91">
        <f t="shared" si="5"/>
        <v>0.84948593600000011</v>
      </c>
    </row>
    <row r="92" spans="1:19">
      <c r="A92" s="9">
        <v>42382</v>
      </c>
      <c r="B92" s="8" t="s">
        <v>20</v>
      </c>
      <c r="C92" s="8">
        <v>46</v>
      </c>
      <c r="D92" s="8" t="s">
        <v>61</v>
      </c>
      <c r="F92" s="8">
        <v>2.46</v>
      </c>
      <c r="J92">
        <f>48+80+120+167+175+194+211</f>
        <v>995</v>
      </c>
      <c r="K92">
        <v>7</v>
      </c>
      <c r="L92">
        <v>194</v>
      </c>
      <c r="N92" t="str">
        <f t="shared" si="3"/>
        <v>NA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18.725208000000002</v>
      </c>
      <c r="P92">
        <f t="shared" si="4"/>
        <v>18.725208000000002</v>
      </c>
      <c r="S92">
        <f t="shared" si="5"/>
        <v>4.7529115109999998</v>
      </c>
    </row>
    <row r="93" spans="1:19">
      <c r="A93" s="9">
        <v>42382</v>
      </c>
      <c r="B93" s="8" t="s">
        <v>20</v>
      </c>
      <c r="C93" s="8">
        <v>46</v>
      </c>
      <c r="D93" s="8" t="s">
        <v>61</v>
      </c>
      <c r="F93" s="8">
        <v>1.56</v>
      </c>
      <c r="J93">
        <f>55+81+82+87+103</f>
        <v>408</v>
      </c>
      <c r="K93">
        <v>5</v>
      </c>
      <c r="L93">
        <v>103</v>
      </c>
      <c r="N93" t="str">
        <f t="shared" si="3"/>
        <v>NA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5.1490240000000007</v>
      </c>
      <c r="P93">
        <f t="shared" si="4"/>
        <v>5.1490240000000007</v>
      </c>
      <c r="S93">
        <f t="shared" si="5"/>
        <v>1.9113433560000002</v>
      </c>
    </row>
    <row r="94" spans="1:19">
      <c r="A94" s="9">
        <v>42382</v>
      </c>
      <c r="B94" s="8" t="s">
        <v>20</v>
      </c>
      <c r="C94" s="8">
        <v>46</v>
      </c>
      <c r="D94" s="8" t="s">
        <v>61</v>
      </c>
      <c r="F94" s="8">
        <v>0.96</v>
      </c>
      <c r="J94">
        <f>45+74+89+106</f>
        <v>314</v>
      </c>
      <c r="K94">
        <v>4</v>
      </c>
      <c r="L94">
        <v>106</v>
      </c>
      <c r="N94" t="str">
        <f t="shared" si="3"/>
        <v>NA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2.4546719999999986</v>
      </c>
      <c r="P94">
        <f t="shared" si="4"/>
        <v>2.4546719999999986</v>
      </c>
      <c r="S94">
        <f t="shared" si="5"/>
        <v>0.7238223359999999</v>
      </c>
    </row>
    <row r="95" spans="1:19">
      <c r="A95" s="9">
        <v>42382</v>
      </c>
      <c r="B95" s="8" t="s">
        <v>20</v>
      </c>
      <c r="C95" s="8">
        <v>46</v>
      </c>
      <c r="D95" s="8" t="s">
        <v>61</v>
      </c>
      <c r="F95" s="8">
        <v>1.3</v>
      </c>
      <c r="J95">
        <f>32+50+60+74+75</f>
        <v>291</v>
      </c>
      <c r="K95">
        <v>5</v>
      </c>
      <c r="L95">
        <v>75</v>
      </c>
      <c r="N95" t="str">
        <f t="shared" si="3"/>
        <v>NA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2.6145490000000002</v>
      </c>
      <c r="P95">
        <f t="shared" si="4"/>
        <v>2.6145490000000002</v>
      </c>
      <c r="S95">
        <f t="shared" si="5"/>
        <v>1.3273217750000001</v>
      </c>
    </row>
    <row r="96" spans="1:19">
      <c r="A96" s="9">
        <v>42382</v>
      </c>
      <c r="B96" s="8" t="s">
        <v>20</v>
      </c>
      <c r="C96" s="8">
        <v>46</v>
      </c>
      <c r="D96" s="8" t="s">
        <v>61</v>
      </c>
      <c r="F96" s="8">
        <v>0.76</v>
      </c>
      <c r="J96">
        <f>23+24+26+27+31+32+37</f>
        <v>200</v>
      </c>
      <c r="K96">
        <v>7</v>
      </c>
      <c r="L96">
        <v>37</v>
      </c>
      <c r="N96" t="str">
        <f t="shared" si="3"/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-8.5145520000000019</v>
      </c>
      <c r="P96" t="str">
        <f t="shared" si="4"/>
        <v xml:space="preserve"> </v>
      </c>
      <c r="S96">
        <f t="shared" si="5"/>
        <v>0.45364559599999998</v>
      </c>
    </row>
    <row r="97" spans="1:19">
      <c r="A97" s="9">
        <v>42382</v>
      </c>
      <c r="B97" s="8" t="s">
        <v>20</v>
      </c>
      <c r="C97" s="8">
        <v>46</v>
      </c>
      <c r="D97" s="8" t="s">
        <v>61</v>
      </c>
      <c r="F97" s="8">
        <v>1.21</v>
      </c>
      <c r="J97">
        <f>28+32+41+47+50</f>
        <v>198</v>
      </c>
      <c r="K97">
        <v>5</v>
      </c>
      <c r="L97">
        <v>50</v>
      </c>
      <c r="N97" t="str">
        <f t="shared" si="3"/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1.4264590000000013</v>
      </c>
      <c r="P97">
        <f t="shared" si="4"/>
        <v>1.4264590000000013</v>
      </c>
      <c r="S97">
        <f t="shared" si="5"/>
        <v>1.1499004797499999</v>
      </c>
    </row>
    <row r="98" spans="1:19">
      <c r="A98" s="9">
        <v>42382</v>
      </c>
      <c r="B98" s="8" t="s">
        <v>20</v>
      </c>
      <c r="C98" s="8">
        <v>46</v>
      </c>
      <c r="D98" s="8" t="s">
        <v>61</v>
      </c>
      <c r="F98" s="8">
        <v>0.98</v>
      </c>
      <c r="J98">
        <f>19+20+26+29+31</f>
        <v>125</v>
      </c>
      <c r="K98">
        <v>5</v>
      </c>
      <c r="L98">
        <v>31</v>
      </c>
      <c r="N98" t="str">
        <f t="shared" si="3"/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0.30599899999999991</v>
      </c>
      <c r="P98">
        <f t="shared" si="4"/>
        <v>0.30599899999999991</v>
      </c>
      <c r="S98">
        <f t="shared" si="5"/>
        <v>0.7542957589999999</v>
      </c>
    </row>
    <row r="99" spans="1:19">
      <c r="A99" s="9">
        <v>42382</v>
      </c>
      <c r="B99" s="8" t="s">
        <v>20</v>
      </c>
      <c r="C99" s="8">
        <v>46</v>
      </c>
      <c r="D99" s="8" t="s">
        <v>61</v>
      </c>
      <c r="F99" s="8">
        <v>1.32</v>
      </c>
      <c r="J99">
        <f>38+69</f>
        <v>107</v>
      </c>
      <c r="K99">
        <v>2</v>
      </c>
      <c r="L99">
        <v>69</v>
      </c>
      <c r="N99" t="str">
        <f t="shared" si="3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8.2381579999999985</v>
      </c>
      <c r="P99">
        <f t="shared" si="4"/>
        <v>8.2381579999999985</v>
      </c>
      <c r="S99">
        <f t="shared" si="5"/>
        <v>1.368476604</v>
      </c>
    </row>
    <row r="100" spans="1:19">
      <c r="A100" s="9">
        <v>42382</v>
      </c>
      <c r="B100" s="8" t="s">
        <v>20</v>
      </c>
      <c r="C100" s="8">
        <v>46</v>
      </c>
      <c r="D100" s="8" t="s">
        <v>61</v>
      </c>
      <c r="F100" s="8">
        <v>0.99</v>
      </c>
      <c r="J100">
        <f>23+31+32+36</f>
        <v>122</v>
      </c>
      <c r="K100">
        <v>4</v>
      </c>
      <c r="L100">
        <v>36</v>
      </c>
      <c r="N100" t="str">
        <f t="shared" si="3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5.5408619999999971</v>
      </c>
      <c r="P100">
        <f t="shared" si="4"/>
        <v>5.5408619999999971</v>
      </c>
      <c r="S100">
        <f t="shared" si="5"/>
        <v>0.76976808975</v>
      </c>
    </row>
    <row r="101" spans="1:19">
      <c r="A101" s="9">
        <v>42382</v>
      </c>
      <c r="B101" s="8" t="s">
        <v>20</v>
      </c>
      <c r="C101" s="8">
        <v>46</v>
      </c>
      <c r="D101" s="8" t="s">
        <v>61</v>
      </c>
      <c r="F101" s="8">
        <v>1.1200000000000001</v>
      </c>
      <c r="J101">
        <f>29+6+56+63</f>
        <v>154</v>
      </c>
      <c r="K101">
        <v>4</v>
      </c>
      <c r="L101">
        <v>63</v>
      </c>
      <c r="N101" t="str">
        <f t="shared" si="3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0.40740699999999919</v>
      </c>
      <c r="P101">
        <f t="shared" si="4"/>
        <v>0.40740699999999919</v>
      </c>
      <c r="S101">
        <f t="shared" si="5"/>
        <v>0.98520262400000014</v>
      </c>
    </row>
    <row r="102" spans="1:19">
      <c r="A102" s="9">
        <v>42382</v>
      </c>
      <c r="B102" s="8" t="s">
        <v>20</v>
      </c>
      <c r="C102" s="8">
        <v>46</v>
      </c>
      <c r="D102" s="8" t="s">
        <v>61</v>
      </c>
      <c r="F102" s="8">
        <v>0.89</v>
      </c>
      <c r="J102">
        <f>20+21+31+32</f>
        <v>104</v>
      </c>
      <c r="K102">
        <v>4</v>
      </c>
      <c r="L102">
        <v>32</v>
      </c>
      <c r="N102" t="str">
        <f t="shared" si="3"/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5.058251999999996</v>
      </c>
      <c r="P102">
        <f t="shared" si="4"/>
        <v>5.058251999999996</v>
      </c>
      <c r="S102">
        <f t="shared" si="5"/>
        <v>0.62211335975000004</v>
      </c>
    </row>
    <row r="103" spans="1:19">
      <c r="A103" s="9">
        <v>42382</v>
      </c>
      <c r="B103" s="8" t="s">
        <v>20</v>
      </c>
      <c r="C103" s="8">
        <v>46</v>
      </c>
      <c r="D103" s="8" t="s">
        <v>61</v>
      </c>
      <c r="F103" s="8">
        <v>1.39</v>
      </c>
      <c r="J103">
        <f>40+56+100+121+122</f>
        <v>439</v>
      </c>
      <c r="K103">
        <v>5</v>
      </c>
      <c r="L103">
        <v>122</v>
      </c>
      <c r="N103" t="str">
        <f t="shared" si="3"/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2.3317740000000029</v>
      </c>
      <c r="P103">
        <f t="shared" si="4"/>
        <v>2.3317740000000029</v>
      </c>
      <c r="S103">
        <f t="shared" si="5"/>
        <v>1.5174665097499997</v>
      </c>
    </row>
    <row r="104" spans="1:19">
      <c r="A104" s="9">
        <v>42382</v>
      </c>
      <c r="B104" s="8" t="s">
        <v>20</v>
      </c>
      <c r="C104" s="8">
        <v>46</v>
      </c>
      <c r="D104" s="8" t="s">
        <v>61</v>
      </c>
      <c r="F104" s="8">
        <v>1.42</v>
      </c>
      <c r="J104">
        <f>43+57+70+73</f>
        <v>243</v>
      </c>
      <c r="K104">
        <v>4</v>
      </c>
      <c r="L104">
        <v>73</v>
      </c>
      <c r="N104" t="str">
        <f t="shared" si="3"/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5.7391520000000007</v>
      </c>
      <c r="P104">
        <f t="shared" si="4"/>
        <v>5.7391520000000007</v>
      </c>
      <c r="S104">
        <f t="shared" si="5"/>
        <v>1.5836755189999998</v>
      </c>
    </row>
    <row r="105" spans="1:19">
      <c r="A105" s="9">
        <v>42382</v>
      </c>
      <c r="B105" s="8" t="s">
        <v>20</v>
      </c>
      <c r="C105" s="8">
        <v>46</v>
      </c>
      <c r="D105" s="8" t="s">
        <v>61</v>
      </c>
      <c r="F105" s="8">
        <v>0.8</v>
      </c>
      <c r="J105">
        <f>19+26+31</f>
        <v>76</v>
      </c>
      <c r="K105">
        <v>3</v>
      </c>
      <c r="L105">
        <v>31</v>
      </c>
      <c r="N105" t="str">
        <f t="shared" si="3"/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9.7567099999999982</v>
      </c>
      <c r="P105">
        <f t="shared" si="4"/>
        <v>9.7567099999999982</v>
      </c>
      <c r="S105">
        <f t="shared" si="5"/>
        <v>0.50265440000000006</v>
      </c>
    </row>
    <row r="106" spans="1:19">
      <c r="A106" s="9">
        <v>42382</v>
      </c>
      <c r="B106" s="8" t="s">
        <v>20</v>
      </c>
      <c r="C106" s="8">
        <v>46</v>
      </c>
      <c r="D106" s="8" t="s">
        <v>61</v>
      </c>
      <c r="F106" s="8">
        <v>0.32</v>
      </c>
      <c r="J106">
        <f>11+12</f>
        <v>23</v>
      </c>
      <c r="K106">
        <v>2</v>
      </c>
      <c r="L106">
        <v>12</v>
      </c>
      <c r="N106" t="str">
        <f t="shared" si="3"/>
        <v>NA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17.533702999999996</v>
      </c>
      <c r="P106">
        <f t="shared" si="4"/>
        <v>17.533702999999996</v>
      </c>
      <c r="S106">
        <f t="shared" si="5"/>
        <v>8.0424704E-2</v>
      </c>
    </row>
    <row r="107" spans="1:19">
      <c r="A107" s="9">
        <v>42382</v>
      </c>
      <c r="B107" s="8" t="s">
        <v>20</v>
      </c>
      <c r="C107" s="8">
        <v>46</v>
      </c>
      <c r="D107" s="8" t="s">
        <v>61</v>
      </c>
      <c r="F107" s="8">
        <v>1.22</v>
      </c>
      <c r="J107">
        <f>44+63+67+82</f>
        <v>256</v>
      </c>
      <c r="K107">
        <v>4</v>
      </c>
      <c r="L107">
        <v>82</v>
      </c>
      <c r="N107" t="str">
        <f t="shared" si="3"/>
        <v>NA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4.2467620000000004</v>
      </c>
      <c r="P107">
        <f t="shared" si="4"/>
        <v>4.2467620000000004</v>
      </c>
      <c r="S107">
        <f t="shared" si="5"/>
        <v>1.168985639</v>
      </c>
    </row>
    <row r="108" spans="1:19">
      <c r="A108" s="9">
        <v>42382</v>
      </c>
      <c r="B108" s="8" t="s">
        <v>20</v>
      </c>
      <c r="C108" s="8">
        <v>46</v>
      </c>
      <c r="D108" s="8" t="s">
        <v>61</v>
      </c>
      <c r="F108" s="8">
        <v>1.37</v>
      </c>
      <c r="J108">
        <f>40+54+58</f>
        <v>152</v>
      </c>
      <c r="K108">
        <v>3</v>
      </c>
      <c r="L108">
        <v>58</v>
      </c>
      <c r="N108" t="str">
        <f t="shared" si="3"/>
        <v>NA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8.7484749999999991</v>
      </c>
      <c r="P108">
        <f t="shared" si="4"/>
        <v>8.7484749999999991</v>
      </c>
      <c r="S108">
        <f t="shared" si="5"/>
        <v>1.4741125677500002</v>
      </c>
    </row>
    <row r="109" spans="1:19">
      <c r="A109" s="9">
        <v>42382</v>
      </c>
      <c r="B109" s="8" t="s">
        <v>20</v>
      </c>
      <c r="C109" s="8">
        <v>46</v>
      </c>
      <c r="D109" s="8" t="s">
        <v>61</v>
      </c>
      <c r="F109" s="8">
        <v>1.2</v>
      </c>
      <c r="J109">
        <f>39+48+61+62+74</f>
        <v>284</v>
      </c>
      <c r="K109">
        <v>5</v>
      </c>
      <c r="L109">
        <v>74</v>
      </c>
      <c r="N109" t="str">
        <f t="shared" si="3"/>
        <v>NA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2.2595090000000013</v>
      </c>
      <c r="P109">
        <f t="shared" si="4"/>
        <v>2.2595090000000013</v>
      </c>
      <c r="S109">
        <f t="shared" si="5"/>
        <v>1.1309723999999999</v>
      </c>
    </row>
    <row r="110" spans="1:19">
      <c r="A110" s="9">
        <v>42382</v>
      </c>
      <c r="B110" s="8" t="s">
        <v>20</v>
      </c>
      <c r="C110" s="8">
        <v>27</v>
      </c>
      <c r="D110" s="8" t="s">
        <v>65</v>
      </c>
      <c r="E110">
        <v>179</v>
      </c>
      <c r="F110" s="8">
        <v>1.04</v>
      </c>
      <c r="N110">
        <f t="shared" si="3"/>
        <v>50.685994181333328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7.9581980000000003</v>
      </c>
      <c r="P110">
        <f t="shared" si="4"/>
        <v>7.9581980000000003</v>
      </c>
      <c r="S110">
        <f t="shared" si="5"/>
        <v>0.84948593600000011</v>
      </c>
    </row>
    <row r="111" spans="1:19">
      <c r="A111" s="9">
        <v>42382</v>
      </c>
      <c r="B111" s="8" t="s">
        <v>20</v>
      </c>
      <c r="C111" s="8">
        <v>27</v>
      </c>
      <c r="D111" s="8" t="s">
        <v>65</v>
      </c>
      <c r="E111">
        <v>102</v>
      </c>
      <c r="F111" s="8">
        <v>0.54</v>
      </c>
      <c r="N111">
        <f t="shared" si="3"/>
        <v>7.7867449740000003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2.5601130000000003</v>
      </c>
      <c r="P111">
        <f t="shared" si="4"/>
        <v>2.5601130000000003</v>
      </c>
      <c r="S111">
        <f t="shared" si="5"/>
        <v>0.22902191100000002</v>
      </c>
    </row>
    <row r="112" spans="1:19">
      <c r="A112" s="9">
        <v>42382</v>
      </c>
      <c r="B112" s="8" t="s">
        <v>20</v>
      </c>
      <c r="C112" s="8">
        <v>27</v>
      </c>
      <c r="D112" s="8" t="s">
        <v>65</v>
      </c>
      <c r="E112">
        <v>153</v>
      </c>
      <c r="F112" s="8">
        <v>0.82</v>
      </c>
      <c r="N112">
        <f t="shared" si="3"/>
        <v>26.933165228999993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6.1354680000000004</v>
      </c>
      <c r="P112">
        <f t="shared" si="4"/>
        <v>6.1354680000000004</v>
      </c>
      <c r="S112">
        <f t="shared" si="5"/>
        <v>0.52810127899999992</v>
      </c>
    </row>
    <row r="113" spans="1:19">
      <c r="A113" s="9">
        <v>42382</v>
      </c>
      <c r="B113" s="8" t="s">
        <v>20</v>
      </c>
      <c r="C113" s="8">
        <v>27</v>
      </c>
      <c r="D113" s="8" t="s">
        <v>65</v>
      </c>
      <c r="E113">
        <v>203</v>
      </c>
      <c r="F113" s="8">
        <v>1.81</v>
      </c>
      <c r="N113">
        <f t="shared" si="3"/>
        <v>174.10909073308332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9.6407179999999997</v>
      </c>
      <c r="P113">
        <f t="shared" si="4"/>
        <v>9.6407179999999997</v>
      </c>
      <c r="S113">
        <f t="shared" si="5"/>
        <v>2.5730407497500001</v>
      </c>
    </row>
    <row r="114" spans="1:19">
      <c r="A114" s="9">
        <v>42382</v>
      </c>
      <c r="B114" s="8" t="s">
        <v>20</v>
      </c>
      <c r="C114" s="8">
        <v>27</v>
      </c>
      <c r="D114" s="8" t="s">
        <v>65</v>
      </c>
      <c r="E114">
        <v>229</v>
      </c>
      <c r="F114">
        <v>1.24</v>
      </c>
      <c r="N114">
        <f t="shared" si="3"/>
        <v>92.182209294666663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11.463448</v>
      </c>
      <c r="P114">
        <f t="shared" si="4"/>
        <v>11.463448</v>
      </c>
      <c r="S114">
        <f t="shared" si="5"/>
        <v>1.207627196</v>
      </c>
    </row>
    <row r="115" spans="1:19">
      <c r="A115" s="9">
        <v>42382</v>
      </c>
      <c r="B115" s="8" t="s">
        <v>20</v>
      </c>
      <c r="C115" s="8">
        <v>27</v>
      </c>
      <c r="D115" s="8" t="s">
        <v>65</v>
      </c>
      <c r="E115">
        <v>133</v>
      </c>
      <c r="F115" s="8">
        <v>0.98</v>
      </c>
      <c r="N115">
        <f t="shared" si="3"/>
        <v>33.440445315666658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4.7333679999999996</v>
      </c>
      <c r="P115">
        <f t="shared" si="4"/>
        <v>4.7333679999999996</v>
      </c>
      <c r="S115">
        <f t="shared" si="5"/>
        <v>0.7542957589999999</v>
      </c>
    </row>
    <row r="116" spans="1:19">
      <c r="A116" s="9">
        <v>42382</v>
      </c>
      <c r="B116" s="8" t="s">
        <v>20</v>
      </c>
      <c r="C116" s="8">
        <v>27</v>
      </c>
      <c r="D116" s="8" t="s">
        <v>61</v>
      </c>
      <c r="F116" s="8">
        <v>0.56999999999999995</v>
      </c>
      <c r="J116">
        <f>58+67</f>
        <v>125</v>
      </c>
      <c r="K116">
        <v>2</v>
      </c>
      <c r="L116">
        <v>67</v>
      </c>
      <c r="N116" t="str">
        <f t="shared" si="3"/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10.528237999999998</v>
      </c>
      <c r="P116">
        <f t="shared" si="4"/>
        <v>10.528237999999998</v>
      </c>
      <c r="S116">
        <f t="shared" si="5"/>
        <v>0.25517564774999996</v>
      </c>
    </row>
    <row r="117" spans="1:19">
      <c r="A117" s="9">
        <v>42382</v>
      </c>
      <c r="B117" s="8" t="s">
        <v>20</v>
      </c>
      <c r="C117" s="8">
        <v>27</v>
      </c>
      <c r="D117" s="8" t="s">
        <v>61</v>
      </c>
      <c r="F117" s="8">
        <v>3.03</v>
      </c>
      <c r="J117">
        <f>91+144+185+214+218+223</f>
        <v>1075</v>
      </c>
      <c r="K117">
        <v>6</v>
      </c>
      <c r="L117">
        <v>223</v>
      </c>
      <c r="N117" t="str">
        <f t="shared" si="3"/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24.511856000000002</v>
      </c>
      <c r="P117">
        <f t="shared" si="4"/>
        <v>24.511856000000002</v>
      </c>
      <c r="S117">
        <f t="shared" si="5"/>
        <v>7.2106559077499996</v>
      </c>
    </row>
    <row r="118" spans="1:19">
      <c r="A118" s="9">
        <v>42382</v>
      </c>
      <c r="B118" s="8" t="s">
        <v>20</v>
      </c>
      <c r="C118" s="8">
        <v>27</v>
      </c>
      <c r="D118" s="8" t="s">
        <v>61</v>
      </c>
      <c r="F118" s="8">
        <v>1.44</v>
      </c>
      <c r="J118">
        <f>51+92+124+137</f>
        <v>404</v>
      </c>
      <c r="K118">
        <v>4</v>
      </c>
      <c r="L118">
        <v>137</v>
      </c>
      <c r="N118" t="str">
        <f t="shared" si="3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1.5540270000000014</v>
      </c>
      <c r="P118">
        <f t="shared" si="4"/>
        <v>1.5540270000000014</v>
      </c>
      <c r="S118">
        <f t="shared" si="5"/>
        <v>1.6286002559999999</v>
      </c>
    </row>
    <row r="119" spans="1:19">
      <c r="A119" s="9">
        <v>42382</v>
      </c>
      <c r="B119" s="8" t="s">
        <v>20</v>
      </c>
      <c r="C119" s="8">
        <v>27</v>
      </c>
      <c r="D119" s="8" t="s">
        <v>61</v>
      </c>
      <c r="F119" s="8">
        <v>1.92</v>
      </c>
      <c r="J119">
        <f>57+88+110</f>
        <v>255</v>
      </c>
      <c r="K119">
        <v>3</v>
      </c>
      <c r="L119">
        <v>110</v>
      </c>
      <c r="N119" t="str">
        <f t="shared" si="3"/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2.7404999999999973</v>
      </c>
      <c r="P119">
        <f t="shared" si="4"/>
        <v>2.7404999999999973</v>
      </c>
      <c r="S119">
        <f t="shared" si="5"/>
        <v>2.8952893439999996</v>
      </c>
    </row>
    <row r="120" spans="1:19">
      <c r="A120" s="9">
        <v>42382</v>
      </c>
      <c r="B120" s="8" t="s">
        <v>20</v>
      </c>
      <c r="C120" s="8">
        <v>27</v>
      </c>
      <c r="D120" s="8" t="s">
        <v>61</v>
      </c>
      <c r="F120" s="8">
        <v>2.88</v>
      </c>
      <c r="J120">
        <f>82+128+167+176+181</f>
        <v>734</v>
      </c>
      <c r="K120">
        <v>5</v>
      </c>
      <c r="L120">
        <v>181</v>
      </c>
      <c r="N120" t="str">
        <f t="shared" si="3"/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12.216044000000004</v>
      </c>
      <c r="P120">
        <f t="shared" si="4"/>
        <v>12.216044000000004</v>
      </c>
      <c r="S120">
        <f t="shared" si="5"/>
        <v>6.5144010239999997</v>
      </c>
    </row>
    <row r="121" spans="1:19">
      <c r="A121" s="9">
        <v>42396</v>
      </c>
      <c r="B121" s="8" t="s">
        <v>20</v>
      </c>
      <c r="C121" s="8">
        <v>6</v>
      </c>
      <c r="D121" s="8" t="s">
        <v>61</v>
      </c>
      <c r="F121" s="8">
        <v>8.65</v>
      </c>
      <c r="J121">
        <f>224+249+251+259+279+285+288+303</f>
        <v>2138</v>
      </c>
      <c r="K121">
        <v>8</v>
      </c>
      <c r="L121">
        <v>303</v>
      </c>
      <c r="N121" t="str">
        <f t="shared" si="3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86.029115000000019</v>
      </c>
      <c r="P121">
        <f t="shared" si="4"/>
        <v>86.029115000000019</v>
      </c>
      <c r="S121">
        <f t="shared" si="5"/>
        <v>58.76540444375</v>
      </c>
    </row>
    <row r="122" spans="1:19">
      <c r="A122" s="9">
        <v>42396</v>
      </c>
      <c r="B122" s="8" t="s">
        <v>20</v>
      </c>
      <c r="C122" s="8">
        <v>6</v>
      </c>
      <c r="D122" s="8" t="s">
        <v>61</v>
      </c>
      <c r="F122" s="8">
        <v>0.71</v>
      </c>
      <c r="J122">
        <f>53+104+19</f>
        <v>176</v>
      </c>
      <c r="K122">
        <v>3</v>
      </c>
      <c r="L122">
        <v>149</v>
      </c>
      <c r="N122" t="str">
        <f t="shared" si="3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-16.414699999999996</v>
      </c>
      <c r="P122" t="str">
        <f t="shared" si="4"/>
        <v xml:space="preserve"> </v>
      </c>
      <c r="S122">
        <f t="shared" si="5"/>
        <v>0.39591887974999995</v>
      </c>
    </row>
    <row r="123" spans="1:19">
      <c r="A123" s="9">
        <v>42396</v>
      </c>
      <c r="B123" s="8" t="s">
        <v>20</v>
      </c>
      <c r="C123" s="8">
        <v>6</v>
      </c>
      <c r="D123" s="8" t="s">
        <v>63</v>
      </c>
      <c r="E123">
        <v>130</v>
      </c>
      <c r="F123" s="8">
        <v>1.72</v>
      </c>
      <c r="N123">
        <f t="shared" si="3"/>
        <v>100.68586510666664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4.523053</v>
      </c>
      <c r="P123">
        <f t="shared" si="4"/>
        <v>4.523053</v>
      </c>
      <c r="S123">
        <f t="shared" si="5"/>
        <v>2.3235199639999995</v>
      </c>
    </row>
    <row r="124" spans="1:19">
      <c r="A124" s="9">
        <v>42396</v>
      </c>
      <c r="B124" s="8" t="s">
        <v>20</v>
      </c>
      <c r="C124" s="8">
        <v>3</v>
      </c>
      <c r="D124" s="8" t="s">
        <v>63</v>
      </c>
      <c r="E124">
        <v>115</v>
      </c>
      <c r="F124" s="8">
        <v>1.74</v>
      </c>
      <c r="N124">
        <f t="shared" si="3"/>
        <v>91.151663055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3.4714780000000003</v>
      </c>
      <c r="P124">
        <f t="shared" si="4"/>
        <v>3.4714780000000003</v>
      </c>
      <c r="S124">
        <f t="shared" si="5"/>
        <v>2.3778694709999999</v>
      </c>
    </row>
    <row r="125" spans="1:19">
      <c r="A125" s="9">
        <v>42396</v>
      </c>
      <c r="B125" s="8" t="s">
        <v>20</v>
      </c>
      <c r="C125" s="8">
        <v>3</v>
      </c>
      <c r="D125" s="8" t="s">
        <v>63</v>
      </c>
      <c r="E125">
        <v>232</v>
      </c>
      <c r="F125">
        <v>1.93</v>
      </c>
      <c r="N125">
        <f t="shared" si="3"/>
        <v>226.24076609266663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11.673763000000001</v>
      </c>
      <c r="P125">
        <f t="shared" si="4"/>
        <v>11.673763000000001</v>
      </c>
      <c r="S125">
        <f t="shared" si="5"/>
        <v>2.92552714775</v>
      </c>
    </row>
    <row r="126" spans="1:19">
      <c r="A126" s="9">
        <v>42396</v>
      </c>
      <c r="B126" s="8" t="s">
        <v>20</v>
      </c>
      <c r="C126" s="8">
        <v>3</v>
      </c>
      <c r="D126" s="8" t="s">
        <v>63</v>
      </c>
      <c r="E126">
        <v>69</v>
      </c>
      <c r="F126" s="8">
        <v>1.03</v>
      </c>
      <c r="N126">
        <f t="shared" si="3"/>
        <v>19.164248778249998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0.24664800000000042</v>
      </c>
      <c r="P126">
        <f t="shared" si="4"/>
        <v>0.24664800000000042</v>
      </c>
      <c r="S126">
        <f t="shared" si="5"/>
        <v>0.83322820774999995</v>
      </c>
    </row>
    <row r="127" spans="1:19">
      <c r="A127" s="9">
        <v>42396</v>
      </c>
      <c r="B127" s="8" t="s">
        <v>20</v>
      </c>
      <c r="C127" s="8">
        <v>3</v>
      </c>
      <c r="D127" s="8" t="s">
        <v>63</v>
      </c>
      <c r="E127">
        <v>212</v>
      </c>
      <c r="F127" s="8">
        <v>1.6</v>
      </c>
      <c r="J127" s="8"/>
      <c r="N127">
        <f t="shared" si="3"/>
        <v>142.08364373333333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10.271663</v>
      </c>
      <c r="P127">
        <f t="shared" si="4"/>
        <v>10.271663</v>
      </c>
      <c r="S127">
        <f t="shared" si="5"/>
        <v>2.0106176000000002</v>
      </c>
    </row>
    <row r="128" spans="1:19">
      <c r="A128" s="9">
        <v>42396</v>
      </c>
      <c r="B128" s="8" t="s">
        <v>20</v>
      </c>
      <c r="C128" s="8">
        <v>3</v>
      </c>
      <c r="D128" s="8" t="s">
        <v>63</v>
      </c>
      <c r="E128">
        <v>192</v>
      </c>
      <c r="F128" s="8">
        <v>1.72</v>
      </c>
      <c r="N128">
        <f t="shared" si="3"/>
        <v>148.70527769599997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8.8695629999999994</v>
      </c>
      <c r="P128">
        <f t="shared" si="4"/>
        <v>8.8695629999999994</v>
      </c>
      <c r="S128">
        <f t="shared" si="5"/>
        <v>2.3235199639999995</v>
      </c>
    </row>
    <row r="129" spans="1:19">
      <c r="A129" s="9">
        <v>42396</v>
      </c>
      <c r="B129" s="8" t="s">
        <v>20</v>
      </c>
      <c r="C129" s="8">
        <v>3</v>
      </c>
      <c r="D129" s="8" t="s">
        <v>63</v>
      </c>
      <c r="E129">
        <v>125</v>
      </c>
      <c r="F129" s="8">
        <v>1.95</v>
      </c>
      <c r="N129">
        <f t="shared" si="3"/>
        <v>124.43641640624998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4.1725280000000007</v>
      </c>
      <c r="P129">
        <f t="shared" si="4"/>
        <v>4.1725280000000007</v>
      </c>
      <c r="S129">
        <f t="shared" si="5"/>
        <v>2.9864739937499998</v>
      </c>
    </row>
    <row r="130" spans="1:19">
      <c r="A130" s="9">
        <v>42396</v>
      </c>
      <c r="B130" s="8" t="s">
        <v>20</v>
      </c>
      <c r="C130" s="8">
        <v>3</v>
      </c>
      <c r="D130" s="8" t="s">
        <v>63</v>
      </c>
      <c r="E130">
        <v>358</v>
      </c>
      <c r="F130" s="8">
        <v>1.67</v>
      </c>
      <c r="N130">
        <f t="shared" si="3"/>
        <v>261.38714713816665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20.506993000000001</v>
      </c>
      <c r="P130">
        <f t="shared" si="4"/>
        <v>20.506993000000001</v>
      </c>
      <c r="S130">
        <f t="shared" si="5"/>
        <v>2.1903950877499998</v>
      </c>
    </row>
    <row r="131" spans="1:19">
      <c r="A131" s="9">
        <v>42396</v>
      </c>
      <c r="B131" s="8" t="s">
        <v>20</v>
      </c>
      <c r="C131" s="8">
        <v>3</v>
      </c>
      <c r="D131" s="8" t="s">
        <v>63</v>
      </c>
      <c r="E131">
        <v>160</v>
      </c>
      <c r="F131" s="8">
        <v>1.4</v>
      </c>
      <c r="N131">
        <f t="shared" si="3"/>
        <v>82.100218666666649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6.6262029999999994</v>
      </c>
      <c r="P131">
        <f t="shared" si="4"/>
        <v>6.6262029999999994</v>
      </c>
      <c r="S131">
        <f t="shared" si="5"/>
        <v>1.5393790999999997</v>
      </c>
    </row>
    <row r="132" spans="1:19">
      <c r="A132" s="7">
        <v>42396</v>
      </c>
      <c r="B132" s="8" t="s">
        <v>20</v>
      </c>
      <c r="C132" s="8">
        <v>3</v>
      </c>
      <c r="D132" s="8" t="s">
        <v>63</v>
      </c>
      <c r="E132">
        <v>34</v>
      </c>
      <c r="F132" s="8">
        <v>0.67</v>
      </c>
      <c r="N132">
        <f t="shared" ref="N132:N195" si="6">IF(OR(D132="S. acutus", D132="S. tabernaemontani", D132="S. californicus"),(1/3)*(3.14159)*((F132/2)^2)*E132,"NA")</f>
        <v>3.9957359611666665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-2.2070269999999996</v>
      </c>
      <c r="P132" t="str">
        <f t="shared" si="4"/>
        <v xml:space="preserve"> </v>
      </c>
      <c r="S132">
        <f t="shared" si="5"/>
        <v>0.35256493775000003</v>
      </c>
    </row>
    <row r="133" spans="1:19">
      <c r="A133" s="9">
        <v>42396</v>
      </c>
      <c r="B133" s="8" t="s">
        <v>20</v>
      </c>
      <c r="C133" s="8">
        <v>3</v>
      </c>
      <c r="D133" s="8" t="s">
        <v>63</v>
      </c>
      <c r="E133">
        <v>43</v>
      </c>
      <c r="F133" s="8">
        <v>0.96</v>
      </c>
      <c r="N133">
        <f t="shared" si="6"/>
        <v>10.374786815999999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-1.576082</v>
      </c>
      <c r="P133" t="str">
        <f t="shared" ref="P133:P196" si="7">IF(O133&lt;0," ",O133)</f>
        <v xml:space="preserve"> </v>
      </c>
      <c r="S133">
        <f t="shared" ref="S133:S196" si="8">3.14159*((F133/2)^2)</f>
        <v>0.7238223359999999</v>
      </c>
    </row>
    <row r="134" spans="1:19">
      <c r="A134" s="9">
        <v>42396</v>
      </c>
      <c r="B134" s="8" t="s">
        <v>20</v>
      </c>
      <c r="C134" s="8">
        <v>3</v>
      </c>
      <c r="D134" s="8" t="s">
        <v>63</v>
      </c>
      <c r="E134">
        <v>77</v>
      </c>
      <c r="F134" s="8">
        <v>1.1000000000000001</v>
      </c>
      <c r="N134">
        <f t="shared" si="6"/>
        <v>24.391828358333335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0.80748800000000021</v>
      </c>
      <c r="P134">
        <f t="shared" si="7"/>
        <v>0.80748800000000021</v>
      </c>
      <c r="S134">
        <f t="shared" si="8"/>
        <v>0.95033097500000008</v>
      </c>
    </row>
    <row r="135" spans="1:19">
      <c r="A135" s="9">
        <v>42396</v>
      </c>
      <c r="B135" s="8" t="s">
        <v>20</v>
      </c>
      <c r="C135" s="8">
        <v>3</v>
      </c>
      <c r="D135" s="8" t="s">
        <v>63</v>
      </c>
      <c r="E135">
        <v>76</v>
      </c>
      <c r="F135" s="8">
        <v>0.8</v>
      </c>
      <c r="N135">
        <f t="shared" si="6"/>
        <v>12.733911466666667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0.73738300000000034</v>
      </c>
      <c r="P135">
        <f t="shared" si="7"/>
        <v>0.73738300000000034</v>
      </c>
      <c r="S135">
        <f t="shared" si="8"/>
        <v>0.50265440000000006</v>
      </c>
    </row>
    <row r="136" spans="1:19">
      <c r="A136" s="9">
        <v>42396</v>
      </c>
      <c r="B136" s="8" t="s">
        <v>20</v>
      </c>
      <c r="C136" s="8">
        <v>3</v>
      </c>
      <c r="D136" s="8" t="s">
        <v>63</v>
      </c>
      <c r="E136">
        <v>105</v>
      </c>
      <c r="F136" s="8">
        <v>1.1599999999999999</v>
      </c>
      <c r="N136">
        <f t="shared" si="6"/>
        <v>36.989080659999992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2.7704279999999999</v>
      </c>
      <c r="P136">
        <f t="shared" si="7"/>
        <v>2.7704279999999999</v>
      </c>
      <c r="S136">
        <f t="shared" si="8"/>
        <v>1.0568308759999998</v>
      </c>
    </row>
    <row r="137" spans="1:19">
      <c r="A137" s="9">
        <v>42396</v>
      </c>
      <c r="B137" s="8" t="s">
        <v>20</v>
      </c>
      <c r="C137" s="8">
        <v>3</v>
      </c>
      <c r="D137" s="8" t="s">
        <v>63</v>
      </c>
      <c r="E137">
        <v>134</v>
      </c>
      <c r="F137" s="8">
        <v>1.76</v>
      </c>
      <c r="N137">
        <f t="shared" si="6"/>
        <v>108.66717922133331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4.8034729999999994</v>
      </c>
      <c r="P137">
        <f t="shared" si="7"/>
        <v>4.8034729999999994</v>
      </c>
      <c r="S137">
        <f t="shared" si="8"/>
        <v>2.4328472959999998</v>
      </c>
    </row>
    <row r="138" spans="1:19">
      <c r="A138" s="9">
        <v>42396</v>
      </c>
      <c r="B138" s="8" t="s">
        <v>20</v>
      </c>
      <c r="C138" s="8">
        <v>3</v>
      </c>
      <c r="D138" s="8" t="s">
        <v>63</v>
      </c>
      <c r="E138">
        <v>141</v>
      </c>
      <c r="F138" s="8">
        <v>1.72</v>
      </c>
      <c r="N138">
        <f t="shared" si="6"/>
        <v>109.20543830799997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5.2942080000000002</v>
      </c>
      <c r="P138">
        <f t="shared" si="7"/>
        <v>5.2942080000000002</v>
      </c>
      <c r="S138">
        <f t="shared" si="8"/>
        <v>2.3235199639999995</v>
      </c>
    </row>
    <row r="139" spans="1:19">
      <c r="A139" s="9">
        <v>42396</v>
      </c>
      <c r="B139" s="8" t="s">
        <v>20</v>
      </c>
      <c r="C139" s="8">
        <v>3</v>
      </c>
      <c r="D139" s="8" t="s">
        <v>63</v>
      </c>
      <c r="E139">
        <v>63</v>
      </c>
      <c r="F139" s="8">
        <v>0.89</v>
      </c>
      <c r="N139">
        <f t="shared" si="6"/>
        <v>13.064380554749999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-0.17398199999999964</v>
      </c>
      <c r="P139" t="str">
        <f t="shared" si="7"/>
        <v xml:space="preserve"> </v>
      </c>
      <c r="S139">
        <f t="shared" si="8"/>
        <v>0.62211335975000004</v>
      </c>
    </row>
    <row r="140" spans="1:19">
      <c r="A140" s="9">
        <v>42396</v>
      </c>
      <c r="B140" s="8" t="s">
        <v>20</v>
      </c>
      <c r="C140" s="8">
        <v>3</v>
      </c>
      <c r="D140" s="8" t="s">
        <v>63</v>
      </c>
      <c r="E140">
        <v>256</v>
      </c>
      <c r="F140" s="8">
        <v>1.63</v>
      </c>
      <c r="N140">
        <f t="shared" si="6"/>
        <v>178.06699671466663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13.356283000000001</v>
      </c>
      <c r="P140">
        <f t="shared" si="7"/>
        <v>13.356283000000001</v>
      </c>
      <c r="S140">
        <f t="shared" si="8"/>
        <v>2.0867226177499996</v>
      </c>
    </row>
    <row r="141" spans="1:19">
      <c r="A141" s="9">
        <v>42396</v>
      </c>
      <c r="B141" s="8" t="s">
        <v>20</v>
      </c>
      <c r="C141" s="8">
        <v>3</v>
      </c>
      <c r="D141" s="8" t="s">
        <v>63</v>
      </c>
      <c r="E141">
        <v>115</v>
      </c>
      <c r="F141" s="8">
        <v>1.44</v>
      </c>
      <c r="N141">
        <f t="shared" si="6"/>
        <v>62.429676479999991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3.4714780000000003</v>
      </c>
      <c r="P141">
        <f t="shared" si="7"/>
        <v>3.4714780000000003</v>
      </c>
      <c r="S141">
        <f t="shared" si="8"/>
        <v>1.6286002559999999</v>
      </c>
    </row>
    <row r="142" spans="1:19">
      <c r="A142" s="9">
        <v>42396</v>
      </c>
      <c r="B142" s="8" t="s">
        <v>20</v>
      </c>
      <c r="C142" s="8">
        <v>3</v>
      </c>
      <c r="D142" s="8" t="s">
        <v>63</v>
      </c>
      <c r="E142">
        <v>247</v>
      </c>
      <c r="F142" s="8">
        <v>2.0099999999999998</v>
      </c>
      <c r="N142">
        <f t="shared" si="6"/>
        <v>261.25061887274995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12.725338000000001</v>
      </c>
      <c r="P142">
        <f t="shared" si="7"/>
        <v>12.725338000000001</v>
      </c>
      <c r="S142">
        <f t="shared" si="8"/>
        <v>3.1730844397499989</v>
      </c>
    </row>
    <row r="143" spans="1:19">
      <c r="A143" s="9">
        <v>42396</v>
      </c>
      <c r="B143" s="8" t="s">
        <v>20</v>
      </c>
      <c r="C143" s="8">
        <v>3</v>
      </c>
      <c r="D143" s="8" t="s">
        <v>63</v>
      </c>
      <c r="E143">
        <v>231</v>
      </c>
      <c r="F143">
        <v>1.58</v>
      </c>
      <c r="N143">
        <f t="shared" si="6"/>
        <v>150.97130656300001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11.603658000000003</v>
      </c>
      <c r="P143">
        <f t="shared" si="7"/>
        <v>11.603658000000003</v>
      </c>
      <c r="S143">
        <f t="shared" si="8"/>
        <v>1.9606663190000002</v>
      </c>
    </row>
    <row r="144" spans="1:19">
      <c r="A144" s="9">
        <v>42396</v>
      </c>
      <c r="B144" s="8" t="s">
        <v>20</v>
      </c>
      <c r="C144" s="8">
        <v>3</v>
      </c>
      <c r="D144" s="8" t="s">
        <v>63</v>
      </c>
      <c r="E144">
        <v>39</v>
      </c>
      <c r="F144" s="8">
        <v>0.68</v>
      </c>
      <c r="N144">
        <f t="shared" si="6"/>
        <v>4.7211814519999997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-1.8565019999999999</v>
      </c>
      <c r="P144" t="str">
        <f t="shared" si="7"/>
        <v xml:space="preserve"> </v>
      </c>
      <c r="S144">
        <f t="shared" si="8"/>
        <v>0.36316780400000004</v>
      </c>
    </row>
    <row r="145" spans="1:19">
      <c r="A145" s="9">
        <v>42396</v>
      </c>
      <c r="B145" s="8" t="s">
        <v>20</v>
      </c>
      <c r="C145" s="8">
        <v>3</v>
      </c>
      <c r="D145" s="8" t="s">
        <v>63</v>
      </c>
      <c r="E145">
        <v>201</v>
      </c>
      <c r="F145" s="8">
        <v>1.63</v>
      </c>
      <c r="N145">
        <f t="shared" si="6"/>
        <v>139.81041538924998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9.500508</v>
      </c>
      <c r="P145">
        <f t="shared" si="7"/>
        <v>9.500508</v>
      </c>
      <c r="S145">
        <f t="shared" si="8"/>
        <v>2.0867226177499996</v>
      </c>
    </row>
    <row r="146" spans="1:19">
      <c r="A146" s="9">
        <v>42396</v>
      </c>
      <c r="B146" s="8" t="s">
        <v>20</v>
      </c>
      <c r="C146" s="8">
        <v>3</v>
      </c>
      <c r="D146" s="8" t="s">
        <v>63</v>
      </c>
      <c r="E146">
        <v>52</v>
      </c>
      <c r="F146" s="8">
        <v>1.07</v>
      </c>
      <c r="N146">
        <f t="shared" si="6"/>
        <v>15.586161027666664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-0.94513699999999989</v>
      </c>
      <c r="P146" t="str">
        <f t="shared" si="7"/>
        <v xml:space="preserve"> </v>
      </c>
      <c r="S146">
        <f t="shared" si="8"/>
        <v>0.89920159774999997</v>
      </c>
    </row>
    <row r="147" spans="1:19">
      <c r="A147" s="9">
        <v>42396</v>
      </c>
      <c r="B147" s="8" t="s">
        <v>20</v>
      </c>
      <c r="C147" s="8">
        <v>3</v>
      </c>
      <c r="D147" s="8" t="s">
        <v>63</v>
      </c>
      <c r="E147">
        <v>235</v>
      </c>
      <c r="F147" s="8">
        <v>1.32</v>
      </c>
      <c r="N147">
        <f t="shared" si="6"/>
        <v>107.19733398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11.884078000000002</v>
      </c>
      <c r="P147">
        <f t="shared" si="7"/>
        <v>11.884078000000002</v>
      </c>
      <c r="S147">
        <f t="shared" si="8"/>
        <v>1.368476604</v>
      </c>
    </row>
    <row r="148" spans="1:19">
      <c r="A148" s="9">
        <v>42396</v>
      </c>
      <c r="B148" s="8" t="s">
        <v>20</v>
      </c>
      <c r="C148" s="8">
        <v>3</v>
      </c>
      <c r="D148" s="8" t="s">
        <v>63</v>
      </c>
      <c r="E148">
        <v>255</v>
      </c>
      <c r="F148" s="8">
        <v>1.63</v>
      </c>
      <c r="N148">
        <f t="shared" si="6"/>
        <v>177.37142250874996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13.286178</v>
      </c>
      <c r="P148">
        <f t="shared" si="7"/>
        <v>13.286178</v>
      </c>
      <c r="S148">
        <f t="shared" si="8"/>
        <v>2.0867226177499996</v>
      </c>
    </row>
    <row r="149" spans="1:19">
      <c r="A149" s="9">
        <v>42396</v>
      </c>
      <c r="B149" s="8" t="s">
        <v>20</v>
      </c>
      <c r="C149" s="8">
        <v>3</v>
      </c>
      <c r="D149" s="8" t="s">
        <v>63</v>
      </c>
      <c r="E149">
        <v>134</v>
      </c>
      <c r="F149" s="8">
        <v>1.41</v>
      </c>
      <c r="N149">
        <f t="shared" si="6"/>
        <v>69.744711715499989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4.8034729999999994</v>
      </c>
      <c r="P149">
        <f t="shared" si="7"/>
        <v>4.8034729999999994</v>
      </c>
      <c r="S149">
        <f t="shared" si="8"/>
        <v>1.5614487697499997</v>
      </c>
    </row>
    <row r="150" spans="1:19">
      <c r="A150" s="9">
        <v>42396</v>
      </c>
      <c r="B150" s="8" t="s">
        <v>20</v>
      </c>
      <c r="C150" s="8">
        <v>3</v>
      </c>
      <c r="D150" s="8" t="s">
        <v>63</v>
      </c>
      <c r="E150">
        <v>237</v>
      </c>
      <c r="F150" s="8">
        <v>1.25</v>
      </c>
      <c r="N150">
        <f t="shared" si="6"/>
        <v>96.947503906249992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12.024288000000002</v>
      </c>
      <c r="P150">
        <f t="shared" si="7"/>
        <v>12.024288000000002</v>
      </c>
      <c r="S150">
        <f t="shared" si="8"/>
        <v>1.22718359375</v>
      </c>
    </row>
    <row r="151" spans="1:19">
      <c r="A151" s="9">
        <v>42396</v>
      </c>
      <c r="B151" s="8" t="s">
        <v>20</v>
      </c>
      <c r="C151" s="8">
        <v>3</v>
      </c>
      <c r="D151" s="8" t="s">
        <v>63</v>
      </c>
      <c r="E151">
        <v>57</v>
      </c>
      <c r="F151" s="8">
        <v>0.68</v>
      </c>
      <c r="N151">
        <f t="shared" si="6"/>
        <v>6.9001882760000006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-0.5946119999999997</v>
      </c>
      <c r="P151" t="str">
        <f t="shared" si="7"/>
        <v xml:space="preserve"> </v>
      </c>
      <c r="S151">
        <f t="shared" si="8"/>
        <v>0.36316780400000004</v>
      </c>
    </row>
    <row r="152" spans="1:19">
      <c r="A152" s="9">
        <v>42396</v>
      </c>
      <c r="B152" s="8" t="s">
        <v>20</v>
      </c>
      <c r="C152" s="8">
        <v>3</v>
      </c>
      <c r="D152" s="8" t="s">
        <v>63</v>
      </c>
      <c r="E152">
        <v>284</v>
      </c>
      <c r="F152" s="8">
        <v>1.66</v>
      </c>
      <c r="N152">
        <f t="shared" si="6"/>
        <v>204.88151456133329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15.319223000000001</v>
      </c>
      <c r="P152">
        <f t="shared" si="7"/>
        <v>15.319223000000001</v>
      </c>
      <c r="S152">
        <f t="shared" si="8"/>
        <v>2.1642413509999998</v>
      </c>
    </row>
    <row r="153" spans="1:19">
      <c r="A153" s="9">
        <v>42396</v>
      </c>
      <c r="B153" s="8" t="s">
        <v>20</v>
      </c>
      <c r="C153" s="8">
        <v>3</v>
      </c>
      <c r="D153" s="8" t="s">
        <v>63</v>
      </c>
      <c r="E153">
        <v>133</v>
      </c>
      <c r="F153" s="8">
        <v>1.55</v>
      </c>
      <c r="N153">
        <f t="shared" si="6"/>
        <v>83.653342222916663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4.7333679999999996</v>
      </c>
      <c r="P153">
        <f t="shared" si="7"/>
        <v>4.7333679999999996</v>
      </c>
      <c r="S153">
        <f t="shared" si="8"/>
        <v>1.8869174937500002</v>
      </c>
    </row>
    <row r="154" spans="1:19">
      <c r="A154" s="9">
        <v>42396</v>
      </c>
      <c r="B154" s="8" t="s">
        <v>20</v>
      </c>
      <c r="C154" s="8">
        <v>3</v>
      </c>
      <c r="D154" s="8" t="s">
        <v>63</v>
      </c>
      <c r="E154">
        <v>129</v>
      </c>
      <c r="F154" s="8">
        <v>1.57</v>
      </c>
      <c r="N154">
        <f t="shared" si="6"/>
        <v>83.244830803249997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4.4529480000000001</v>
      </c>
      <c r="P154">
        <f t="shared" si="7"/>
        <v>4.4529480000000001</v>
      </c>
      <c r="S154">
        <f t="shared" si="8"/>
        <v>1.93592629775</v>
      </c>
    </row>
    <row r="155" spans="1:19">
      <c r="A155" s="9">
        <v>42396</v>
      </c>
      <c r="B155" s="8" t="s">
        <v>20</v>
      </c>
      <c r="C155" s="8">
        <v>3</v>
      </c>
      <c r="D155" s="8" t="s">
        <v>63</v>
      </c>
      <c r="E155">
        <v>172</v>
      </c>
      <c r="F155" s="8">
        <v>1.2</v>
      </c>
      <c r="N155">
        <f t="shared" si="6"/>
        <v>64.84241759999999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7.4674629999999995</v>
      </c>
      <c r="P155">
        <f t="shared" si="7"/>
        <v>7.4674629999999995</v>
      </c>
      <c r="S155">
        <f t="shared" si="8"/>
        <v>1.1309723999999999</v>
      </c>
    </row>
    <row r="156" spans="1:19">
      <c r="A156" s="9">
        <v>42396</v>
      </c>
      <c r="B156" s="8" t="s">
        <v>20</v>
      </c>
      <c r="C156" s="8">
        <v>3</v>
      </c>
      <c r="D156" s="8" t="s">
        <v>63</v>
      </c>
      <c r="E156">
        <v>180</v>
      </c>
      <c r="F156" s="8">
        <v>1.1100000000000001</v>
      </c>
      <c r="N156">
        <f t="shared" si="6"/>
        <v>58.061295585000003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8.0283030000000011</v>
      </c>
      <c r="P156">
        <f t="shared" si="7"/>
        <v>8.0283030000000011</v>
      </c>
      <c r="S156">
        <f t="shared" si="8"/>
        <v>0.96768825975000017</v>
      </c>
    </row>
    <row r="157" spans="1:19">
      <c r="A157" s="9">
        <v>42396</v>
      </c>
      <c r="B157" s="8" t="s">
        <v>20</v>
      </c>
      <c r="C157" s="8">
        <v>3</v>
      </c>
      <c r="D157" s="8" t="s">
        <v>63</v>
      </c>
      <c r="E157">
        <v>168</v>
      </c>
      <c r="F157" s="8">
        <v>1.35</v>
      </c>
      <c r="N157">
        <f t="shared" si="6"/>
        <v>80.157668850000007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7.1870430000000001</v>
      </c>
      <c r="P157">
        <f t="shared" si="7"/>
        <v>7.1870430000000001</v>
      </c>
      <c r="S157">
        <f t="shared" si="8"/>
        <v>1.4313869437500002</v>
      </c>
    </row>
    <row r="158" spans="1:19">
      <c r="A158" s="9">
        <v>42396</v>
      </c>
      <c r="B158" s="8" t="s">
        <v>20</v>
      </c>
      <c r="C158" s="8">
        <v>3</v>
      </c>
      <c r="D158" s="8" t="s">
        <v>63</v>
      </c>
      <c r="E158">
        <v>21</v>
      </c>
      <c r="F158" s="8">
        <v>0.92</v>
      </c>
      <c r="N158">
        <f t="shared" si="6"/>
        <v>4.6533231079999995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-3.1183920000000001</v>
      </c>
      <c r="P158" t="str">
        <f t="shared" si="7"/>
        <v xml:space="preserve"> </v>
      </c>
      <c r="S158">
        <f t="shared" si="8"/>
        <v>0.66476044400000001</v>
      </c>
    </row>
    <row r="159" spans="1:19">
      <c r="A159" s="9">
        <v>42396</v>
      </c>
      <c r="B159" s="8" t="s">
        <v>20</v>
      </c>
      <c r="C159" s="8">
        <v>3</v>
      </c>
      <c r="D159" s="8" t="s">
        <v>63</v>
      </c>
      <c r="E159">
        <v>114</v>
      </c>
      <c r="F159" s="8">
        <v>1.1000000000000001</v>
      </c>
      <c r="N159">
        <f t="shared" si="6"/>
        <v>36.112577049999999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3.4013730000000004</v>
      </c>
      <c r="P159">
        <f t="shared" si="7"/>
        <v>3.4013730000000004</v>
      </c>
      <c r="S159">
        <f t="shared" si="8"/>
        <v>0.95033097500000008</v>
      </c>
    </row>
    <row r="160" spans="1:19">
      <c r="A160" s="9">
        <v>42396</v>
      </c>
      <c r="B160" s="8" t="s">
        <v>20</v>
      </c>
      <c r="C160" s="8">
        <v>3</v>
      </c>
      <c r="D160" s="8" t="s">
        <v>63</v>
      </c>
      <c r="E160">
        <v>194</v>
      </c>
      <c r="F160" s="8">
        <v>1.39</v>
      </c>
      <c r="N160">
        <f t="shared" si="6"/>
        <v>98.129500963833308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9.0097729999999991</v>
      </c>
      <c r="P160">
        <f t="shared" si="7"/>
        <v>9.0097729999999991</v>
      </c>
      <c r="S160">
        <f t="shared" si="8"/>
        <v>1.5174665097499997</v>
      </c>
    </row>
    <row r="161" spans="1:19">
      <c r="A161" s="9">
        <v>42396</v>
      </c>
      <c r="B161" s="8" t="s">
        <v>20</v>
      </c>
      <c r="C161" s="8">
        <v>3</v>
      </c>
      <c r="D161" s="8" t="s">
        <v>63</v>
      </c>
      <c r="E161">
        <v>205</v>
      </c>
      <c r="F161" s="8">
        <v>1.24</v>
      </c>
      <c r="N161">
        <f t="shared" si="6"/>
        <v>82.521191726666657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9.7809279999999994</v>
      </c>
      <c r="P161">
        <f t="shared" si="7"/>
        <v>9.7809279999999994</v>
      </c>
      <c r="S161">
        <f t="shared" si="8"/>
        <v>1.207627196</v>
      </c>
    </row>
    <row r="162" spans="1:19">
      <c r="A162" s="9">
        <v>42396</v>
      </c>
      <c r="B162" s="8" t="s">
        <v>20</v>
      </c>
      <c r="C162" s="8">
        <v>3</v>
      </c>
      <c r="D162" s="8" t="s">
        <v>63</v>
      </c>
      <c r="E162">
        <v>302</v>
      </c>
      <c r="F162" s="8">
        <v>1.48</v>
      </c>
      <c r="N162">
        <f t="shared" si="6"/>
        <v>173.1803581893333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16.581113000000002</v>
      </c>
      <c r="P162">
        <f t="shared" si="7"/>
        <v>16.581113000000002</v>
      </c>
      <c r="S162">
        <f t="shared" si="8"/>
        <v>1.7203346839999998</v>
      </c>
    </row>
    <row r="163" spans="1:19">
      <c r="A163" s="9">
        <v>42394</v>
      </c>
      <c r="B163" s="8" t="s">
        <v>21</v>
      </c>
      <c r="C163" s="8">
        <v>25</v>
      </c>
      <c r="D163" s="8" t="s">
        <v>61</v>
      </c>
      <c r="F163" s="8">
        <v>7.78</v>
      </c>
      <c r="J163">
        <f>41+73+109+162+209</f>
        <v>594</v>
      </c>
      <c r="K163">
        <v>5</v>
      </c>
      <c r="L163">
        <v>209</v>
      </c>
      <c r="N163" t="str">
        <f t="shared" si="6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-9.3445159999999916</v>
      </c>
      <c r="P163" t="str">
        <f t="shared" si="7"/>
        <v xml:space="preserve"> </v>
      </c>
      <c r="S163">
        <f t="shared" si="8"/>
        <v>47.538854039</v>
      </c>
    </row>
    <row r="164" spans="1:19">
      <c r="A164" s="9">
        <v>42394</v>
      </c>
      <c r="B164" s="8" t="s">
        <v>21</v>
      </c>
      <c r="C164" s="8">
        <v>25</v>
      </c>
      <c r="D164" s="8" t="s">
        <v>61</v>
      </c>
      <c r="F164" s="8">
        <v>5.41</v>
      </c>
      <c r="J164">
        <f>74+130+183+228</f>
        <v>615</v>
      </c>
      <c r="K164">
        <v>4</v>
      </c>
      <c r="L164">
        <v>228</v>
      </c>
      <c r="N164" t="str">
        <f t="shared" si="6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-6.0769629999999992</v>
      </c>
      <c r="P164" t="str">
        <f t="shared" si="7"/>
        <v xml:space="preserve"> </v>
      </c>
      <c r="S164">
        <f t="shared" si="8"/>
        <v>22.987092569750001</v>
      </c>
    </row>
    <row r="165" spans="1:19">
      <c r="A165" s="9">
        <v>42394</v>
      </c>
      <c r="B165" s="8" t="s">
        <v>21</v>
      </c>
      <c r="C165" s="8">
        <v>25</v>
      </c>
      <c r="D165" s="8" t="s">
        <v>61</v>
      </c>
      <c r="F165" s="8">
        <v>3.78</v>
      </c>
      <c r="J165">
        <f>58+66+123</f>
        <v>247</v>
      </c>
      <c r="K165">
        <v>3</v>
      </c>
      <c r="L165">
        <v>123</v>
      </c>
      <c r="N165" t="str">
        <f t="shared" si="6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-1.9257249999999999</v>
      </c>
      <c r="P165" t="str">
        <f t="shared" si="7"/>
        <v xml:space="preserve"> </v>
      </c>
      <c r="S165">
        <f t="shared" si="8"/>
        <v>11.222073639</v>
      </c>
    </row>
    <row r="166" spans="1:19">
      <c r="A166" s="9">
        <v>42394</v>
      </c>
      <c r="B166" s="8" t="s">
        <v>21</v>
      </c>
      <c r="C166" s="8">
        <v>25</v>
      </c>
      <c r="D166" s="8" t="s">
        <v>61</v>
      </c>
      <c r="F166" s="8">
        <v>3.15</v>
      </c>
      <c r="J166">
        <f>47+48</f>
        <v>95</v>
      </c>
      <c r="K166">
        <v>2</v>
      </c>
      <c r="L166">
        <v>48</v>
      </c>
      <c r="N166" t="str">
        <f t="shared" si="6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13.439242999999998</v>
      </c>
      <c r="P166">
        <f t="shared" si="7"/>
        <v>13.439242999999998</v>
      </c>
      <c r="S166">
        <f t="shared" si="8"/>
        <v>7.7931066937499995</v>
      </c>
    </row>
    <row r="167" spans="1:19">
      <c r="A167" s="9">
        <v>42394</v>
      </c>
      <c r="B167" s="8" t="s">
        <v>21</v>
      </c>
      <c r="C167" s="8">
        <v>25</v>
      </c>
      <c r="D167" s="8" t="s">
        <v>61</v>
      </c>
      <c r="F167" s="8">
        <v>3.76</v>
      </c>
      <c r="J167">
        <f>49+95+159</f>
        <v>303</v>
      </c>
      <c r="K167">
        <v>3</v>
      </c>
      <c r="L167">
        <v>159</v>
      </c>
      <c r="N167" t="str">
        <f t="shared" si="6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-7.520265000000002</v>
      </c>
      <c r="P167" t="str">
        <f t="shared" si="7"/>
        <v xml:space="preserve"> </v>
      </c>
      <c r="S167">
        <f t="shared" si="8"/>
        <v>11.103635696</v>
      </c>
    </row>
    <row r="168" spans="1:19">
      <c r="A168" s="9">
        <v>42394</v>
      </c>
      <c r="B168" s="8" t="s">
        <v>21</v>
      </c>
      <c r="C168" s="8">
        <v>25</v>
      </c>
      <c r="D168" s="8" t="s">
        <v>61</v>
      </c>
      <c r="F168" s="8">
        <v>3.35</v>
      </c>
      <c r="J168">
        <v>143</v>
      </c>
      <c r="K168">
        <v>1</v>
      </c>
      <c r="L168">
        <v>143</v>
      </c>
      <c r="N168" t="str">
        <f t="shared" si="6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-3.6564389999999989</v>
      </c>
      <c r="P168" t="str">
        <f t="shared" si="7"/>
        <v xml:space="preserve"> </v>
      </c>
      <c r="S168">
        <f t="shared" si="8"/>
        <v>8.8141234437499989</v>
      </c>
    </row>
    <row r="169" spans="1:19">
      <c r="A169" s="9">
        <v>42394</v>
      </c>
      <c r="B169" s="8" t="s">
        <v>21</v>
      </c>
      <c r="C169" s="8">
        <v>25</v>
      </c>
      <c r="D169" s="8" t="s">
        <v>61</v>
      </c>
      <c r="F169" s="8">
        <v>4.49</v>
      </c>
      <c r="J169">
        <f>56+97+171+220</f>
        <v>544</v>
      </c>
      <c r="K169">
        <v>4</v>
      </c>
      <c r="L169">
        <v>220</v>
      </c>
      <c r="N169" t="str">
        <f t="shared" si="6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-10.323608</v>
      </c>
      <c r="P169" t="str">
        <f t="shared" si="7"/>
        <v xml:space="preserve"> </v>
      </c>
      <c r="S169">
        <f t="shared" si="8"/>
        <v>15.833692139750003</v>
      </c>
    </row>
    <row r="170" spans="1:19">
      <c r="A170" s="9">
        <v>42394</v>
      </c>
      <c r="B170" s="8" t="s">
        <v>21</v>
      </c>
      <c r="C170" s="8">
        <v>25</v>
      </c>
      <c r="D170" s="8" t="s">
        <v>61</v>
      </c>
      <c r="F170" s="8">
        <v>3.22</v>
      </c>
      <c r="J170">
        <f>22+25+54+121+146</f>
        <v>368</v>
      </c>
      <c r="K170">
        <v>5</v>
      </c>
      <c r="L170">
        <v>146</v>
      </c>
      <c r="N170" t="str">
        <f t="shared" si="6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-11.554710999999998</v>
      </c>
      <c r="P170" t="str">
        <f t="shared" si="7"/>
        <v xml:space="preserve"> </v>
      </c>
      <c r="S170">
        <f t="shared" si="8"/>
        <v>8.1433154390000002</v>
      </c>
    </row>
    <row r="171" spans="1:19">
      <c r="A171" s="9">
        <v>42394</v>
      </c>
      <c r="B171" s="8" t="s">
        <v>21</v>
      </c>
      <c r="C171" s="8">
        <v>22</v>
      </c>
      <c r="D171" s="8" t="s">
        <v>61</v>
      </c>
      <c r="F171" s="8">
        <v>0.53</v>
      </c>
      <c r="J171">
        <f>6+27+27</f>
        <v>60</v>
      </c>
      <c r="K171">
        <v>3</v>
      </c>
      <c r="L171">
        <v>27</v>
      </c>
      <c r="N171" t="str">
        <f t="shared" si="6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9.4616099999999967</v>
      </c>
      <c r="P171">
        <f t="shared" si="7"/>
        <v>9.4616099999999967</v>
      </c>
      <c r="S171">
        <f t="shared" si="8"/>
        <v>0.22061815775000002</v>
      </c>
    </row>
    <row r="172" spans="1:19">
      <c r="A172" s="9">
        <v>42394</v>
      </c>
      <c r="B172" s="8" t="s">
        <v>21</v>
      </c>
      <c r="C172" s="8">
        <v>9</v>
      </c>
      <c r="D172" s="8" t="s">
        <v>61</v>
      </c>
      <c r="F172" s="8">
        <v>4.71</v>
      </c>
      <c r="J172">
        <f>145+188+224</f>
        <v>557</v>
      </c>
      <c r="K172">
        <v>3</v>
      </c>
      <c r="L172">
        <v>224</v>
      </c>
      <c r="N172" t="str">
        <f t="shared" si="6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-3.2874200000000044</v>
      </c>
      <c r="P172" t="str">
        <f t="shared" si="7"/>
        <v xml:space="preserve"> </v>
      </c>
      <c r="S172">
        <f t="shared" si="8"/>
        <v>17.423336679750001</v>
      </c>
    </row>
    <row r="173" spans="1:19">
      <c r="A173" s="9">
        <v>42394</v>
      </c>
      <c r="B173" s="8" t="s">
        <v>21</v>
      </c>
      <c r="C173" s="8">
        <v>9</v>
      </c>
      <c r="D173" s="8" t="s">
        <v>61</v>
      </c>
      <c r="F173" s="8">
        <v>3.79</v>
      </c>
      <c r="J173">
        <f>131+204+221+226</f>
        <v>782</v>
      </c>
      <c r="K173">
        <v>4</v>
      </c>
      <c r="L173">
        <v>226</v>
      </c>
      <c r="N173" t="str">
        <f t="shared" si="6"/>
        <v>NA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10.182612000000013</v>
      </c>
      <c r="P173">
        <f t="shared" si="7"/>
        <v>10.182612000000013</v>
      </c>
      <c r="S173">
        <f t="shared" si="8"/>
        <v>11.28152822975</v>
      </c>
    </row>
    <row r="174" spans="1:19">
      <c r="A174" s="9">
        <v>42394</v>
      </c>
      <c r="B174" s="8" t="s">
        <v>21</v>
      </c>
      <c r="C174" s="8">
        <v>9</v>
      </c>
      <c r="D174" s="8" t="s">
        <v>61</v>
      </c>
      <c r="F174" s="8">
        <v>3.88</v>
      </c>
      <c r="J174">
        <v>106</v>
      </c>
      <c r="K174">
        <v>1</v>
      </c>
      <c r="L174">
        <v>106</v>
      </c>
      <c r="N174" t="str">
        <f t="shared" si="6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4.0206909999999993</v>
      </c>
      <c r="P174">
        <f t="shared" si="7"/>
        <v>4.0206909999999993</v>
      </c>
      <c r="S174">
        <f t="shared" si="8"/>
        <v>11.823688123999998</v>
      </c>
    </row>
    <row r="175" spans="1:19">
      <c r="A175" s="9">
        <v>42394</v>
      </c>
      <c r="B175" s="8" t="s">
        <v>21</v>
      </c>
      <c r="C175" s="8">
        <v>9</v>
      </c>
      <c r="D175" s="8" t="s">
        <v>61</v>
      </c>
      <c r="F175" s="8">
        <v>1.4</v>
      </c>
      <c r="J175">
        <v>22</v>
      </c>
      <c r="K175">
        <v>1</v>
      </c>
      <c r="L175">
        <v>22</v>
      </c>
      <c r="N175" t="str">
        <f t="shared" si="6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21.449850999999995</v>
      </c>
      <c r="P175">
        <f t="shared" si="7"/>
        <v>21.449850999999995</v>
      </c>
      <c r="S175">
        <f t="shared" si="8"/>
        <v>1.5393790999999997</v>
      </c>
    </row>
    <row r="176" spans="1:19">
      <c r="A176" s="9">
        <v>42394</v>
      </c>
      <c r="B176" s="8" t="s">
        <v>21</v>
      </c>
      <c r="C176" s="8">
        <v>9</v>
      </c>
      <c r="D176" s="8" t="s">
        <v>61</v>
      </c>
      <c r="F176" s="8">
        <v>2.34</v>
      </c>
      <c r="J176">
        <f>68+132+150</f>
        <v>350</v>
      </c>
      <c r="K176">
        <v>3</v>
      </c>
      <c r="L176">
        <v>150</v>
      </c>
      <c r="N176" t="str">
        <f t="shared" si="6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-0.40257499999999879</v>
      </c>
      <c r="P176" t="str">
        <f t="shared" si="7"/>
        <v xml:space="preserve"> </v>
      </c>
      <c r="S176">
        <f t="shared" si="8"/>
        <v>4.3005225509999994</v>
      </c>
    </row>
    <row r="177" spans="1:19">
      <c r="A177" s="9">
        <v>42394</v>
      </c>
      <c r="B177" s="8" t="s">
        <v>21</v>
      </c>
      <c r="C177" s="8">
        <v>9</v>
      </c>
      <c r="D177" s="8" t="s">
        <v>61</v>
      </c>
      <c r="F177" s="8">
        <v>2.57</v>
      </c>
      <c r="J177">
        <f>87+139+146</f>
        <v>372</v>
      </c>
      <c r="K177">
        <v>3</v>
      </c>
      <c r="L177">
        <v>146</v>
      </c>
      <c r="N177" t="str">
        <f t="shared" si="6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2.8650149999999996</v>
      </c>
      <c r="P177">
        <f t="shared" si="7"/>
        <v>2.8650149999999996</v>
      </c>
      <c r="S177">
        <f t="shared" si="8"/>
        <v>5.1874719477499989</v>
      </c>
    </row>
    <row r="178" spans="1:19">
      <c r="A178" s="9">
        <v>42394</v>
      </c>
      <c r="B178" s="8" t="s">
        <v>21</v>
      </c>
      <c r="C178" s="8">
        <v>9</v>
      </c>
      <c r="D178" s="8" t="s">
        <v>61</v>
      </c>
      <c r="F178" s="8">
        <v>1.07</v>
      </c>
      <c r="J178">
        <f>95+103+137+146</f>
        <v>481</v>
      </c>
      <c r="K178">
        <v>4</v>
      </c>
      <c r="L178">
        <v>146</v>
      </c>
      <c r="N178" t="str">
        <f t="shared" si="6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6.0619570000000031</v>
      </c>
      <c r="P178">
        <f t="shared" si="7"/>
        <v>6.0619570000000031</v>
      </c>
      <c r="S178">
        <f t="shared" si="8"/>
        <v>0.89920159774999997</v>
      </c>
    </row>
    <row r="179" spans="1:19">
      <c r="A179" s="9">
        <v>42394</v>
      </c>
      <c r="B179" s="8" t="s">
        <v>21</v>
      </c>
      <c r="C179" s="8">
        <v>9</v>
      </c>
      <c r="D179" s="8" t="s">
        <v>61</v>
      </c>
      <c r="F179" s="8">
        <v>1.79</v>
      </c>
      <c r="J179">
        <f>97+145</f>
        <v>242</v>
      </c>
      <c r="K179">
        <v>2</v>
      </c>
      <c r="L179">
        <v>145</v>
      </c>
      <c r="N179" t="str">
        <f t="shared" si="6"/>
        <v>NA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-1.9995369999999966</v>
      </c>
      <c r="P179" t="str">
        <f t="shared" si="7"/>
        <v xml:space="preserve"> </v>
      </c>
      <c r="S179">
        <f t="shared" si="8"/>
        <v>2.51649212975</v>
      </c>
    </row>
    <row r="180" spans="1:19">
      <c r="A180" s="9">
        <v>42394</v>
      </c>
      <c r="B180" s="8" t="s">
        <v>22</v>
      </c>
      <c r="C180" s="8">
        <v>29</v>
      </c>
      <c r="D180" s="8" t="s">
        <v>61</v>
      </c>
      <c r="F180" s="8">
        <v>1.86</v>
      </c>
      <c r="J180">
        <f>48+99+103</f>
        <v>250</v>
      </c>
      <c r="K180">
        <v>3</v>
      </c>
      <c r="L180">
        <v>103</v>
      </c>
      <c r="N180" t="str">
        <f t="shared" si="6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4.3804400000000001</v>
      </c>
      <c r="P180">
        <f t="shared" si="7"/>
        <v>4.3804400000000001</v>
      </c>
      <c r="S180">
        <f t="shared" si="8"/>
        <v>2.7171611910000002</v>
      </c>
    </row>
    <row r="181" spans="1:19">
      <c r="A181" s="9">
        <v>42394</v>
      </c>
      <c r="B181" s="8" t="s">
        <v>22</v>
      </c>
      <c r="C181" s="8">
        <v>25</v>
      </c>
      <c r="D181" s="8" t="s">
        <v>61</v>
      </c>
      <c r="F181" s="8">
        <v>1.62</v>
      </c>
      <c r="J181">
        <f>46+47</f>
        <v>93</v>
      </c>
      <c r="K181">
        <v>2</v>
      </c>
      <c r="L181">
        <v>47</v>
      </c>
      <c r="N181" t="str">
        <f t="shared" si="6"/>
        <v>NA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13.552977999999996</v>
      </c>
      <c r="P181">
        <f t="shared" si="7"/>
        <v>13.552977999999996</v>
      </c>
      <c r="S181">
        <f t="shared" si="8"/>
        <v>2.0611971990000004</v>
      </c>
    </row>
    <row r="182" spans="1:19">
      <c r="A182" s="9">
        <v>42394</v>
      </c>
      <c r="B182" s="8" t="s">
        <v>22</v>
      </c>
      <c r="C182" s="8">
        <v>25</v>
      </c>
      <c r="D182" s="8" t="s">
        <v>61</v>
      </c>
      <c r="F182" s="8">
        <v>3.85</v>
      </c>
      <c r="J182">
        <f>86+198+226+242</f>
        <v>752</v>
      </c>
      <c r="K182">
        <v>4</v>
      </c>
      <c r="L182">
        <v>242</v>
      </c>
      <c r="N182" t="str">
        <f t="shared" si="6"/>
        <v>NA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2.5500419999999977</v>
      </c>
      <c r="P182">
        <f t="shared" si="7"/>
        <v>2.5500419999999977</v>
      </c>
      <c r="S182">
        <f t="shared" si="8"/>
        <v>11.641554443750001</v>
      </c>
    </row>
    <row r="183" spans="1:19">
      <c r="A183" s="9">
        <v>42394</v>
      </c>
      <c r="B183" s="8" t="s">
        <v>22</v>
      </c>
      <c r="C183" s="8">
        <v>25</v>
      </c>
      <c r="D183" s="8" t="s">
        <v>61</v>
      </c>
      <c r="F183" s="8">
        <v>4.92</v>
      </c>
      <c r="J183">
        <f>104+228+228</f>
        <v>560</v>
      </c>
      <c r="K183">
        <v>3</v>
      </c>
      <c r="L183">
        <v>228</v>
      </c>
      <c r="N183" t="str">
        <f t="shared" si="6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-4.2111349999999987</v>
      </c>
      <c r="P183" t="str">
        <f t="shared" si="7"/>
        <v xml:space="preserve"> </v>
      </c>
      <c r="S183">
        <f t="shared" si="8"/>
        <v>19.011646043999999</v>
      </c>
    </row>
    <row r="184" spans="1:19">
      <c r="A184" s="9">
        <v>42394</v>
      </c>
      <c r="B184" s="8" t="s">
        <v>22</v>
      </c>
      <c r="C184" s="8">
        <v>25</v>
      </c>
      <c r="D184" s="8" t="s">
        <v>61</v>
      </c>
      <c r="F184" s="8">
        <v>3.91</v>
      </c>
      <c r="J184">
        <f>171+176+209+220+223</f>
        <v>999</v>
      </c>
      <c r="K184">
        <v>5</v>
      </c>
      <c r="L184">
        <v>223</v>
      </c>
      <c r="N184" t="str">
        <f t="shared" si="6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24.408829000000011</v>
      </c>
      <c r="P184">
        <f t="shared" si="7"/>
        <v>24.408829000000011</v>
      </c>
      <c r="S184">
        <f t="shared" si="8"/>
        <v>12.007235519750001</v>
      </c>
    </row>
    <row r="185" spans="1:19">
      <c r="A185" s="9">
        <v>42394</v>
      </c>
      <c r="B185" s="8" t="s">
        <v>22</v>
      </c>
      <c r="C185" s="8">
        <v>5</v>
      </c>
      <c r="D185" s="8" t="s">
        <v>63</v>
      </c>
      <c r="E185">
        <v>157</v>
      </c>
      <c r="F185" s="8">
        <v>1.51</v>
      </c>
      <c r="N185">
        <f t="shared" si="6"/>
        <v>93.717739946916666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6.4158879999999998</v>
      </c>
      <c r="P185">
        <f t="shared" si="7"/>
        <v>6.4158879999999998</v>
      </c>
      <c r="S185">
        <f t="shared" si="8"/>
        <v>1.7907848397499999</v>
      </c>
    </row>
    <row r="186" spans="1:19">
      <c r="A186" s="9">
        <v>42394</v>
      </c>
      <c r="B186" s="8" t="s">
        <v>22</v>
      </c>
      <c r="C186" s="8">
        <v>5</v>
      </c>
      <c r="D186" s="8" t="s">
        <v>63</v>
      </c>
      <c r="E186">
        <v>70</v>
      </c>
      <c r="F186" s="8">
        <v>0.85</v>
      </c>
      <c r="N186">
        <f t="shared" si="6"/>
        <v>13.240492854166662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0.31675300000000028</v>
      </c>
      <c r="P186">
        <f t="shared" si="7"/>
        <v>0.31675300000000028</v>
      </c>
      <c r="S186">
        <f t="shared" si="8"/>
        <v>0.56744969374999987</v>
      </c>
    </row>
    <row r="187" spans="1:19">
      <c r="A187" s="9">
        <v>42394</v>
      </c>
      <c r="B187" s="8" t="s">
        <v>22</v>
      </c>
      <c r="C187" s="8">
        <v>5</v>
      </c>
      <c r="D187" s="8" t="s">
        <v>63</v>
      </c>
      <c r="E187">
        <v>67</v>
      </c>
      <c r="F187" s="8">
        <v>0.93</v>
      </c>
      <c r="N187">
        <f t="shared" si="6"/>
        <v>15.170816649750002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0.10643799999999981</v>
      </c>
      <c r="P187">
        <f t="shared" si="7"/>
        <v>0.10643799999999981</v>
      </c>
      <c r="S187">
        <f t="shared" si="8"/>
        <v>0.67929029775000005</v>
      </c>
    </row>
    <row r="188" spans="1:19">
      <c r="A188" s="9">
        <v>42394</v>
      </c>
      <c r="B188" s="8" t="s">
        <v>22</v>
      </c>
      <c r="C188" s="8">
        <v>5</v>
      </c>
      <c r="D188" s="8" t="s">
        <v>63</v>
      </c>
      <c r="E188">
        <v>160</v>
      </c>
      <c r="F188" s="8">
        <v>1.64</v>
      </c>
      <c r="N188">
        <f t="shared" si="6"/>
        <v>112.66160618666663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6.6262029999999994</v>
      </c>
      <c r="P188">
        <f t="shared" si="7"/>
        <v>6.6262029999999994</v>
      </c>
      <c r="S188">
        <f t="shared" si="8"/>
        <v>2.1124051159999997</v>
      </c>
    </row>
    <row r="189" spans="1:19">
      <c r="A189" s="9">
        <v>42394</v>
      </c>
      <c r="B189" s="8" t="s">
        <v>22</v>
      </c>
      <c r="C189" s="8">
        <v>5</v>
      </c>
      <c r="D189" s="8" t="s">
        <v>63</v>
      </c>
      <c r="E189">
        <v>174</v>
      </c>
      <c r="F189" s="8">
        <v>1.33</v>
      </c>
      <c r="N189">
        <f t="shared" si="6"/>
        <v>80.578798989500001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7.607673000000001</v>
      </c>
      <c r="P189">
        <f t="shared" si="7"/>
        <v>7.607673000000001</v>
      </c>
      <c r="S189">
        <f t="shared" si="8"/>
        <v>1.3892896377500001</v>
      </c>
    </row>
    <row r="190" spans="1:19">
      <c r="A190" s="9">
        <v>42394</v>
      </c>
      <c r="B190" s="8" t="s">
        <v>22</v>
      </c>
      <c r="C190" s="8">
        <v>5</v>
      </c>
      <c r="D190" s="8" t="s">
        <v>63</v>
      </c>
      <c r="E190">
        <v>159</v>
      </c>
      <c r="F190" s="8">
        <v>1.66</v>
      </c>
      <c r="N190">
        <f t="shared" si="6"/>
        <v>114.70479160299998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6.5560979999999995</v>
      </c>
      <c r="P190">
        <f t="shared" si="7"/>
        <v>6.5560979999999995</v>
      </c>
      <c r="S190">
        <f t="shared" si="8"/>
        <v>2.1642413509999998</v>
      </c>
    </row>
    <row r="191" spans="1:19">
      <c r="A191" s="9">
        <v>42394</v>
      </c>
      <c r="B191" s="8" t="s">
        <v>22</v>
      </c>
      <c r="C191" s="8">
        <v>5</v>
      </c>
      <c r="D191" s="8" t="s">
        <v>63</v>
      </c>
      <c r="E191">
        <v>159</v>
      </c>
      <c r="F191" s="8">
        <v>1.79</v>
      </c>
      <c r="N191">
        <f t="shared" si="6"/>
        <v>133.37408287674998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6.5560979999999995</v>
      </c>
      <c r="P191">
        <f t="shared" si="7"/>
        <v>6.5560979999999995</v>
      </c>
      <c r="S191">
        <f t="shared" si="8"/>
        <v>2.51649212975</v>
      </c>
    </row>
    <row r="192" spans="1:19">
      <c r="A192" s="9">
        <v>42394</v>
      </c>
      <c r="B192" s="8" t="s">
        <v>22</v>
      </c>
      <c r="C192" s="8">
        <v>5</v>
      </c>
      <c r="D192" s="8" t="s">
        <v>63</v>
      </c>
      <c r="E192">
        <v>162</v>
      </c>
      <c r="F192" s="8">
        <v>1.92</v>
      </c>
      <c r="N192">
        <f t="shared" si="6"/>
        <v>156.34562457599998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6.7664130000000009</v>
      </c>
      <c r="P192">
        <f t="shared" si="7"/>
        <v>6.7664130000000009</v>
      </c>
      <c r="S192">
        <f t="shared" si="8"/>
        <v>2.8952893439999996</v>
      </c>
    </row>
    <row r="193" spans="1:19">
      <c r="A193" s="9">
        <v>42394</v>
      </c>
      <c r="B193" s="8" t="s">
        <v>22</v>
      </c>
      <c r="C193" s="8">
        <v>5</v>
      </c>
      <c r="D193" s="8" t="s">
        <v>63</v>
      </c>
      <c r="E193">
        <v>83</v>
      </c>
      <c r="F193" s="8">
        <v>1.84</v>
      </c>
      <c r="N193">
        <f t="shared" si="6"/>
        <v>73.566822469333331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1.2281180000000003</v>
      </c>
      <c r="P193">
        <f t="shared" si="7"/>
        <v>1.2281180000000003</v>
      </c>
      <c r="S193">
        <f t="shared" si="8"/>
        <v>2.659041776</v>
      </c>
    </row>
    <row r="194" spans="1:19">
      <c r="A194" s="9">
        <v>42394</v>
      </c>
      <c r="B194" s="8" t="s">
        <v>22</v>
      </c>
      <c r="C194" s="8">
        <v>5</v>
      </c>
      <c r="D194" s="8" t="s">
        <v>63</v>
      </c>
      <c r="E194">
        <v>164</v>
      </c>
      <c r="F194" s="8">
        <v>1.6</v>
      </c>
      <c r="N194">
        <f t="shared" si="6"/>
        <v>109.91376213333334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6.9066230000000006</v>
      </c>
      <c r="P194">
        <f t="shared" si="7"/>
        <v>6.9066230000000006</v>
      </c>
      <c r="S194">
        <f t="shared" si="8"/>
        <v>2.0106176000000002</v>
      </c>
    </row>
    <row r="195" spans="1:19">
      <c r="A195" s="9">
        <v>42394</v>
      </c>
      <c r="B195" s="8" t="s">
        <v>22</v>
      </c>
      <c r="C195" s="8">
        <v>5</v>
      </c>
      <c r="D195" s="8" t="s">
        <v>63</v>
      </c>
      <c r="E195">
        <v>123</v>
      </c>
      <c r="F195" s="8">
        <v>1.99</v>
      </c>
      <c r="N195">
        <f t="shared" si="6"/>
        <v>127.52035822975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4.032318000000001</v>
      </c>
      <c r="P195">
        <f t="shared" si="7"/>
        <v>4.032318000000001</v>
      </c>
      <c r="S195">
        <f t="shared" si="8"/>
        <v>3.1102526397500001</v>
      </c>
    </row>
    <row r="196" spans="1:19">
      <c r="A196" s="9">
        <v>42394</v>
      </c>
      <c r="B196" s="8" t="s">
        <v>22</v>
      </c>
      <c r="C196" s="8">
        <v>5</v>
      </c>
      <c r="D196" s="8" t="s">
        <v>63</v>
      </c>
      <c r="E196">
        <v>83</v>
      </c>
      <c r="F196" s="8">
        <v>0.85</v>
      </c>
      <c r="N196">
        <f t="shared" ref="N196:N259" si="9">IF(OR(D196="S. acutus", D196="S. tabernaemontani", D196="S. californicus"),(1/3)*(3.14159)*((F196/2)^2)*E196,"NA")</f>
        <v>15.699441527083328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1.2281180000000003</v>
      </c>
      <c r="P196">
        <f t="shared" si="7"/>
        <v>1.2281180000000003</v>
      </c>
      <c r="S196">
        <f t="shared" si="8"/>
        <v>0.56744969374999987</v>
      </c>
    </row>
    <row r="197" spans="1:19">
      <c r="A197" s="9">
        <v>42394</v>
      </c>
      <c r="B197" s="8" t="s">
        <v>22</v>
      </c>
      <c r="C197" s="8">
        <v>5</v>
      </c>
      <c r="D197" s="8" t="s">
        <v>63</v>
      </c>
      <c r="E197">
        <v>153</v>
      </c>
      <c r="F197" s="8">
        <v>2.11</v>
      </c>
      <c r="N197">
        <f t="shared" si="9"/>
        <v>178.33007869724997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6.1354680000000004</v>
      </c>
      <c r="P197">
        <f t="shared" ref="P197:P260" si="10">IF(O197&lt;0," ",O197)</f>
        <v>6.1354680000000004</v>
      </c>
      <c r="S197">
        <f t="shared" ref="S197:S260" si="11">3.14159*((F197/2)^2)</f>
        <v>3.4966682097499997</v>
      </c>
    </row>
    <row r="198" spans="1:19">
      <c r="A198" s="9">
        <v>42394</v>
      </c>
      <c r="B198" s="8" t="s">
        <v>22</v>
      </c>
      <c r="C198" s="8">
        <v>5</v>
      </c>
      <c r="D198" s="8" t="s">
        <v>63</v>
      </c>
      <c r="E198">
        <v>131</v>
      </c>
      <c r="F198" s="8">
        <v>1.37</v>
      </c>
      <c r="N198">
        <f t="shared" si="9"/>
        <v>64.36958212508334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4.5931579999999999</v>
      </c>
      <c r="P198">
        <f t="shared" si="10"/>
        <v>4.5931579999999999</v>
      </c>
      <c r="S198">
        <f t="shared" si="11"/>
        <v>1.4741125677500002</v>
      </c>
    </row>
    <row r="199" spans="1:19">
      <c r="A199" s="9">
        <v>42394</v>
      </c>
      <c r="B199" s="8" t="s">
        <v>22</v>
      </c>
      <c r="C199" s="8">
        <v>5</v>
      </c>
      <c r="D199" s="8" t="s">
        <v>63</v>
      </c>
      <c r="E199">
        <v>194</v>
      </c>
      <c r="F199" s="8">
        <v>1.86</v>
      </c>
      <c r="N199">
        <f t="shared" si="9"/>
        <v>175.709757018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9.0097729999999991</v>
      </c>
      <c r="P199">
        <f t="shared" si="10"/>
        <v>9.0097729999999991</v>
      </c>
      <c r="S199">
        <f t="shared" si="11"/>
        <v>2.7171611910000002</v>
      </c>
    </row>
    <row r="200" spans="1:19">
      <c r="A200" s="9">
        <v>42394</v>
      </c>
      <c r="B200" s="8" t="s">
        <v>22</v>
      </c>
      <c r="C200" s="8">
        <v>5</v>
      </c>
      <c r="D200" s="8" t="s">
        <v>63</v>
      </c>
      <c r="E200">
        <v>132</v>
      </c>
      <c r="F200" s="8">
        <v>2.04</v>
      </c>
      <c r="N200">
        <f t="shared" si="9"/>
        <v>143.81445038399997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4.6632629999999997</v>
      </c>
      <c r="P200">
        <f t="shared" si="10"/>
        <v>4.6632629999999997</v>
      </c>
      <c r="S200">
        <f t="shared" si="11"/>
        <v>3.268510236</v>
      </c>
    </row>
    <row r="201" spans="1:19">
      <c r="A201" s="9">
        <v>42394</v>
      </c>
      <c r="B201" s="8" t="s">
        <v>22</v>
      </c>
      <c r="C201" s="8">
        <v>5</v>
      </c>
      <c r="D201" s="8" t="s">
        <v>63</v>
      </c>
      <c r="E201">
        <v>54</v>
      </c>
      <c r="F201" s="8">
        <v>0.7</v>
      </c>
      <c r="N201">
        <f t="shared" si="9"/>
        <v>6.9272059499999985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-0.80492699999999973</v>
      </c>
      <c r="P201" t="str">
        <f t="shared" si="10"/>
        <v xml:space="preserve"> </v>
      </c>
      <c r="S201">
        <f t="shared" si="11"/>
        <v>0.38484477499999992</v>
      </c>
    </row>
    <row r="202" spans="1:19">
      <c r="A202" s="9">
        <v>42394</v>
      </c>
      <c r="B202" s="8" t="s">
        <v>22</v>
      </c>
      <c r="C202" s="8">
        <v>5</v>
      </c>
      <c r="D202" s="8" t="s">
        <v>63</v>
      </c>
      <c r="E202">
        <v>175</v>
      </c>
      <c r="F202" s="8">
        <v>2</v>
      </c>
      <c r="N202">
        <f t="shared" si="9"/>
        <v>183.25941666666665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7.6777780000000009</v>
      </c>
      <c r="P202">
        <f t="shared" si="10"/>
        <v>7.6777780000000009</v>
      </c>
      <c r="S202">
        <f t="shared" si="11"/>
        <v>3.1415899999999999</v>
      </c>
    </row>
    <row r="203" spans="1:19">
      <c r="A203" s="9">
        <v>42394</v>
      </c>
      <c r="B203" s="8" t="s">
        <v>22</v>
      </c>
      <c r="C203" s="8">
        <v>5</v>
      </c>
      <c r="D203" s="8" t="s">
        <v>63</v>
      </c>
      <c r="E203">
        <v>71</v>
      </c>
      <c r="F203" s="8">
        <v>0.81</v>
      </c>
      <c r="N203">
        <f t="shared" si="9"/>
        <v>12.195416760750001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0.38685800000000015</v>
      </c>
      <c r="P203">
        <f t="shared" si="10"/>
        <v>0.38685800000000015</v>
      </c>
      <c r="S203">
        <f t="shared" si="11"/>
        <v>0.51529929975000011</v>
      </c>
    </row>
    <row r="204" spans="1:19">
      <c r="A204" s="9">
        <v>42394</v>
      </c>
      <c r="B204" s="8" t="s">
        <v>22</v>
      </c>
      <c r="C204" s="8">
        <v>5</v>
      </c>
      <c r="D204" s="8" t="s">
        <v>63</v>
      </c>
      <c r="E204">
        <v>161</v>
      </c>
      <c r="F204" s="8">
        <v>2.2599999999999998</v>
      </c>
      <c r="N204">
        <f t="shared" si="9"/>
        <v>215.28363321033325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6.696308000000001</v>
      </c>
      <c r="P204">
        <f t="shared" si="10"/>
        <v>6.696308000000001</v>
      </c>
      <c r="S204">
        <f t="shared" si="11"/>
        <v>4.0114962709999986</v>
      </c>
    </row>
    <row r="205" spans="1:19">
      <c r="A205" s="9">
        <v>42394</v>
      </c>
      <c r="B205" s="8" t="s">
        <v>22</v>
      </c>
      <c r="C205" s="8">
        <v>5</v>
      </c>
      <c r="D205" s="8" t="s">
        <v>63</v>
      </c>
      <c r="E205">
        <v>141</v>
      </c>
      <c r="F205" s="8">
        <v>1.91</v>
      </c>
      <c r="N205">
        <f t="shared" si="9"/>
        <v>134.66480512824998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5.2942080000000002</v>
      </c>
      <c r="P205">
        <f t="shared" si="10"/>
        <v>5.2942080000000002</v>
      </c>
      <c r="S205">
        <f t="shared" si="11"/>
        <v>2.8652086197499997</v>
      </c>
    </row>
    <row r="206" spans="1:19">
      <c r="A206" s="9">
        <v>42394</v>
      </c>
      <c r="B206" s="8" t="s">
        <v>22</v>
      </c>
      <c r="C206">
        <v>5</v>
      </c>
      <c r="D206" s="8" t="s">
        <v>63</v>
      </c>
      <c r="E206">
        <v>120</v>
      </c>
      <c r="F206" s="8">
        <v>1.74</v>
      </c>
      <c r="N206">
        <f t="shared" si="9"/>
        <v>95.11477884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3.8220029999999996</v>
      </c>
      <c r="P206">
        <f t="shared" si="10"/>
        <v>3.8220029999999996</v>
      </c>
      <c r="S206">
        <f t="shared" si="11"/>
        <v>2.3778694709999999</v>
      </c>
    </row>
    <row r="207" spans="1:19">
      <c r="A207" s="9">
        <v>42394</v>
      </c>
      <c r="B207" s="8" t="s">
        <v>22</v>
      </c>
      <c r="C207" s="8">
        <v>5</v>
      </c>
      <c r="D207" s="8" t="s">
        <v>63</v>
      </c>
      <c r="E207">
        <v>50</v>
      </c>
      <c r="F207" s="8">
        <v>0.9</v>
      </c>
      <c r="N207">
        <f t="shared" si="9"/>
        <v>10.60286625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-1.0853469999999996</v>
      </c>
      <c r="P207" t="str">
        <f t="shared" si="10"/>
        <v xml:space="preserve"> </v>
      </c>
      <c r="S207">
        <f t="shared" si="11"/>
        <v>0.636171975</v>
      </c>
    </row>
    <row r="208" spans="1:19">
      <c r="A208" s="9">
        <v>42394</v>
      </c>
      <c r="B208" s="8" t="s">
        <v>22</v>
      </c>
      <c r="C208" s="8">
        <v>5</v>
      </c>
      <c r="D208" s="8" t="s">
        <v>63</v>
      </c>
      <c r="E208">
        <v>82</v>
      </c>
      <c r="F208" s="8">
        <v>1.26</v>
      </c>
      <c r="N208">
        <f t="shared" si="9"/>
        <v>34.081853274000004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1.1580130000000004</v>
      </c>
      <c r="P208">
        <f t="shared" si="10"/>
        <v>1.1580130000000004</v>
      </c>
      <c r="S208">
        <f t="shared" si="11"/>
        <v>1.246897071</v>
      </c>
    </row>
    <row r="209" spans="1:19">
      <c r="A209" s="9">
        <v>42394</v>
      </c>
      <c r="B209" s="8" t="s">
        <v>22</v>
      </c>
      <c r="C209" s="8">
        <v>5</v>
      </c>
      <c r="D209" s="8" t="s">
        <v>63</v>
      </c>
      <c r="E209">
        <v>156</v>
      </c>
      <c r="F209" s="8">
        <v>1.6</v>
      </c>
      <c r="N209">
        <f t="shared" si="9"/>
        <v>104.5521152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6.345783</v>
      </c>
      <c r="P209">
        <f t="shared" si="10"/>
        <v>6.345783</v>
      </c>
      <c r="S209">
        <f t="shared" si="11"/>
        <v>2.0106176000000002</v>
      </c>
    </row>
    <row r="210" spans="1:19">
      <c r="A210" s="9">
        <v>42394</v>
      </c>
      <c r="B210" s="8" t="s">
        <v>22</v>
      </c>
      <c r="C210" s="8">
        <v>5</v>
      </c>
      <c r="D210" s="8" t="s">
        <v>63</v>
      </c>
      <c r="E210">
        <v>65</v>
      </c>
      <c r="F210" s="8">
        <v>1.61</v>
      </c>
      <c r="N210">
        <f t="shared" si="9"/>
        <v>44.109625294583331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-3.3771999999999913E-2</v>
      </c>
      <c r="P210" t="str">
        <f t="shared" si="10"/>
        <v xml:space="preserve"> </v>
      </c>
      <c r="S210">
        <f t="shared" si="11"/>
        <v>2.0358288597500001</v>
      </c>
    </row>
    <row r="211" spans="1:19">
      <c r="A211" s="9">
        <v>42394</v>
      </c>
      <c r="B211" s="8" t="s">
        <v>22</v>
      </c>
      <c r="C211" s="8">
        <v>5</v>
      </c>
      <c r="D211" s="8" t="s">
        <v>63</v>
      </c>
      <c r="E211">
        <v>176</v>
      </c>
      <c r="F211" s="8">
        <v>2.2000000000000002</v>
      </c>
      <c r="N211">
        <f t="shared" si="9"/>
        <v>223.01100213333333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7.7478830000000007</v>
      </c>
      <c r="P211">
        <f t="shared" si="10"/>
        <v>7.7478830000000007</v>
      </c>
      <c r="S211">
        <f t="shared" si="11"/>
        <v>3.8013239000000003</v>
      </c>
    </row>
    <row r="212" spans="1:19">
      <c r="A212" s="9">
        <v>42394</v>
      </c>
      <c r="B212" s="8" t="s">
        <v>22</v>
      </c>
      <c r="C212" s="8">
        <v>5</v>
      </c>
      <c r="D212" s="8" t="s">
        <v>63</v>
      </c>
      <c r="E212">
        <v>81</v>
      </c>
      <c r="F212" s="8">
        <v>0.75</v>
      </c>
      <c r="N212">
        <f t="shared" si="9"/>
        <v>11.928224531249999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1.0879080000000005</v>
      </c>
      <c r="P212">
        <f t="shared" si="10"/>
        <v>1.0879080000000005</v>
      </c>
      <c r="S212">
        <f t="shared" si="11"/>
        <v>0.44178609375</v>
      </c>
    </row>
    <row r="213" spans="1:19">
      <c r="A213" s="9">
        <v>42394</v>
      </c>
      <c r="B213" s="8" t="s">
        <v>22</v>
      </c>
      <c r="C213" s="8">
        <v>5</v>
      </c>
      <c r="D213" s="8" t="s">
        <v>63</v>
      </c>
      <c r="E213">
        <v>146</v>
      </c>
      <c r="F213" s="8">
        <v>1.85</v>
      </c>
      <c r="N213">
        <f t="shared" si="9"/>
        <v>130.81711659583334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5.6447329999999996</v>
      </c>
      <c r="P213">
        <f t="shared" si="10"/>
        <v>5.6447329999999996</v>
      </c>
      <c r="S213">
        <f t="shared" si="11"/>
        <v>2.6880229437500001</v>
      </c>
    </row>
    <row r="214" spans="1:19">
      <c r="A214" s="9">
        <v>42394</v>
      </c>
      <c r="B214" s="8" t="s">
        <v>22</v>
      </c>
      <c r="C214" s="8">
        <v>5</v>
      </c>
      <c r="D214" s="8" t="s">
        <v>63</v>
      </c>
      <c r="E214">
        <v>198</v>
      </c>
      <c r="F214" s="8">
        <v>1.9</v>
      </c>
      <c r="N214">
        <f t="shared" si="9"/>
        <v>187.12880834999999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9.2901929999999986</v>
      </c>
      <c r="P214">
        <f t="shared" si="10"/>
        <v>9.2901929999999986</v>
      </c>
      <c r="S214">
        <f t="shared" si="11"/>
        <v>2.835284975</v>
      </c>
    </row>
    <row r="215" spans="1:19">
      <c r="A215" s="9">
        <v>42394</v>
      </c>
      <c r="B215" s="8" t="s">
        <v>22</v>
      </c>
      <c r="C215" s="8">
        <v>5</v>
      </c>
      <c r="D215" s="8" t="s">
        <v>63</v>
      </c>
      <c r="E215">
        <v>145</v>
      </c>
      <c r="F215" s="8">
        <v>1.38</v>
      </c>
      <c r="N215">
        <f t="shared" si="9"/>
        <v>72.292698284999986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5.5746279999999997</v>
      </c>
      <c r="P215">
        <f t="shared" si="10"/>
        <v>5.5746279999999997</v>
      </c>
      <c r="S215">
        <f t="shared" si="11"/>
        <v>1.4957109989999997</v>
      </c>
    </row>
    <row r="216" spans="1:19">
      <c r="A216" s="9">
        <v>42394</v>
      </c>
      <c r="B216" s="8" t="s">
        <v>22</v>
      </c>
      <c r="C216" s="8">
        <v>5</v>
      </c>
      <c r="D216" s="8" t="s">
        <v>63</v>
      </c>
      <c r="E216">
        <v>181</v>
      </c>
      <c r="F216" s="8">
        <v>1.89</v>
      </c>
      <c r="N216">
        <f t="shared" si="9"/>
        <v>169.26627738824996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8.0984079999999992</v>
      </c>
      <c r="P216">
        <f t="shared" si="10"/>
        <v>8.0984079999999992</v>
      </c>
      <c r="S216">
        <f t="shared" si="11"/>
        <v>2.8055184097499999</v>
      </c>
    </row>
    <row r="217" spans="1:19">
      <c r="A217" s="9">
        <v>42394</v>
      </c>
      <c r="B217" s="8" t="s">
        <v>57</v>
      </c>
      <c r="C217" s="8">
        <v>36</v>
      </c>
      <c r="D217" s="8" t="s">
        <v>61</v>
      </c>
      <c r="F217" s="8">
        <v>4.62</v>
      </c>
      <c r="J217">
        <f>89+149+183+205+205+217</f>
        <v>1048</v>
      </c>
      <c r="K217">
        <v>6</v>
      </c>
      <c r="L217">
        <v>217</v>
      </c>
      <c r="N217" t="str">
        <f t="shared" si="9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23.787940999999996</v>
      </c>
      <c r="P217">
        <f t="shared" si="10"/>
        <v>23.787940999999996</v>
      </c>
      <c r="S217">
        <f t="shared" si="11"/>
        <v>16.763838399000001</v>
      </c>
    </row>
    <row r="218" spans="1:19">
      <c r="A218" s="9">
        <v>42394</v>
      </c>
      <c r="B218" s="8" t="s">
        <v>57</v>
      </c>
      <c r="C218" s="8">
        <v>32</v>
      </c>
      <c r="D218" s="8" t="s">
        <v>61</v>
      </c>
      <c r="F218" s="8">
        <v>1.52</v>
      </c>
      <c r="J218">
        <f>52+73+103+126+129</f>
        <v>483</v>
      </c>
      <c r="K218">
        <v>5</v>
      </c>
      <c r="L218">
        <v>129</v>
      </c>
      <c r="N218" t="str">
        <f t="shared" si="9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4.348278999999998</v>
      </c>
      <c r="P218">
        <f t="shared" si="10"/>
        <v>4.348278999999998</v>
      </c>
      <c r="S218">
        <f t="shared" si="11"/>
        <v>1.8145823839999999</v>
      </c>
    </row>
    <row r="219" spans="1:19">
      <c r="A219" s="9">
        <v>42394</v>
      </c>
      <c r="B219" s="8" t="s">
        <v>57</v>
      </c>
      <c r="C219" s="8">
        <v>32</v>
      </c>
      <c r="D219" s="8" t="s">
        <v>61</v>
      </c>
      <c r="F219" s="8">
        <v>4.5999999999999996</v>
      </c>
      <c r="J219">
        <f>87+104+111+153+167</f>
        <v>622</v>
      </c>
      <c r="K219">
        <v>5</v>
      </c>
      <c r="L219">
        <v>167</v>
      </c>
      <c r="N219" t="str">
        <f t="shared" si="9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5.9329140000000109</v>
      </c>
      <c r="P219">
        <f t="shared" si="10"/>
        <v>5.9329140000000109</v>
      </c>
      <c r="S219">
        <f t="shared" si="11"/>
        <v>16.619011099999998</v>
      </c>
    </row>
    <row r="220" spans="1:19">
      <c r="A220" s="9">
        <v>42394</v>
      </c>
      <c r="B220" s="8" t="s">
        <v>57</v>
      </c>
      <c r="C220" s="8">
        <v>32</v>
      </c>
      <c r="D220" s="8" t="s">
        <v>61</v>
      </c>
      <c r="F220" s="8">
        <v>5.6</v>
      </c>
      <c r="J220">
        <f>94+149+204+219+233</f>
        <v>899</v>
      </c>
      <c r="K220">
        <v>5</v>
      </c>
      <c r="L220">
        <v>233</v>
      </c>
      <c r="N220" t="str">
        <f t="shared" si="9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12.020879000000008</v>
      </c>
      <c r="P220">
        <f t="shared" si="10"/>
        <v>12.020879000000008</v>
      </c>
      <c r="S220">
        <f t="shared" si="11"/>
        <v>24.630065599999995</v>
      </c>
    </row>
    <row r="221" spans="1:19">
      <c r="A221" s="9">
        <v>42394</v>
      </c>
      <c r="B221" s="8" t="s">
        <v>57</v>
      </c>
      <c r="C221" s="8">
        <v>32</v>
      </c>
      <c r="D221" s="8" t="s">
        <v>61</v>
      </c>
      <c r="F221" s="8">
        <v>6.85</v>
      </c>
      <c r="J221">
        <f>168+136+210+230+230+270+272+299+318</f>
        <v>2133</v>
      </c>
      <c r="K221">
        <v>9</v>
      </c>
      <c r="L221">
        <v>318</v>
      </c>
      <c r="N221" t="str">
        <f t="shared" si="9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74.019312000000014</v>
      </c>
      <c r="P221">
        <f t="shared" si="10"/>
        <v>74.019312000000014</v>
      </c>
      <c r="S221">
        <f t="shared" si="11"/>
        <v>36.852814193749992</v>
      </c>
    </row>
    <row r="222" spans="1:19">
      <c r="A222" s="9">
        <v>42394</v>
      </c>
      <c r="B222" s="8" t="s">
        <v>57</v>
      </c>
      <c r="C222" s="8">
        <v>32</v>
      </c>
      <c r="D222" s="8" t="s">
        <v>61</v>
      </c>
      <c r="N222" t="str">
        <f t="shared" si="9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0</v>
      </c>
      <c r="P222">
        <f t="shared" si="10"/>
        <v>0</v>
      </c>
      <c r="S222">
        <f t="shared" si="11"/>
        <v>0</v>
      </c>
    </row>
    <row r="223" spans="1:19">
      <c r="A223" s="9">
        <v>42394</v>
      </c>
      <c r="B223" s="8" t="s">
        <v>57</v>
      </c>
      <c r="C223" s="8">
        <v>9</v>
      </c>
      <c r="D223" s="8"/>
      <c r="M223" t="s">
        <v>64</v>
      </c>
      <c r="N223" t="str">
        <f t="shared" si="9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0</v>
      </c>
      <c r="P223">
        <f t="shared" si="10"/>
        <v>0</v>
      </c>
      <c r="S223">
        <f t="shared" si="11"/>
        <v>0</v>
      </c>
    </row>
    <row r="224" spans="1:19">
      <c r="A224" s="9">
        <v>42394</v>
      </c>
      <c r="B224" s="8" t="s">
        <v>57</v>
      </c>
      <c r="C224" s="8">
        <v>4</v>
      </c>
      <c r="D224" s="8" t="s">
        <v>63</v>
      </c>
      <c r="E224">
        <v>252</v>
      </c>
      <c r="F224" s="8">
        <v>1.98</v>
      </c>
      <c r="N224">
        <f t="shared" si="9"/>
        <v>258.64207815599997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13.075863000000002</v>
      </c>
      <c r="P224">
        <f t="shared" si="10"/>
        <v>13.075863000000002</v>
      </c>
      <c r="S224">
        <f t="shared" si="11"/>
        <v>3.079072359</v>
      </c>
    </row>
    <row r="225" spans="1:19">
      <c r="A225" s="9">
        <v>42394</v>
      </c>
      <c r="B225" s="8" t="s">
        <v>57</v>
      </c>
      <c r="C225" s="8">
        <v>4</v>
      </c>
      <c r="D225" s="8" t="s">
        <v>63</v>
      </c>
      <c r="E225">
        <v>154</v>
      </c>
      <c r="F225" s="8">
        <v>1.95</v>
      </c>
      <c r="N225">
        <f t="shared" si="9"/>
        <v>153.30566501249996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6.2055730000000002</v>
      </c>
      <c r="P225">
        <f t="shared" si="10"/>
        <v>6.2055730000000002</v>
      </c>
      <c r="S225">
        <f t="shared" si="11"/>
        <v>2.9864739937499998</v>
      </c>
    </row>
    <row r="226" spans="1:19">
      <c r="A226" s="9">
        <v>42394</v>
      </c>
      <c r="B226" s="8" t="s">
        <v>57</v>
      </c>
      <c r="C226" s="8">
        <v>4</v>
      </c>
      <c r="D226" s="8" t="s">
        <v>63</v>
      </c>
      <c r="E226">
        <v>184</v>
      </c>
      <c r="F226" s="8">
        <v>2.08</v>
      </c>
      <c r="N226">
        <f t="shared" si="9"/>
        <v>208.40721629866664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8.3087230000000005</v>
      </c>
      <c r="P226">
        <f t="shared" si="10"/>
        <v>8.3087230000000005</v>
      </c>
      <c r="S226">
        <f t="shared" si="11"/>
        <v>3.3979437440000004</v>
      </c>
    </row>
    <row r="227" spans="1:19">
      <c r="A227" s="9">
        <v>42394</v>
      </c>
      <c r="B227" s="8" t="s">
        <v>57</v>
      </c>
      <c r="C227" s="8">
        <v>4</v>
      </c>
      <c r="D227" s="8" t="s">
        <v>63</v>
      </c>
      <c r="E227">
        <v>124</v>
      </c>
      <c r="F227" s="8">
        <v>1.21</v>
      </c>
      <c r="N227">
        <f t="shared" si="9"/>
        <v>47.529219829666658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4.1024230000000008</v>
      </c>
      <c r="P227">
        <f t="shared" si="10"/>
        <v>4.1024230000000008</v>
      </c>
      <c r="S227">
        <f t="shared" si="11"/>
        <v>1.1499004797499999</v>
      </c>
    </row>
    <row r="228" spans="1:19">
      <c r="A228" s="9">
        <v>42394</v>
      </c>
      <c r="B228" s="8" t="s">
        <v>57</v>
      </c>
      <c r="C228" s="8">
        <v>4</v>
      </c>
      <c r="D228" s="8" t="s">
        <v>63</v>
      </c>
      <c r="E228">
        <v>235</v>
      </c>
      <c r="F228" s="8">
        <v>1.07</v>
      </c>
      <c r="N228">
        <f t="shared" si="9"/>
        <v>70.43745849041666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11.884078000000002</v>
      </c>
      <c r="P228">
        <f t="shared" si="10"/>
        <v>11.884078000000002</v>
      </c>
      <c r="S228">
        <f t="shared" si="11"/>
        <v>0.89920159774999997</v>
      </c>
    </row>
    <row r="229" spans="1:19">
      <c r="A229" s="9">
        <v>42394</v>
      </c>
      <c r="B229" s="8" t="s">
        <v>57</v>
      </c>
      <c r="C229" s="8">
        <v>4</v>
      </c>
      <c r="D229" s="8" t="s">
        <v>63</v>
      </c>
      <c r="E229">
        <v>31</v>
      </c>
      <c r="F229" s="8">
        <v>0.44</v>
      </c>
      <c r="N229">
        <f t="shared" si="9"/>
        <v>1.5712138786666665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-2.4173419999999997</v>
      </c>
      <c r="P229" t="str">
        <f t="shared" si="10"/>
        <v xml:space="preserve"> </v>
      </c>
      <c r="S229">
        <f t="shared" si="11"/>
        <v>0.15205295599999999</v>
      </c>
    </row>
    <row r="230" spans="1:19">
      <c r="A230" s="9">
        <v>42394</v>
      </c>
      <c r="B230" s="8" t="s">
        <v>57</v>
      </c>
      <c r="C230" s="8">
        <v>4</v>
      </c>
      <c r="D230" s="8" t="s">
        <v>63</v>
      </c>
      <c r="E230">
        <v>210</v>
      </c>
      <c r="F230" s="8">
        <v>2.44</v>
      </c>
      <c r="N230">
        <f t="shared" si="9"/>
        <v>327.31597891999996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10.131453</v>
      </c>
      <c r="P230">
        <f t="shared" si="10"/>
        <v>10.131453</v>
      </c>
      <c r="S230">
        <f t="shared" si="11"/>
        <v>4.6759425559999999</v>
      </c>
    </row>
    <row r="231" spans="1:19">
      <c r="A231" s="9">
        <v>42394</v>
      </c>
      <c r="B231" s="8" t="s">
        <v>57</v>
      </c>
      <c r="C231" s="8">
        <v>4</v>
      </c>
      <c r="D231" s="8" t="s">
        <v>63</v>
      </c>
      <c r="E231">
        <v>204</v>
      </c>
      <c r="F231" s="8">
        <v>1.1100000000000001</v>
      </c>
      <c r="N231">
        <f t="shared" si="9"/>
        <v>65.802801662999997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9.7108230000000013</v>
      </c>
      <c r="P231">
        <f t="shared" si="10"/>
        <v>9.7108230000000013</v>
      </c>
      <c r="S231">
        <f t="shared" si="11"/>
        <v>0.96768825975000017</v>
      </c>
    </row>
    <row r="232" spans="1:19">
      <c r="A232" s="9">
        <v>42394</v>
      </c>
      <c r="B232" s="8" t="s">
        <v>57</v>
      </c>
      <c r="C232" s="8">
        <v>4</v>
      </c>
      <c r="D232" s="8" t="s">
        <v>63</v>
      </c>
      <c r="E232">
        <v>88</v>
      </c>
      <c r="F232" s="8">
        <v>0.78</v>
      </c>
      <c r="N232">
        <f t="shared" si="9"/>
        <v>14.016517943999999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1.5786430000000005</v>
      </c>
      <c r="P232">
        <f t="shared" si="10"/>
        <v>1.5786430000000005</v>
      </c>
      <c r="S232">
        <f t="shared" si="11"/>
        <v>0.47783583900000004</v>
      </c>
    </row>
    <row r="233" spans="1:19">
      <c r="A233" s="9">
        <v>42394</v>
      </c>
      <c r="B233" s="8" t="s">
        <v>57</v>
      </c>
      <c r="C233" s="8">
        <v>4</v>
      </c>
      <c r="D233" s="8" t="s">
        <v>63</v>
      </c>
      <c r="E233">
        <v>175</v>
      </c>
      <c r="F233" s="8">
        <v>1.96</v>
      </c>
      <c r="N233">
        <f t="shared" si="9"/>
        <v>176.00234376666663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7.6777780000000009</v>
      </c>
      <c r="P233">
        <f t="shared" si="10"/>
        <v>7.6777780000000009</v>
      </c>
      <c r="S233">
        <f t="shared" si="11"/>
        <v>3.0171830359999996</v>
      </c>
    </row>
    <row r="234" spans="1:19">
      <c r="A234" s="9">
        <v>42394</v>
      </c>
      <c r="B234" s="8" t="s">
        <v>57</v>
      </c>
      <c r="C234" s="8">
        <v>4</v>
      </c>
      <c r="D234" s="8" t="s">
        <v>63</v>
      </c>
      <c r="E234">
        <v>203</v>
      </c>
      <c r="F234" s="8">
        <v>1.1299999999999999</v>
      </c>
      <c r="N234">
        <f t="shared" si="9"/>
        <v>67.8611452510833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9.6407179999999997</v>
      </c>
      <c r="P234">
        <f t="shared" si="10"/>
        <v>9.6407179999999997</v>
      </c>
      <c r="S234">
        <f t="shared" si="11"/>
        <v>1.0028740677499997</v>
      </c>
    </row>
    <row r="235" spans="1:19">
      <c r="A235" s="9">
        <v>42394</v>
      </c>
      <c r="B235" s="8" t="s">
        <v>57</v>
      </c>
      <c r="C235" s="8">
        <v>4</v>
      </c>
      <c r="D235" s="8" t="s">
        <v>63</v>
      </c>
      <c r="E235">
        <v>205</v>
      </c>
      <c r="F235" s="8">
        <v>1.18</v>
      </c>
      <c r="N235">
        <f t="shared" si="9"/>
        <v>74.728477731666658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9.7809279999999994</v>
      </c>
      <c r="P235">
        <f t="shared" si="10"/>
        <v>9.7809279999999994</v>
      </c>
      <c r="S235">
        <f t="shared" si="11"/>
        <v>1.0935874789999998</v>
      </c>
    </row>
    <row r="236" spans="1:19">
      <c r="A236" s="9">
        <v>42394</v>
      </c>
      <c r="B236" s="8" t="s">
        <v>57</v>
      </c>
      <c r="C236" s="8">
        <v>4</v>
      </c>
      <c r="D236" s="8" t="s">
        <v>63</v>
      </c>
      <c r="E236">
        <v>248</v>
      </c>
      <c r="F236" s="8">
        <v>1.42</v>
      </c>
      <c r="N236">
        <f t="shared" si="9"/>
        <v>130.91717623733334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12.795443000000002</v>
      </c>
      <c r="P236">
        <f t="shared" si="10"/>
        <v>12.795443000000002</v>
      </c>
      <c r="S236">
        <f t="shared" si="11"/>
        <v>1.5836755189999998</v>
      </c>
    </row>
    <row r="237" spans="1:19">
      <c r="A237" s="9">
        <v>42394</v>
      </c>
      <c r="B237" s="8" t="s">
        <v>57</v>
      </c>
      <c r="C237" s="8">
        <v>4</v>
      </c>
      <c r="D237" s="8" t="s">
        <v>63</v>
      </c>
      <c r="E237">
        <v>245</v>
      </c>
      <c r="F237" s="8">
        <v>1.75</v>
      </c>
      <c r="N237">
        <f t="shared" si="9"/>
        <v>196.43118723958332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12.585128000000001</v>
      </c>
      <c r="P237">
        <f t="shared" si="10"/>
        <v>12.585128000000001</v>
      </c>
      <c r="S237">
        <f t="shared" si="11"/>
        <v>2.4052798437499998</v>
      </c>
    </row>
    <row r="238" spans="1:19">
      <c r="A238" s="9">
        <v>42394</v>
      </c>
      <c r="B238" s="9" t="s">
        <v>57</v>
      </c>
      <c r="C238" s="8">
        <v>4</v>
      </c>
      <c r="D238" s="8" t="s">
        <v>63</v>
      </c>
      <c r="E238">
        <v>274</v>
      </c>
      <c r="F238" s="8">
        <v>1.93</v>
      </c>
      <c r="N238">
        <f t="shared" si="9"/>
        <v>267.19814616116662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14.618173000000002</v>
      </c>
      <c r="P238">
        <f t="shared" si="10"/>
        <v>14.618173000000002</v>
      </c>
      <c r="S238">
        <f t="shared" si="11"/>
        <v>2.92552714775</v>
      </c>
    </row>
    <row r="239" spans="1:19">
      <c r="A239" s="9">
        <v>42394</v>
      </c>
      <c r="B239" s="8" t="s">
        <v>57</v>
      </c>
      <c r="C239" s="8">
        <v>4</v>
      </c>
      <c r="D239" s="8" t="s">
        <v>63</v>
      </c>
      <c r="E239">
        <v>246</v>
      </c>
      <c r="F239" s="8">
        <v>1.39</v>
      </c>
      <c r="N239">
        <f t="shared" si="9"/>
        <v>124.43225379949996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12.655233000000003</v>
      </c>
      <c r="P239">
        <f t="shared" si="10"/>
        <v>12.655233000000003</v>
      </c>
      <c r="S239">
        <f t="shared" si="11"/>
        <v>1.5174665097499997</v>
      </c>
    </row>
    <row r="240" spans="1:19">
      <c r="A240" s="9">
        <v>42394</v>
      </c>
      <c r="B240" s="8" t="s">
        <v>57</v>
      </c>
      <c r="C240" s="8">
        <v>4</v>
      </c>
      <c r="D240" s="8" t="s">
        <v>63</v>
      </c>
      <c r="E240">
        <v>88</v>
      </c>
      <c r="F240" s="8">
        <v>0.83</v>
      </c>
      <c r="N240">
        <f t="shared" si="9"/>
        <v>15.871103240666663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1.5786430000000005</v>
      </c>
      <c r="P240">
        <f t="shared" si="10"/>
        <v>1.5786430000000005</v>
      </c>
      <c r="S240">
        <f t="shared" si="11"/>
        <v>0.54106033774999995</v>
      </c>
    </row>
    <row r="241" spans="1:19">
      <c r="A241" s="9">
        <v>42394</v>
      </c>
      <c r="B241" s="8" t="s">
        <v>57</v>
      </c>
      <c r="C241" s="8">
        <v>4</v>
      </c>
      <c r="D241" s="8" t="s">
        <v>63</v>
      </c>
      <c r="E241">
        <v>194</v>
      </c>
      <c r="F241" s="8">
        <v>1.86</v>
      </c>
      <c r="N241">
        <f t="shared" si="9"/>
        <v>175.709757018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9.0097729999999991</v>
      </c>
      <c r="P241">
        <f t="shared" si="10"/>
        <v>9.0097729999999991</v>
      </c>
      <c r="S241">
        <f t="shared" si="11"/>
        <v>2.7171611910000002</v>
      </c>
    </row>
    <row r="242" spans="1:19">
      <c r="A242" s="9">
        <v>42394</v>
      </c>
      <c r="B242" s="8" t="s">
        <v>57</v>
      </c>
      <c r="C242" s="8">
        <v>4</v>
      </c>
      <c r="D242" s="8" t="s">
        <v>63</v>
      </c>
      <c r="E242">
        <v>44</v>
      </c>
      <c r="F242" s="8">
        <v>0.48</v>
      </c>
      <c r="N242">
        <f t="shared" si="9"/>
        <v>2.6540152319999994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-1.5059769999999997</v>
      </c>
      <c r="P242" t="str">
        <f t="shared" si="10"/>
        <v xml:space="preserve"> </v>
      </c>
      <c r="S242">
        <f t="shared" si="11"/>
        <v>0.18095558399999997</v>
      </c>
    </row>
    <row r="243" spans="1:19">
      <c r="A243" s="9">
        <v>42394</v>
      </c>
      <c r="B243" s="8" t="s">
        <v>57</v>
      </c>
      <c r="C243" s="8">
        <v>4</v>
      </c>
      <c r="D243" s="8" t="s">
        <v>63</v>
      </c>
      <c r="E243">
        <v>231</v>
      </c>
      <c r="F243" s="8">
        <v>1.84</v>
      </c>
      <c r="N243">
        <f t="shared" si="9"/>
        <v>204.74621675199998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11.603658000000003</v>
      </c>
      <c r="P243">
        <f t="shared" si="10"/>
        <v>11.603658000000003</v>
      </c>
      <c r="S243">
        <f t="shared" si="11"/>
        <v>2.659041776</v>
      </c>
    </row>
    <row r="244" spans="1:19">
      <c r="A244" s="7">
        <v>42396</v>
      </c>
      <c r="B244" s="8" t="s">
        <v>23</v>
      </c>
      <c r="C244" s="8">
        <v>24</v>
      </c>
      <c r="D244" s="8" t="s">
        <v>61</v>
      </c>
      <c r="F244" s="8">
        <v>0.68</v>
      </c>
      <c r="J244">
        <f>25+39+45</f>
        <v>109</v>
      </c>
      <c r="K244">
        <v>3</v>
      </c>
      <c r="L244">
        <v>45</v>
      </c>
      <c r="N244" t="str">
        <f t="shared" si="9"/>
        <v>NA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8.6331949999999971</v>
      </c>
      <c r="P244">
        <f t="shared" si="10"/>
        <v>8.6331949999999971</v>
      </c>
      <c r="S244">
        <f t="shared" si="11"/>
        <v>0.36316780400000004</v>
      </c>
    </row>
    <row r="245" spans="1:19">
      <c r="A245" s="9">
        <v>42396</v>
      </c>
      <c r="B245" s="8" t="s">
        <v>23</v>
      </c>
      <c r="C245" s="8">
        <v>24</v>
      </c>
      <c r="D245" s="8" t="s">
        <v>61</v>
      </c>
      <c r="F245" s="8">
        <v>8.15</v>
      </c>
      <c r="J245">
        <f>154+212+247+239+306+310</f>
        <v>1468</v>
      </c>
      <c r="K245">
        <v>6</v>
      </c>
      <c r="L245">
        <v>310</v>
      </c>
      <c r="N245" t="str">
        <f t="shared" si="9"/>
        <v>NA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35.149256000000001</v>
      </c>
      <c r="P245">
        <f t="shared" si="10"/>
        <v>35.149256000000001</v>
      </c>
      <c r="S245">
        <f t="shared" si="11"/>
        <v>52.168065443749995</v>
      </c>
    </row>
    <row r="246" spans="1:19">
      <c r="A246" s="9">
        <v>42396</v>
      </c>
      <c r="B246" s="8" t="s">
        <v>23</v>
      </c>
      <c r="C246" s="8">
        <v>24</v>
      </c>
      <c r="D246" s="8" t="s">
        <v>61</v>
      </c>
      <c r="F246" s="8">
        <v>4.79</v>
      </c>
      <c r="J246">
        <f>45+71+137+185+191</f>
        <v>629</v>
      </c>
      <c r="K246">
        <v>5</v>
      </c>
      <c r="L246">
        <v>191</v>
      </c>
      <c r="N246" t="str">
        <f t="shared" si="9"/>
        <v>NA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-0.64068099999999362</v>
      </c>
      <c r="P246" t="str">
        <f t="shared" si="10"/>
        <v xml:space="preserve"> </v>
      </c>
      <c r="S246">
        <f t="shared" si="11"/>
        <v>18.020238779749999</v>
      </c>
    </row>
    <row r="247" spans="1:19">
      <c r="A247" s="9">
        <v>42396</v>
      </c>
      <c r="B247" s="8" t="s">
        <v>23</v>
      </c>
      <c r="C247" s="8">
        <v>24</v>
      </c>
      <c r="D247" s="8" t="s">
        <v>61</v>
      </c>
      <c r="F247" s="8">
        <v>5.77</v>
      </c>
      <c r="J247">
        <f>47+160+203+212</f>
        <v>622</v>
      </c>
      <c r="K247">
        <v>4</v>
      </c>
      <c r="L247">
        <v>212</v>
      </c>
      <c r="N247" t="str">
        <f t="shared" si="9"/>
        <v>NA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-0.60075799999999191</v>
      </c>
      <c r="P247" t="str">
        <f t="shared" si="10"/>
        <v xml:space="preserve"> </v>
      </c>
      <c r="S247">
        <f t="shared" si="11"/>
        <v>26.148160427749996</v>
      </c>
    </row>
    <row r="248" spans="1:19">
      <c r="A248" s="9">
        <v>42396</v>
      </c>
      <c r="B248" s="8" t="s">
        <v>23</v>
      </c>
      <c r="C248" s="8">
        <v>24</v>
      </c>
      <c r="D248" s="8" t="s">
        <v>61</v>
      </c>
      <c r="F248" s="8">
        <v>0.52</v>
      </c>
      <c r="J248">
        <f>32+47</f>
        <v>79</v>
      </c>
      <c r="K248">
        <v>2</v>
      </c>
      <c r="L248">
        <v>47</v>
      </c>
      <c r="N248" t="str">
        <f t="shared" si="9"/>
        <v>NA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12.240407999999999</v>
      </c>
      <c r="P248">
        <f t="shared" si="10"/>
        <v>12.240407999999999</v>
      </c>
      <c r="S248">
        <f t="shared" si="11"/>
        <v>0.21237148400000003</v>
      </c>
    </row>
    <row r="249" spans="1:19">
      <c r="A249" s="9">
        <v>42396</v>
      </c>
      <c r="B249" s="8" t="s">
        <v>23</v>
      </c>
      <c r="C249" s="8">
        <v>20</v>
      </c>
      <c r="D249" s="8" t="s">
        <v>61</v>
      </c>
      <c r="F249" s="8">
        <v>9.01</v>
      </c>
      <c r="J249">
        <f>84+203+250+259+292+307+361+312</f>
        <v>2068</v>
      </c>
      <c r="K249">
        <v>8</v>
      </c>
      <c r="L249">
        <v>361</v>
      </c>
      <c r="N249" t="str">
        <f t="shared" si="9"/>
        <v>NA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61.994055000000024</v>
      </c>
      <c r="P249">
        <f t="shared" si="10"/>
        <v>61.994055000000024</v>
      </c>
      <c r="S249">
        <f t="shared" si="11"/>
        <v>63.758647589749991</v>
      </c>
    </row>
    <row r="250" spans="1:19">
      <c r="A250" s="9">
        <v>42396</v>
      </c>
      <c r="B250" s="8" t="s">
        <v>23</v>
      </c>
      <c r="C250" s="8">
        <v>20</v>
      </c>
      <c r="D250" s="8" t="s">
        <v>61</v>
      </c>
      <c r="F250" s="8">
        <v>9.14</v>
      </c>
      <c r="J250">
        <f>224+232+289+311+317+321+327+331</f>
        <v>2352</v>
      </c>
      <c r="K250">
        <v>8</v>
      </c>
      <c r="L250">
        <v>331</v>
      </c>
      <c r="N250" t="str">
        <f t="shared" si="9"/>
        <v>NA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97.657825000000031</v>
      </c>
      <c r="P250">
        <f t="shared" si="10"/>
        <v>97.657825000000031</v>
      </c>
      <c r="S250">
        <f t="shared" si="11"/>
        <v>65.611792991000002</v>
      </c>
    </row>
    <row r="251" spans="1:19">
      <c r="A251" s="9">
        <v>42396</v>
      </c>
      <c r="B251" s="8" t="s">
        <v>23</v>
      </c>
      <c r="C251" s="8">
        <v>20</v>
      </c>
      <c r="D251" s="8" t="s">
        <v>61</v>
      </c>
      <c r="F251" s="8">
        <v>9.31</v>
      </c>
      <c r="J251">
        <f>175+243+301+311+325+331</f>
        <v>1686</v>
      </c>
      <c r="K251">
        <v>6</v>
      </c>
      <c r="L251">
        <v>331</v>
      </c>
      <c r="N251" t="str">
        <f t="shared" si="9"/>
        <v>NA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49.261701000000009</v>
      </c>
      <c r="P251">
        <f t="shared" si="10"/>
        <v>49.261701000000009</v>
      </c>
      <c r="S251">
        <f t="shared" si="11"/>
        <v>68.075192249750003</v>
      </c>
    </row>
    <row r="252" spans="1:19">
      <c r="A252" s="9">
        <v>42396</v>
      </c>
      <c r="B252" s="8" t="s">
        <v>23</v>
      </c>
      <c r="C252" s="8">
        <v>20</v>
      </c>
      <c r="D252" s="8" t="s">
        <v>61</v>
      </c>
      <c r="F252" s="8">
        <v>8.2899999999999991</v>
      </c>
      <c r="J252">
        <f>100+185+220+241+272+278</f>
        <v>1296</v>
      </c>
      <c r="K252">
        <v>6</v>
      </c>
      <c r="L252">
        <v>278</v>
      </c>
      <c r="N252" t="str">
        <f t="shared" si="9"/>
        <v>NA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28.663236000000005</v>
      </c>
      <c r="P252">
        <f t="shared" si="10"/>
        <v>28.663236000000005</v>
      </c>
      <c r="S252">
        <f t="shared" si="11"/>
        <v>53.975736329749992</v>
      </c>
    </row>
    <row r="253" spans="1:19">
      <c r="A253" s="9">
        <v>42396</v>
      </c>
      <c r="B253" s="8" t="s">
        <v>23</v>
      </c>
      <c r="C253" s="8">
        <v>20</v>
      </c>
      <c r="D253" s="8" t="s">
        <v>61</v>
      </c>
      <c r="F253" s="8">
        <v>1.37</v>
      </c>
      <c r="J253">
        <f>30+83+109</f>
        <v>222</v>
      </c>
      <c r="K253">
        <v>3</v>
      </c>
      <c r="L253">
        <v>109</v>
      </c>
      <c r="N253" t="str">
        <f t="shared" si="9"/>
        <v>NA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-5.2169999999996719E-2</v>
      </c>
      <c r="P253" t="str">
        <f t="shared" si="10"/>
        <v xml:space="preserve"> </v>
      </c>
      <c r="S253">
        <f t="shared" si="11"/>
        <v>1.4741125677500002</v>
      </c>
    </row>
    <row r="254" spans="1:19">
      <c r="A254" s="9">
        <v>42396</v>
      </c>
      <c r="B254" s="8" t="s">
        <v>23</v>
      </c>
      <c r="C254" s="8">
        <v>20</v>
      </c>
      <c r="D254" s="8" t="s">
        <v>61</v>
      </c>
      <c r="F254" s="8">
        <v>0.73</v>
      </c>
      <c r="J254">
        <f>25+62</f>
        <v>87</v>
      </c>
      <c r="K254">
        <v>2</v>
      </c>
      <c r="L254">
        <v>62</v>
      </c>
      <c r="N254" t="str">
        <f t="shared" si="9"/>
        <v>NA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8.4717729999999989</v>
      </c>
      <c r="P254">
        <f t="shared" si="10"/>
        <v>8.4717729999999989</v>
      </c>
      <c r="S254">
        <f t="shared" si="11"/>
        <v>0.41853832774999994</v>
      </c>
    </row>
    <row r="255" spans="1:19">
      <c r="A255" s="9">
        <v>42396</v>
      </c>
      <c r="B255" s="8" t="s">
        <v>23</v>
      </c>
      <c r="C255" s="8">
        <v>8</v>
      </c>
      <c r="D255" s="8" t="s">
        <v>65</v>
      </c>
      <c r="E255">
        <v>52</v>
      </c>
      <c r="F255" s="8">
        <v>0.52</v>
      </c>
      <c r="N255">
        <f t="shared" si="9"/>
        <v>3.6811057226666666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-0.94513699999999989</v>
      </c>
      <c r="P255" t="str">
        <f t="shared" si="10"/>
        <v xml:space="preserve"> </v>
      </c>
      <c r="S255">
        <f t="shared" si="11"/>
        <v>0.21237148400000003</v>
      </c>
    </row>
    <row r="256" spans="1:19">
      <c r="A256" s="9">
        <v>42396</v>
      </c>
      <c r="B256" s="8" t="s">
        <v>23</v>
      </c>
      <c r="C256" s="8">
        <v>8</v>
      </c>
      <c r="D256" s="8" t="s">
        <v>65</v>
      </c>
      <c r="E256">
        <v>71</v>
      </c>
      <c r="F256" s="8">
        <v>0.68</v>
      </c>
      <c r="N256">
        <f t="shared" si="9"/>
        <v>8.5949713613333341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0.38685800000000015</v>
      </c>
      <c r="P256">
        <f t="shared" si="10"/>
        <v>0.38685800000000015</v>
      </c>
      <c r="S256">
        <f t="shared" si="11"/>
        <v>0.36316780400000004</v>
      </c>
    </row>
    <row r="257" spans="1:19">
      <c r="A257" s="9">
        <v>42396</v>
      </c>
      <c r="B257" s="8" t="s">
        <v>23</v>
      </c>
      <c r="C257" s="8">
        <v>8</v>
      </c>
      <c r="D257" s="8" t="s">
        <v>65</v>
      </c>
      <c r="E257">
        <v>71</v>
      </c>
      <c r="F257" s="8">
        <v>0.69</v>
      </c>
      <c r="N257">
        <f t="shared" si="9"/>
        <v>8.8496234107499969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0.38685800000000015</v>
      </c>
      <c r="P257">
        <f t="shared" si="10"/>
        <v>0.38685800000000015</v>
      </c>
      <c r="S257">
        <f t="shared" si="11"/>
        <v>0.37392774974999993</v>
      </c>
    </row>
    <row r="258" spans="1:19">
      <c r="A258" s="9">
        <v>42396</v>
      </c>
      <c r="B258" s="8" t="s">
        <v>23</v>
      </c>
      <c r="C258" s="8">
        <v>8</v>
      </c>
      <c r="D258" s="8" t="s">
        <v>65</v>
      </c>
      <c r="E258">
        <v>51</v>
      </c>
      <c r="F258" s="8">
        <v>0.69</v>
      </c>
      <c r="N258">
        <f t="shared" si="9"/>
        <v>6.3567717457499979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-1.0152419999999998</v>
      </c>
      <c r="P258" t="str">
        <f t="shared" si="10"/>
        <v xml:space="preserve"> </v>
      </c>
      <c r="S258">
        <f t="shared" si="11"/>
        <v>0.37392774974999993</v>
      </c>
    </row>
    <row r="259" spans="1:19">
      <c r="A259" s="9">
        <v>42396</v>
      </c>
      <c r="B259" s="8" t="s">
        <v>23</v>
      </c>
      <c r="C259" s="8">
        <v>8</v>
      </c>
      <c r="D259" s="8" t="s">
        <v>65</v>
      </c>
      <c r="E259">
        <v>54</v>
      </c>
      <c r="F259" s="8">
        <v>0.94</v>
      </c>
      <c r="N259">
        <f t="shared" si="9"/>
        <v>12.491590157999999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-0.80492699999999973</v>
      </c>
      <c r="P259" t="str">
        <f t="shared" si="10"/>
        <v xml:space="preserve"> </v>
      </c>
      <c r="S259">
        <f t="shared" si="11"/>
        <v>0.69397723099999997</v>
      </c>
    </row>
    <row r="260" spans="1:19">
      <c r="A260" s="9">
        <v>42396</v>
      </c>
      <c r="B260" s="8" t="s">
        <v>23</v>
      </c>
      <c r="C260" s="8">
        <v>8</v>
      </c>
      <c r="D260" s="8" t="s">
        <v>65</v>
      </c>
      <c r="E260">
        <v>88</v>
      </c>
      <c r="F260" s="8">
        <v>0.75</v>
      </c>
      <c r="N260">
        <f t="shared" ref="N260:N323" si="12">IF(OR(D260="S. acutus", D260="S. tabernaemontani", D260="S. californicus"),(1/3)*(3.14159)*((F260/2)^2)*E260,"NA")</f>
        <v>12.959058749999999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1.5786430000000005</v>
      </c>
      <c r="P260">
        <f t="shared" si="10"/>
        <v>1.5786430000000005</v>
      </c>
      <c r="S260">
        <f t="shared" si="11"/>
        <v>0.44178609375</v>
      </c>
    </row>
    <row r="261" spans="1:19">
      <c r="A261" s="9">
        <v>42396</v>
      </c>
      <c r="B261" s="8" t="s">
        <v>23</v>
      </c>
      <c r="C261" s="8">
        <v>8</v>
      </c>
      <c r="D261" s="8" t="s">
        <v>65</v>
      </c>
      <c r="E261">
        <v>43</v>
      </c>
      <c r="F261" s="8">
        <v>0.85</v>
      </c>
      <c r="N261">
        <f t="shared" si="12"/>
        <v>8.1334456104166648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-1.576082</v>
      </c>
      <c r="P261" t="str">
        <f t="shared" ref="P261:P324" si="13">IF(O261&lt;0," ",O261)</f>
        <v xml:space="preserve"> </v>
      </c>
      <c r="S261">
        <f t="shared" ref="S261:S324" si="14">3.14159*((F261/2)^2)</f>
        <v>0.56744969374999987</v>
      </c>
    </row>
    <row r="262" spans="1:19">
      <c r="A262" s="9">
        <v>42396</v>
      </c>
      <c r="B262" s="8" t="s">
        <v>23</v>
      </c>
      <c r="C262" s="8">
        <v>8</v>
      </c>
      <c r="D262" s="8" t="s">
        <v>65</v>
      </c>
      <c r="E262">
        <v>99</v>
      </c>
      <c r="F262" s="8">
        <v>0.83</v>
      </c>
      <c r="N262">
        <f t="shared" si="12"/>
        <v>17.854991145749995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2.3497979999999998</v>
      </c>
      <c r="P262">
        <f t="shared" si="13"/>
        <v>2.3497979999999998</v>
      </c>
      <c r="S262">
        <f t="shared" si="14"/>
        <v>0.54106033774999995</v>
      </c>
    </row>
    <row r="263" spans="1:19">
      <c r="A263" s="9">
        <v>42396</v>
      </c>
      <c r="B263" s="8" t="s">
        <v>23</v>
      </c>
      <c r="C263" s="8">
        <v>8</v>
      </c>
      <c r="D263" s="8" t="s">
        <v>65</v>
      </c>
      <c r="E263">
        <v>94</v>
      </c>
      <c r="F263" s="8">
        <v>1.1499999999999999</v>
      </c>
      <c r="N263">
        <f t="shared" si="12"/>
        <v>32.545563404166657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1.9992730000000005</v>
      </c>
      <c r="P263">
        <f t="shared" si="13"/>
        <v>1.9992730000000005</v>
      </c>
      <c r="S263">
        <f t="shared" si="14"/>
        <v>1.0386881937499999</v>
      </c>
    </row>
    <row r="264" spans="1:19">
      <c r="A264" s="9">
        <v>42396</v>
      </c>
      <c r="B264" s="8" t="s">
        <v>23</v>
      </c>
      <c r="C264" s="8">
        <v>8</v>
      </c>
      <c r="D264" s="8" t="s">
        <v>65</v>
      </c>
      <c r="E264">
        <v>120</v>
      </c>
      <c r="F264" s="8">
        <v>2.33</v>
      </c>
      <c r="N264">
        <f t="shared" si="12"/>
        <v>170.55377951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3.8220029999999996</v>
      </c>
      <c r="P264">
        <f t="shared" si="13"/>
        <v>3.8220029999999996</v>
      </c>
      <c r="S264">
        <f t="shared" si="14"/>
        <v>4.2638444877500001</v>
      </c>
    </row>
    <row r="265" spans="1:19">
      <c r="A265" s="9">
        <v>42396</v>
      </c>
      <c r="B265" s="8" t="s">
        <v>23</v>
      </c>
      <c r="C265" s="8">
        <v>8</v>
      </c>
      <c r="D265" s="8" t="s">
        <v>65</v>
      </c>
      <c r="E265">
        <v>83</v>
      </c>
      <c r="F265" s="8">
        <v>1.25</v>
      </c>
      <c r="N265">
        <f t="shared" si="12"/>
        <v>33.952079427083326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1.2281180000000003</v>
      </c>
      <c r="P265">
        <f t="shared" si="13"/>
        <v>1.2281180000000003</v>
      </c>
      <c r="S265">
        <f t="shared" si="14"/>
        <v>1.22718359375</v>
      </c>
    </row>
    <row r="266" spans="1:19">
      <c r="A266" s="9">
        <v>42396</v>
      </c>
      <c r="B266" s="8" t="s">
        <v>23</v>
      </c>
      <c r="C266" s="8">
        <v>8</v>
      </c>
      <c r="D266" s="8" t="s">
        <v>65</v>
      </c>
      <c r="E266">
        <v>57</v>
      </c>
      <c r="F266" s="8">
        <v>1</v>
      </c>
      <c r="N266">
        <f t="shared" si="12"/>
        <v>14.922552499999998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-0.5946119999999997</v>
      </c>
      <c r="P266" t="str">
        <f t="shared" si="13"/>
        <v xml:space="preserve"> </v>
      </c>
      <c r="S266">
        <f t="shared" si="14"/>
        <v>0.78539749999999997</v>
      </c>
    </row>
    <row r="267" spans="1:19">
      <c r="A267" s="9">
        <v>42396</v>
      </c>
      <c r="B267" s="8" t="s">
        <v>23</v>
      </c>
      <c r="C267" s="8">
        <v>8</v>
      </c>
      <c r="D267" s="8" t="s">
        <v>65</v>
      </c>
      <c r="E267">
        <v>84</v>
      </c>
      <c r="F267" s="8">
        <v>2.2599999999999998</v>
      </c>
      <c r="N267">
        <f t="shared" si="12"/>
        <v>112.32189558799996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1.2982230000000001</v>
      </c>
      <c r="P267">
        <f t="shared" si="13"/>
        <v>1.2982230000000001</v>
      </c>
      <c r="S267">
        <f t="shared" si="14"/>
        <v>4.0114962709999986</v>
      </c>
    </row>
    <row r="268" spans="1:19">
      <c r="A268" s="9">
        <v>42396</v>
      </c>
      <c r="B268" s="8" t="s">
        <v>23</v>
      </c>
      <c r="C268" s="8">
        <v>8</v>
      </c>
      <c r="D268" s="8" t="s">
        <v>65</v>
      </c>
      <c r="E268">
        <v>149</v>
      </c>
      <c r="F268" s="8">
        <v>1.29</v>
      </c>
      <c r="N268">
        <f t="shared" si="12"/>
        <v>64.913338994249997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5.8550480000000009</v>
      </c>
      <c r="P268">
        <f t="shared" si="13"/>
        <v>5.8550480000000009</v>
      </c>
      <c r="S268">
        <f t="shared" si="14"/>
        <v>1.3069799797500001</v>
      </c>
    </row>
    <row r="269" spans="1:19">
      <c r="A269" s="9">
        <v>42396</v>
      </c>
      <c r="B269" s="8" t="s">
        <v>23</v>
      </c>
      <c r="C269" s="8">
        <v>8</v>
      </c>
      <c r="D269" s="8" t="s">
        <v>65</v>
      </c>
      <c r="E269">
        <v>24</v>
      </c>
      <c r="F269" s="8">
        <v>0.74</v>
      </c>
      <c r="N269">
        <f t="shared" si="12"/>
        <v>3.4406693679999996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-2.9080769999999996</v>
      </c>
      <c r="P269" t="str">
        <f t="shared" si="13"/>
        <v xml:space="preserve"> </v>
      </c>
      <c r="S269">
        <f t="shared" si="14"/>
        <v>0.43008367099999995</v>
      </c>
    </row>
    <row r="270" spans="1:19">
      <c r="A270" s="9">
        <v>42396</v>
      </c>
      <c r="B270" s="8" t="s">
        <v>23</v>
      </c>
      <c r="C270" s="8">
        <v>8</v>
      </c>
      <c r="D270" s="8" t="s">
        <v>65</v>
      </c>
      <c r="E270">
        <v>104</v>
      </c>
      <c r="F270" s="8">
        <v>1.0900000000000001</v>
      </c>
      <c r="N270">
        <f t="shared" si="12"/>
        <v>32.348533351333337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2.700323</v>
      </c>
      <c r="P270">
        <f t="shared" si="13"/>
        <v>2.700323</v>
      </c>
      <c r="S270">
        <f t="shared" si="14"/>
        <v>0.93313076975000009</v>
      </c>
    </row>
    <row r="271" spans="1:19">
      <c r="A271" s="9">
        <v>42396</v>
      </c>
      <c r="B271" s="8" t="s">
        <v>23</v>
      </c>
      <c r="C271" s="8">
        <v>8</v>
      </c>
      <c r="D271" s="8" t="s">
        <v>65</v>
      </c>
      <c r="E271">
        <v>76</v>
      </c>
      <c r="F271" s="8">
        <v>0.98</v>
      </c>
      <c r="N271">
        <f t="shared" si="12"/>
        <v>19.108825894666662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0.73738300000000034</v>
      </c>
      <c r="P271">
        <f t="shared" si="13"/>
        <v>0.73738300000000034</v>
      </c>
      <c r="S271">
        <f t="shared" si="14"/>
        <v>0.7542957589999999</v>
      </c>
    </row>
    <row r="272" spans="1:19">
      <c r="A272" s="9">
        <v>42396</v>
      </c>
      <c r="B272" s="8" t="s">
        <v>23</v>
      </c>
      <c r="C272" s="8">
        <v>8</v>
      </c>
      <c r="D272" s="8" t="s">
        <v>65</v>
      </c>
      <c r="E272">
        <v>16</v>
      </c>
      <c r="F272" s="8">
        <v>0.42</v>
      </c>
      <c r="N272">
        <f t="shared" si="12"/>
        <v>0.73890196799999985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-3.4689169999999998</v>
      </c>
      <c r="P272" t="str">
        <f t="shared" si="13"/>
        <v xml:space="preserve"> </v>
      </c>
      <c r="S272">
        <f t="shared" si="14"/>
        <v>0.13854411899999997</v>
      </c>
    </row>
    <row r="273" spans="1:19">
      <c r="A273" s="9">
        <v>42396</v>
      </c>
      <c r="B273" s="8" t="s">
        <v>23</v>
      </c>
      <c r="C273" s="8">
        <v>8</v>
      </c>
      <c r="D273" s="8" t="s">
        <v>65</v>
      </c>
      <c r="E273">
        <v>29</v>
      </c>
      <c r="F273" s="8">
        <v>0.51</v>
      </c>
      <c r="N273">
        <f t="shared" si="12"/>
        <v>1.9747249342499995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-2.5575519999999998</v>
      </c>
      <c r="P273" t="str">
        <f t="shared" si="13"/>
        <v xml:space="preserve"> </v>
      </c>
      <c r="S273">
        <f t="shared" si="14"/>
        <v>0.20428188975</v>
      </c>
    </row>
    <row r="274" spans="1:19">
      <c r="A274" s="9">
        <v>42396</v>
      </c>
      <c r="B274" s="8" t="s">
        <v>23</v>
      </c>
      <c r="C274" s="8">
        <v>8</v>
      </c>
      <c r="D274" s="8" t="s">
        <v>65</v>
      </c>
      <c r="E274">
        <v>46</v>
      </c>
      <c r="F274" s="8">
        <v>0.62</v>
      </c>
      <c r="N274">
        <f t="shared" si="12"/>
        <v>4.629237584666666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-1.365767</v>
      </c>
      <c r="P274" t="str">
        <f t="shared" si="13"/>
        <v xml:space="preserve"> </v>
      </c>
      <c r="S274">
        <f t="shared" si="14"/>
        <v>0.301906799</v>
      </c>
    </row>
    <row r="275" spans="1:19">
      <c r="A275" s="9">
        <v>42396</v>
      </c>
      <c r="B275" s="8" t="s">
        <v>23</v>
      </c>
      <c r="C275" s="8">
        <v>8</v>
      </c>
      <c r="D275" s="8" t="s">
        <v>65</v>
      </c>
      <c r="E275">
        <v>88</v>
      </c>
      <c r="F275" s="8">
        <v>0.93</v>
      </c>
      <c r="N275">
        <f t="shared" si="12"/>
        <v>19.925848734000002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1.5786430000000005</v>
      </c>
      <c r="P275">
        <f t="shared" si="13"/>
        <v>1.5786430000000005</v>
      </c>
      <c r="S275">
        <f t="shared" si="14"/>
        <v>0.67929029775000005</v>
      </c>
    </row>
    <row r="276" spans="1:19">
      <c r="A276" s="9">
        <v>42396</v>
      </c>
      <c r="B276" s="8" t="s">
        <v>23</v>
      </c>
      <c r="C276" s="8">
        <v>8</v>
      </c>
      <c r="D276" s="8" t="s">
        <v>65</v>
      </c>
      <c r="E276">
        <v>77</v>
      </c>
      <c r="F276" s="8">
        <v>0.73</v>
      </c>
      <c r="N276">
        <f t="shared" si="12"/>
        <v>10.74248374558333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0.80748800000000021</v>
      </c>
      <c r="P276">
        <f t="shared" si="13"/>
        <v>0.80748800000000021</v>
      </c>
      <c r="S276">
        <f t="shared" si="14"/>
        <v>0.41853832774999994</v>
      </c>
    </row>
    <row r="277" spans="1:19">
      <c r="A277" s="9">
        <v>42396</v>
      </c>
      <c r="B277" s="8" t="s">
        <v>23</v>
      </c>
      <c r="C277" s="8">
        <v>8</v>
      </c>
      <c r="D277" s="8" t="s">
        <v>65</v>
      </c>
      <c r="E277">
        <v>32</v>
      </c>
      <c r="F277" s="8">
        <v>1.1499999999999999</v>
      </c>
      <c r="N277">
        <f t="shared" si="12"/>
        <v>11.07934073333333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-2.3472369999999998</v>
      </c>
      <c r="P277" t="str">
        <f t="shared" si="13"/>
        <v xml:space="preserve"> </v>
      </c>
      <c r="S277">
        <f t="shared" si="14"/>
        <v>1.0386881937499999</v>
      </c>
    </row>
    <row r="278" spans="1:19">
      <c r="A278" s="9">
        <v>42396</v>
      </c>
      <c r="B278" s="8" t="s">
        <v>23</v>
      </c>
      <c r="C278" s="8">
        <v>8</v>
      </c>
      <c r="D278" s="8" t="s">
        <v>65</v>
      </c>
      <c r="E278">
        <v>91</v>
      </c>
      <c r="F278" s="8">
        <v>1.06</v>
      </c>
      <c r="N278">
        <f t="shared" si="12"/>
        <v>26.768336473666668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1.788958</v>
      </c>
      <c r="P278">
        <f t="shared" si="13"/>
        <v>1.788958</v>
      </c>
      <c r="S278">
        <f t="shared" si="14"/>
        <v>0.88247263100000006</v>
      </c>
    </row>
    <row r="279" spans="1:19">
      <c r="A279" s="9">
        <v>42396</v>
      </c>
      <c r="B279" s="8" t="s">
        <v>23</v>
      </c>
      <c r="C279" s="8">
        <v>8</v>
      </c>
      <c r="D279" s="8" t="s">
        <v>65</v>
      </c>
      <c r="E279">
        <v>102</v>
      </c>
      <c r="F279" s="8">
        <v>1</v>
      </c>
      <c r="G279" s="8">
        <v>4</v>
      </c>
      <c r="N279">
        <f t="shared" si="12"/>
        <v>26.703514999999996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4.7876014161634997</v>
      </c>
      <c r="P279">
        <f t="shared" si="13"/>
        <v>4.7876014161634997</v>
      </c>
      <c r="S279">
        <f t="shared" si="14"/>
        <v>0.78539749999999997</v>
      </c>
    </row>
    <row r="280" spans="1:19">
      <c r="A280" s="9">
        <v>42396</v>
      </c>
      <c r="B280" s="8" t="s">
        <v>23</v>
      </c>
      <c r="C280" s="8">
        <v>8</v>
      </c>
      <c r="D280" s="8" t="s">
        <v>65</v>
      </c>
      <c r="E280">
        <v>91</v>
      </c>
      <c r="F280" s="8">
        <v>0.88</v>
      </c>
      <c r="N280">
        <f t="shared" si="12"/>
        <v>18.449091994666663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1.788958</v>
      </c>
      <c r="P280">
        <f t="shared" si="13"/>
        <v>1.788958</v>
      </c>
      <c r="S280">
        <f t="shared" si="14"/>
        <v>0.60821182399999996</v>
      </c>
    </row>
    <row r="281" spans="1:19">
      <c r="A281" s="9">
        <v>42396</v>
      </c>
      <c r="B281" s="8" t="s">
        <v>23</v>
      </c>
      <c r="C281" s="8">
        <v>8</v>
      </c>
      <c r="D281" s="8" t="s">
        <v>65</v>
      </c>
      <c r="E281">
        <v>67</v>
      </c>
      <c r="F281" s="8">
        <v>1.3</v>
      </c>
      <c r="N281">
        <f t="shared" si="12"/>
        <v>29.643519641666668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0.10643799999999981</v>
      </c>
      <c r="P281">
        <f t="shared" si="13"/>
        <v>0.10643799999999981</v>
      </c>
      <c r="S281">
        <f t="shared" si="14"/>
        <v>1.3273217750000001</v>
      </c>
    </row>
    <row r="282" spans="1:19">
      <c r="A282" s="9">
        <v>42396</v>
      </c>
      <c r="B282" s="8" t="s">
        <v>23</v>
      </c>
      <c r="C282" s="8">
        <v>8</v>
      </c>
      <c r="D282" s="8" t="s">
        <v>65</v>
      </c>
      <c r="E282">
        <v>150</v>
      </c>
      <c r="F282" s="8">
        <v>1.01</v>
      </c>
      <c r="N282">
        <f t="shared" si="12"/>
        <v>40.059199487499995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5.9251530000000008</v>
      </c>
      <c r="P282">
        <f t="shared" si="13"/>
        <v>5.9251530000000008</v>
      </c>
      <c r="S282">
        <f t="shared" si="14"/>
        <v>0.80118398974999994</v>
      </c>
    </row>
    <row r="283" spans="1:19">
      <c r="A283" s="9">
        <v>42396</v>
      </c>
      <c r="B283" s="8" t="s">
        <v>23</v>
      </c>
      <c r="C283" s="8">
        <v>8</v>
      </c>
      <c r="D283" s="8" t="s">
        <v>65</v>
      </c>
      <c r="E283">
        <v>154</v>
      </c>
      <c r="F283" s="8">
        <v>1.04</v>
      </c>
      <c r="G283" s="8">
        <v>4</v>
      </c>
      <c r="N283">
        <f t="shared" si="12"/>
        <v>43.60694471466666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7.3342762660625098</v>
      </c>
      <c r="P283">
        <f t="shared" si="13"/>
        <v>7.3342762660625098</v>
      </c>
      <c r="S283">
        <f t="shared" si="14"/>
        <v>0.84948593600000011</v>
      </c>
    </row>
    <row r="284" spans="1:19">
      <c r="A284" s="9">
        <v>42396</v>
      </c>
      <c r="B284" s="8" t="s">
        <v>23</v>
      </c>
      <c r="C284" s="8">
        <v>8</v>
      </c>
      <c r="D284" s="8" t="s">
        <v>65</v>
      </c>
      <c r="E284">
        <v>24</v>
      </c>
      <c r="F284" s="8">
        <v>0.48</v>
      </c>
      <c r="N284">
        <f t="shared" si="12"/>
        <v>1.4476446719999998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-2.9080769999999996</v>
      </c>
      <c r="P284" t="str">
        <f t="shared" si="13"/>
        <v xml:space="preserve"> </v>
      </c>
      <c r="S284">
        <f t="shared" si="14"/>
        <v>0.18095558399999997</v>
      </c>
    </row>
    <row r="285" spans="1:19">
      <c r="A285" s="9">
        <v>42396</v>
      </c>
      <c r="B285" s="8" t="s">
        <v>23</v>
      </c>
      <c r="C285" s="8">
        <v>8</v>
      </c>
      <c r="D285" s="8" t="s">
        <v>65</v>
      </c>
      <c r="E285">
        <v>66</v>
      </c>
      <c r="F285" s="8">
        <v>0.95</v>
      </c>
      <c r="N285">
        <f t="shared" si="12"/>
        <v>15.594067362499999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3.6332999999999949E-2</v>
      </c>
      <c r="P285">
        <f t="shared" si="13"/>
        <v>3.6332999999999949E-2</v>
      </c>
      <c r="S285">
        <f t="shared" si="14"/>
        <v>0.70882124375</v>
      </c>
    </row>
    <row r="286" spans="1:19">
      <c r="A286" s="9">
        <v>42396</v>
      </c>
      <c r="B286" s="8" t="s">
        <v>23</v>
      </c>
      <c r="C286" s="8">
        <v>8</v>
      </c>
      <c r="D286" s="8" t="s">
        <v>65</v>
      </c>
      <c r="E286">
        <v>107</v>
      </c>
      <c r="F286" s="8">
        <v>1.08</v>
      </c>
      <c r="G286" s="8">
        <v>1</v>
      </c>
      <c r="N286">
        <f t="shared" si="12"/>
        <v>32.673792636000002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5.1723852292925727</v>
      </c>
      <c r="P286">
        <f t="shared" si="13"/>
        <v>5.1723852292925727</v>
      </c>
      <c r="S286">
        <f t="shared" si="14"/>
        <v>0.91608764400000009</v>
      </c>
    </row>
    <row r="287" spans="1:19">
      <c r="A287" s="9">
        <v>42396</v>
      </c>
      <c r="B287" s="8" t="s">
        <v>23</v>
      </c>
      <c r="C287" s="8">
        <v>8</v>
      </c>
      <c r="D287" s="8" t="s">
        <v>65</v>
      </c>
      <c r="E287">
        <v>18</v>
      </c>
      <c r="F287" s="8">
        <v>0.55000000000000004</v>
      </c>
      <c r="N287">
        <f t="shared" si="12"/>
        <v>1.4254964625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-3.3287069999999996</v>
      </c>
      <c r="P287" t="str">
        <f t="shared" si="13"/>
        <v xml:space="preserve"> </v>
      </c>
      <c r="S287">
        <f t="shared" si="14"/>
        <v>0.23758274375000002</v>
      </c>
    </row>
    <row r="288" spans="1:19">
      <c r="A288" s="9">
        <v>42396</v>
      </c>
      <c r="B288" s="8" t="s">
        <v>23</v>
      </c>
      <c r="C288" s="8">
        <v>8</v>
      </c>
      <c r="D288" s="8" t="s">
        <v>65</v>
      </c>
      <c r="E288">
        <v>80</v>
      </c>
      <c r="F288" s="8">
        <v>0.93</v>
      </c>
      <c r="N288">
        <f t="shared" si="12"/>
        <v>18.11440794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1.0178029999999998</v>
      </c>
      <c r="P288">
        <f t="shared" si="13"/>
        <v>1.0178029999999998</v>
      </c>
      <c r="S288">
        <f t="shared" si="14"/>
        <v>0.67929029775000005</v>
      </c>
    </row>
    <row r="289" spans="1:19">
      <c r="A289" s="9">
        <v>42396</v>
      </c>
      <c r="B289" s="8" t="s">
        <v>23</v>
      </c>
      <c r="C289" s="8">
        <v>8</v>
      </c>
      <c r="D289" s="8" t="s">
        <v>65</v>
      </c>
      <c r="E289">
        <v>70</v>
      </c>
      <c r="F289" s="8">
        <v>0.8</v>
      </c>
      <c r="N289">
        <f t="shared" si="12"/>
        <v>11.728602666666667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0.31675300000000028</v>
      </c>
      <c r="P289">
        <f t="shared" si="13"/>
        <v>0.31675300000000028</v>
      </c>
      <c r="S289">
        <f t="shared" si="14"/>
        <v>0.50265440000000006</v>
      </c>
    </row>
    <row r="290" spans="1:19">
      <c r="A290" s="9">
        <v>42396</v>
      </c>
      <c r="B290" s="8" t="s">
        <v>23</v>
      </c>
      <c r="C290" s="8">
        <v>8</v>
      </c>
      <c r="D290" s="8" t="s">
        <v>65</v>
      </c>
      <c r="E290">
        <v>111</v>
      </c>
      <c r="F290" s="8">
        <v>1.22</v>
      </c>
      <c r="G290" s="8">
        <v>4</v>
      </c>
      <c r="N290">
        <f t="shared" si="12"/>
        <v>43.252468642999993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5.6670565175263787</v>
      </c>
      <c r="P290">
        <f t="shared" si="13"/>
        <v>5.6670565175263787</v>
      </c>
      <c r="S290">
        <f t="shared" si="14"/>
        <v>1.168985639</v>
      </c>
    </row>
    <row r="291" spans="1:19">
      <c r="A291" s="9">
        <v>42396</v>
      </c>
      <c r="B291" s="8" t="s">
        <v>23</v>
      </c>
      <c r="C291" s="8">
        <v>8</v>
      </c>
      <c r="D291" s="8" t="s">
        <v>65</v>
      </c>
      <c r="E291">
        <v>127</v>
      </c>
      <c r="F291" s="8">
        <v>1.4</v>
      </c>
      <c r="N291">
        <f t="shared" si="12"/>
        <v>65.167048566666651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4.3127380000000004</v>
      </c>
      <c r="P291">
        <f t="shared" si="13"/>
        <v>4.3127380000000004</v>
      </c>
      <c r="S291">
        <f t="shared" si="14"/>
        <v>1.5393790999999997</v>
      </c>
    </row>
    <row r="292" spans="1:19">
      <c r="A292" s="9">
        <v>42396</v>
      </c>
      <c r="B292" s="8" t="s">
        <v>23</v>
      </c>
      <c r="C292" s="8">
        <v>8</v>
      </c>
      <c r="D292" s="8" t="s">
        <v>65</v>
      </c>
      <c r="E292">
        <v>128</v>
      </c>
      <c r="F292" s="8">
        <v>1.56</v>
      </c>
      <c r="G292" s="8">
        <v>7</v>
      </c>
      <c r="N292">
        <f t="shared" si="12"/>
        <v>81.550649855999993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7.5549131209480702</v>
      </c>
      <c r="P292">
        <f t="shared" si="13"/>
        <v>7.5549131209480702</v>
      </c>
      <c r="S292">
        <f t="shared" si="14"/>
        <v>1.9113433560000002</v>
      </c>
    </row>
    <row r="293" spans="1:19">
      <c r="A293" s="9">
        <v>42396</v>
      </c>
      <c r="B293" s="8" t="s">
        <v>23</v>
      </c>
      <c r="C293" s="8">
        <v>8</v>
      </c>
      <c r="D293" s="8" t="s">
        <v>65</v>
      </c>
      <c r="E293">
        <v>89</v>
      </c>
      <c r="F293" s="8">
        <v>0.81</v>
      </c>
      <c r="N293">
        <f t="shared" si="12"/>
        <v>15.287212559250001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1.6487480000000003</v>
      </c>
      <c r="P293">
        <f t="shared" si="13"/>
        <v>1.6487480000000003</v>
      </c>
      <c r="S293">
        <f t="shared" si="14"/>
        <v>0.51529929975000011</v>
      </c>
    </row>
    <row r="294" spans="1:19">
      <c r="A294" s="9">
        <v>42396</v>
      </c>
      <c r="B294" s="8" t="s">
        <v>23</v>
      </c>
      <c r="C294" s="8">
        <v>8</v>
      </c>
      <c r="D294" s="8" t="s">
        <v>65</v>
      </c>
      <c r="E294">
        <v>83</v>
      </c>
      <c r="F294" s="8">
        <v>1.26</v>
      </c>
      <c r="G294" s="8">
        <v>4</v>
      </c>
      <c r="J294" s="8"/>
      <c r="N294">
        <f t="shared" si="12"/>
        <v>34.497485631000004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4.3069393850552675</v>
      </c>
      <c r="P294">
        <f t="shared" si="13"/>
        <v>4.3069393850552675</v>
      </c>
      <c r="S294">
        <f t="shared" si="14"/>
        <v>1.246897071</v>
      </c>
    </row>
    <row r="295" spans="1:19">
      <c r="A295" s="9">
        <v>42396</v>
      </c>
      <c r="B295" s="8" t="s">
        <v>23</v>
      </c>
      <c r="C295" s="8">
        <v>8</v>
      </c>
      <c r="D295" s="8" t="s">
        <v>65</v>
      </c>
      <c r="E295">
        <v>12</v>
      </c>
      <c r="F295" s="8">
        <v>1.75</v>
      </c>
      <c r="J295" s="8"/>
      <c r="N295">
        <f t="shared" si="12"/>
        <v>9.6211193749999993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-3.7493369999999997</v>
      </c>
      <c r="P295" t="str">
        <f t="shared" si="13"/>
        <v xml:space="preserve"> </v>
      </c>
      <c r="S295">
        <f t="shared" si="14"/>
        <v>2.4052798437499998</v>
      </c>
    </row>
    <row r="296" spans="1:19">
      <c r="A296" s="9">
        <v>42396</v>
      </c>
      <c r="B296" s="8" t="s">
        <v>23</v>
      </c>
      <c r="C296" s="8">
        <v>8</v>
      </c>
      <c r="D296" s="8" t="s">
        <v>65</v>
      </c>
      <c r="E296">
        <v>118</v>
      </c>
      <c r="F296" s="8">
        <v>1.24</v>
      </c>
      <c r="N296">
        <f t="shared" si="12"/>
        <v>47.500003042666663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3.6817929999999999</v>
      </c>
      <c r="P296">
        <f t="shared" si="13"/>
        <v>3.6817929999999999</v>
      </c>
      <c r="S296">
        <f t="shared" si="14"/>
        <v>1.207627196</v>
      </c>
    </row>
    <row r="297" spans="1:19">
      <c r="A297" s="9">
        <v>42396</v>
      </c>
      <c r="B297" s="8" t="s">
        <v>23</v>
      </c>
      <c r="C297" s="8">
        <v>8</v>
      </c>
      <c r="D297" s="8" t="s">
        <v>65</v>
      </c>
      <c r="E297">
        <v>48</v>
      </c>
      <c r="F297" s="8">
        <v>1.65</v>
      </c>
      <c r="N297">
        <f t="shared" si="12"/>
        <v>34.211915099999992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-1.2255569999999998</v>
      </c>
      <c r="P297" t="str">
        <f t="shared" si="13"/>
        <v xml:space="preserve"> </v>
      </c>
      <c r="S297">
        <f t="shared" si="14"/>
        <v>2.1382446937499995</v>
      </c>
    </row>
    <row r="298" spans="1:19">
      <c r="A298" s="9">
        <v>42396</v>
      </c>
      <c r="B298" s="8" t="s">
        <v>23</v>
      </c>
      <c r="C298" s="8">
        <v>8</v>
      </c>
      <c r="D298" s="8" t="s">
        <v>65</v>
      </c>
      <c r="E298">
        <v>69</v>
      </c>
      <c r="F298" s="8">
        <v>1.2</v>
      </c>
      <c r="N298">
        <f t="shared" si="12"/>
        <v>26.012365199999998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0.24664800000000042</v>
      </c>
      <c r="P298">
        <f t="shared" si="13"/>
        <v>0.24664800000000042</v>
      </c>
      <c r="S298">
        <f t="shared" si="14"/>
        <v>1.1309723999999999</v>
      </c>
    </row>
    <row r="299" spans="1:19">
      <c r="A299" s="9">
        <v>42396</v>
      </c>
      <c r="B299" s="8" t="s">
        <v>23</v>
      </c>
      <c r="C299" s="8">
        <v>8</v>
      </c>
      <c r="D299" s="8" t="s">
        <v>65</v>
      </c>
      <c r="E299">
        <v>98</v>
      </c>
      <c r="F299" s="8">
        <v>1.4</v>
      </c>
      <c r="N299">
        <f t="shared" si="12"/>
        <v>50.286383933333326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2.279693</v>
      </c>
      <c r="P299">
        <f t="shared" si="13"/>
        <v>2.279693</v>
      </c>
      <c r="S299">
        <f t="shared" si="14"/>
        <v>1.5393790999999997</v>
      </c>
    </row>
    <row r="300" spans="1:19">
      <c r="A300" s="9">
        <v>42396</v>
      </c>
      <c r="B300" s="8" t="s">
        <v>23</v>
      </c>
      <c r="C300" s="8">
        <v>8</v>
      </c>
      <c r="D300" s="8" t="s">
        <v>65</v>
      </c>
      <c r="E300">
        <v>12</v>
      </c>
      <c r="F300" s="8">
        <v>1.34</v>
      </c>
      <c r="N300">
        <f t="shared" si="12"/>
        <v>5.6410390039999996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-3.7493369999999997</v>
      </c>
      <c r="P300" t="str">
        <f t="shared" si="13"/>
        <v xml:space="preserve"> </v>
      </c>
      <c r="S300">
        <f t="shared" si="14"/>
        <v>1.4102597510000001</v>
      </c>
    </row>
    <row r="301" spans="1:19">
      <c r="A301" s="9">
        <v>42396</v>
      </c>
      <c r="B301" s="8" t="s">
        <v>23</v>
      </c>
      <c r="C301" s="8">
        <v>8</v>
      </c>
      <c r="D301" s="8" t="s">
        <v>65</v>
      </c>
      <c r="E301">
        <v>119</v>
      </c>
      <c r="F301" s="8">
        <v>0.99</v>
      </c>
      <c r="N301">
        <f t="shared" si="12"/>
        <v>30.534134226749998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3.7518979999999997</v>
      </c>
      <c r="P301">
        <f t="shared" si="13"/>
        <v>3.7518979999999997</v>
      </c>
      <c r="S301">
        <f t="shared" si="14"/>
        <v>0.76976808975</v>
      </c>
    </row>
    <row r="302" spans="1:19">
      <c r="A302" s="9">
        <v>42396</v>
      </c>
      <c r="B302" s="8" t="s">
        <v>23</v>
      </c>
      <c r="C302" s="8">
        <v>8</v>
      </c>
      <c r="D302" s="8" t="s">
        <v>65</v>
      </c>
      <c r="E302">
        <v>95</v>
      </c>
      <c r="F302" s="8">
        <v>1.35</v>
      </c>
      <c r="N302">
        <f t="shared" si="12"/>
        <v>45.327253218750002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2.0693780000000004</v>
      </c>
      <c r="P302">
        <f t="shared" si="13"/>
        <v>2.0693780000000004</v>
      </c>
      <c r="S302">
        <f t="shared" si="14"/>
        <v>1.4313869437500002</v>
      </c>
    </row>
    <row r="303" spans="1:19">
      <c r="A303" s="9">
        <v>42396</v>
      </c>
      <c r="B303" s="8" t="s">
        <v>23</v>
      </c>
      <c r="C303" s="8">
        <v>8</v>
      </c>
      <c r="D303" s="8" t="s">
        <v>65</v>
      </c>
      <c r="E303">
        <v>45</v>
      </c>
      <c r="F303" s="8">
        <v>1.5</v>
      </c>
      <c r="N303">
        <f t="shared" si="12"/>
        <v>26.507165624999995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-1.4358719999999998</v>
      </c>
      <c r="P303" t="str">
        <f t="shared" si="13"/>
        <v xml:space="preserve"> </v>
      </c>
      <c r="S303">
        <f t="shared" si="14"/>
        <v>1.767144375</v>
      </c>
    </row>
    <row r="304" spans="1:19">
      <c r="A304" s="9">
        <v>42396</v>
      </c>
      <c r="B304" s="8" t="s">
        <v>23</v>
      </c>
      <c r="C304" s="8">
        <v>8</v>
      </c>
      <c r="D304" s="8" t="s">
        <v>65</v>
      </c>
      <c r="E304">
        <v>91</v>
      </c>
      <c r="F304" s="8">
        <v>1.66</v>
      </c>
      <c r="N304">
        <f t="shared" si="12"/>
        <v>65.648654313666654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1.788958</v>
      </c>
      <c r="P304">
        <f t="shared" si="13"/>
        <v>1.788958</v>
      </c>
      <c r="S304">
        <f t="shared" si="14"/>
        <v>2.1642413509999998</v>
      </c>
    </row>
    <row r="305" spans="1:19">
      <c r="A305" s="9">
        <v>42396</v>
      </c>
      <c r="B305" s="8" t="s">
        <v>23</v>
      </c>
      <c r="C305" s="8">
        <v>8</v>
      </c>
      <c r="D305" s="8" t="s">
        <v>65</v>
      </c>
      <c r="E305">
        <v>63</v>
      </c>
      <c r="F305" s="8">
        <v>0.8</v>
      </c>
      <c r="N305">
        <f t="shared" si="12"/>
        <v>10.5557424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-0.17398199999999964</v>
      </c>
      <c r="P305" t="str">
        <f t="shared" si="13"/>
        <v xml:space="preserve"> </v>
      </c>
      <c r="S305">
        <f t="shared" si="14"/>
        <v>0.50265440000000006</v>
      </c>
    </row>
    <row r="306" spans="1:19">
      <c r="A306" s="9">
        <v>42396</v>
      </c>
      <c r="B306" s="8" t="s">
        <v>23</v>
      </c>
      <c r="C306" s="8">
        <v>8</v>
      </c>
      <c r="D306" s="8" t="s">
        <v>65</v>
      </c>
      <c r="E306">
        <v>98</v>
      </c>
      <c r="F306" s="8">
        <v>1.06</v>
      </c>
      <c r="G306" s="8">
        <v>5</v>
      </c>
      <c r="N306">
        <f t="shared" si="12"/>
        <v>28.827439279333337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4.7019652894898849</v>
      </c>
      <c r="P306">
        <f t="shared" si="13"/>
        <v>4.7019652894898849</v>
      </c>
      <c r="S306">
        <f t="shared" si="14"/>
        <v>0.88247263100000006</v>
      </c>
    </row>
    <row r="307" spans="1:19">
      <c r="A307" s="9">
        <v>42396</v>
      </c>
      <c r="B307" s="8" t="s">
        <v>23</v>
      </c>
      <c r="C307" s="8">
        <v>8</v>
      </c>
      <c r="D307" s="8" t="s">
        <v>65</v>
      </c>
      <c r="E307">
        <v>62</v>
      </c>
      <c r="F307" s="8">
        <v>1.2</v>
      </c>
      <c r="N307">
        <f t="shared" si="12"/>
        <v>23.373429599999998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-0.2440869999999995</v>
      </c>
      <c r="P307" t="str">
        <f t="shared" si="13"/>
        <v xml:space="preserve"> </v>
      </c>
      <c r="S307">
        <f t="shared" si="14"/>
        <v>1.1309723999999999</v>
      </c>
    </row>
    <row r="308" spans="1:19">
      <c r="A308" s="9">
        <v>42396</v>
      </c>
      <c r="B308" s="8" t="s">
        <v>23</v>
      </c>
      <c r="C308" s="8">
        <v>8</v>
      </c>
      <c r="D308" s="8" t="s">
        <v>65</v>
      </c>
      <c r="E308">
        <v>79</v>
      </c>
      <c r="F308" s="8">
        <v>1.3</v>
      </c>
      <c r="G308" s="8">
        <v>6</v>
      </c>
      <c r="N308">
        <f t="shared" si="12"/>
        <v>34.952806741666663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4.1675727346077345</v>
      </c>
      <c r="P308">
        <f t="shared" si="13"/>
        <v>4.1675727346077345</v>
      </c>
      <c r="S308">
        <f t="shared" si="14"/>
        <v>1.3273217750000001</v>
      </c>
    </row>
    <row r="309" spans="1:19">
      <c r="A309" s="9">
        <v>42396</v>
      </c>
      <c r="B309" s="8" t="s">
        <v>23</v>
      </c>
      <c r="C309" s="8">
        <v>8</v>
      </c>
      <c r="D309" s="8" t="s">
        <v>65</v>
      </c>
      <c r="E309">
        <v>120</v>
      </c>
      <c r="F309" s="8">
        <v>1.2</v>
      </c>
      <c r="N309">
        <f t="shared" si="12"/>
        <v>45.238895999999997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3.8220029999999996</v>
      </c>
      <c r="P309">
        <f t="shared" si="13"/>
        <v>3.8220029999999996</v>
      </c>
      <c r="S309">
        <f t="shared" si="14"/>
        <v>1.1309723999999999</v>
      </c>
    </row>
    <row r="310" spans="1:19">
      <c r="A310" s="9">
        <v>42396</v>
      </c>
      <c r="B310" s="8" t="s">
        <v>23</v>
      </c>
      <c r="C310" s="8">
        <v>8</v>
      </c>
      <c r="D310" s="8" t="s">
        <v>65</v>
      </c>
      <c r="E310">
        <v>144</v>
      </c>
      <c r="F310" s="8">
        <v>1.35</v>
      </c>
      <c r="G310" s="8">
        <v>6</v>
      </c>
      <c r="N310">
        <f t="shared" si="12"/>
        <v>68.706573300000002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7.75743589617597</v>
      </c>
      <c r="P310">
        <f t="shared" si="13"/>
        <v>7.75743589617597</v>
      </c>
      <c r="S310">
        <f t="shared" si="14"/>
        <v>1.4313869437500002</v>
      </c>
    </row>
    <row r="311" spans="1:19">
      <c r="A311" s="9">
        <v>42396</v>
      </c>
      <c r="B311" s="8" t="s">
        <v>23</v>
      </c>
      <c r="C311" s="8">
        <v>8</v>
      </c>
      <c r="D311" s="8" t="s">
        <v>65</v>
      </c>
      <c r="E311">
        <v>32</v>
      </c>
      <c r="F311" s="8">
        <v>0.97</v>
      </c>
      <c r="N311">
        <f t="shared" si="12"/>
        <v>7.882458749333332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-2.3472369999999998</v>
      </c>
      <c r="P311" t="str">
        <f t="shared" si="13"/>
        <v xml:space="preserve"> </v>
      </c>
      <c r="S311">
        <f t="shared" si="14"/>
        <v>0.7389805077499999</v>
      </c>
    </row>
    <row r="312" spans="1:19">
      <c r="A312" s="9">
        <v>42396</v>
      </c>
      <c r="B312" s="8" t="s">
        <v>23</v>
      </c>
      <c r="C312" s="8">
        <v>8</v>
      </c>
      <c r="D312" s="8" t="s">
        <v>65</v>
      </c>
      <c r="E312">
        <v>94</v>
      </c>
      <c r="F312" s="8">
        <v>0.81</v>
      </c>
      <c r="N312">
        <f t="shared" si="12"/>
        <v>16.146044725500001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1.9992730000000005</v>
      </c>
      <c r="P312">
        <f t="shared" si="13"/>
        <v>1.9992730000000005</v>
      </c>
      <c r="S312">
        <f t="shared" si="14"/>
        <v>0.51529929975000011</v>
      </c>
    </row>
    <row r="313" spans="1:19">
      <c r="A313" s="9">
        <v>42396</v>
      </c>
      <c r="B313" s="8" t="s">
        <v>23</v>
      </c>
      <c r="C313" s="8">
        <v>8</v>
      </c>
      <c r="D313" s="8" t="s">
        <v>65</v>
      </c>
      <c r="E313">
        <v>95</v>
      </c>
      <c r="F313" s="8">
        <v>1.24</v>
      </c>
      <c r="G313" s="8">
        <v>6</v>
      </c>
      <c r="N313">
        <f t="shared" si="12"/>
        <v>38.241527873333332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4.889586114896419</v>
      </c>
      <c r="P313">
        <f t="shared" si="13"/>
        <v>4.889586114896419</v>
      </c>
      <c r="S313">
        <f t="shared" si="14"/>
        <v>1.207627196</v>
      </c>
    </row>
    <row r="314" spans="1:19">
      <c r="A314" s="9">
        <v>42396</v>
      </c>
      <c r="B314" s="8" t="s">
        <v>23</v>
      </c>
      <c r="C314" s="8">
        <v>8</v>
      </c>
      <c r="D314" s="8" t="s">
        <v>65</v>
      </c>
      <c r="E314">
        <v>15</v>
      </c>
      <c r="F314" s="8">
        <v>0.6</v>
      </c>
      <c r="N314">
        <f t="shared" si="12"/>
        <v>1.4137154999999999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-3.5390220000000001</v>
      </c>
      <c r="P314" t="str">
        <f t="shared" si="13"/>
        <v xml:space="preserve"> </v>
      </c>
      <c r="S314">
        <f t="shared" si="14"/>
        <v>0.28274309999999997</v>
      </c>
    </row>
    <row r="315" spans="1:19">
      <c r="A315" s="9">
        <v>42396</v>
      </c>
      <c r="B315" s="8" t="s">
        <v>23</v>
      </c>
      <c r="C315" s="8">
        <v>8</v>
      </c>
      <c r="D315" s="8" t="s">
        <v>65</v>
      </c>
      <c r="E315">
        <v>134</v>
      </c>
      <c r="F315" s="8">
        <v>2.5</v>
      </c>
      <c r="G315" s="8">
        <v>5</v>
      </c>
      <c r="N315">
        <f t="shared" si="12"/>
        <v>219.2568020833333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12.220217758205207</v>
      </c>
      <c r="P315">
        <f t="shared" si="13"/>
        <v>12.220217758205207</v>
      </c>
      <c r="S315">
        <f t="shared" si="14"/>
        <v>4.9087343749999999</v>
      </c>
    </row>
    <row r="316" spans="1:19">
      <c r="A316" s="9">
        <v>42396</v>
      </c>
      <c r="B316" s="8" t="s">
        <v>23</v>
      </c>
      <c r="C316" s="8">
        <v>5</v>
      </c>
      <c r="D316" s="8"/>
      <c r="M316" t="s">
        <v>64</v>
      </c>
      <c r="N316" t="str">
        <f t="shared" si="12"/>
        <v>NA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0</v>
      </c>
      <c r="P316">
        <f t="shared" si="13"/>
        <v>0</v>
      </c>
      <c r="S316">
        <f t="shared" si="14"/>
        <v>0</v>
      </c>
    </row>
    <row r="317" spans="1:19">
      <c r="A317" s="9">
        <v>42396</v>
      </c>
      <c r="B317" s="8" t="s">
        <v>23</v>
      </c>
      <c r="C317" s="8">
        <v>3</v>
      </c>
      <c r="D317" s="8" t="s">
        <v>61</v>
      </c>
      <c r="F317" s="8">
        <v>4.1900000000000004</v>
      </c>
      <c r="J317">
        <f>111+113+129+139+151+152+157</f>
        <v>952</v>
      </c>
      <c r="K317">
        <v>7</v>
      </c>
      <c r="L317">
        <v>157</v>
      </c>
      <c r="N317" t="str">
        <f t="shared" si="12"/>
        <v>NA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25.839808000000005</v>
      </c>
      <c r="P317">
        <f t="shared" si="13"/>
        <v>25.839808000000005</v>
      </c>
      <c r="S317">
        <f t="shared" si="14"/>
        <v>13.788517049750002</v>
      </c>
    </row>
    <row r="318" spans="1:19">
      <c r="A318" s="9">
        <v>42396</v>
      </c>
      <c r="B318" s="8" t="s">
        <v>23</v>
      </c>
      <c r="C318" s="8">
        <v>3</v>
      </c>
      <c r="D318" s="8" t="s">
        <v>61</v>
      </c>
      <c r="F318" s="8">
        <v>1.44</v>
      </c>
      <c r="J318">
        <f>23+28+40+49</f>
        <v>140</v>
      </c>
      <c r="K318">
        <v>4</v>
      </c>
      <c r="L318">
        <v>49</v>
      </c>
      <c r="N318" t="str">
        <f t="shared" si="12"/>
        <v>NA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3.3122669999999985</v>
      </c>
      <c r="P318">
        <f t="shared" si="13"/>
        <v>3.3122669999999985</v>
      </c>
      <c r="S318">
        <f t="shared" si="14"/>
        <v>1.6286002559999999</v>
      </c>
    </row>
    <row r="319" spans="1:19">
      <c r="A319" s="9">
        <v>42396</v>
      </c>
      <c r="B319" s="8" t="s">
        <v>23</v>
      </c>
      <c r="C319" s="8">
        <v>3</v>
      </c>
      <c r="D319" s="8" t="s">
        <v>65</v>
      </c>
      <c r="E319">
        <v>76</v>
      </c>
      <c r="F319" s="8">
        <v>0.28999999999999998</v>
      </c>
      <c r="N319">
        <f t="shared" si="12"/>
        <v>1.6733155536666662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0.73738300000000034</v>
      </c>
      <c r="P319">
        <f t="shared" si="13"/>
        <v>0.73738300000000034</v>
      </c>
      <c r="S319">
        <f t="shared" si="14"/>
        <v>6.6051929749999988E-2</v>
      </c>
    </row>
    <row r="320" spans="1:19">
      <c r="A320" s="9">
        <v>42396</v>
      </c>
      <c r="B320" s="8" t="s">
        <v>23</v>
      </c>
      <c r="C320" s="8">
        <v>3</v>
      </c>
      <c r="D320" s="8" t="s">
        <v>65</v>
      </c>
      <c r="E320">
        <v>93</v>
      </c>
      <c r="F320" s="8">
        <v>1.1299999999999999</v>
      </c>
      <c r="N320">
        <f t="shared" si="12"/>
        <v>31.089096100249989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1.9291680000000007</v>
      </c>
      <c r="P320">
        <f t="shared" si="13"/>
        <v>1.9291680000000007</v>
      </c>
      <c r="S320">
        <f t="shared" si="14"/>
        <v>1.0028740677499997</v>
      </c>
    </row>
    <row r="321" spans="1:19">
      <c r="A321" s="9">
        <v>42396</v>
      </c>
      <c r="B321" s="8" t="s">
        <v>23</v>
      </c>
      <c r="C321" s="8">
        <v>3</v>
      </c>
      <c r="D321" s="8" t="s">
        <v>65</v>
      </c>
      <c r="E321">
        <v>83</v>
      </c>
      <c r="F321" s="8">
        <v>0.98</v>
      </c>
      <c r="N321">
        <f t="shared" si="12"/>
        <v>20.86884933233333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1.2281180000000003</v>
      </c>
      <c r="P321">
        <f t="shared" si="13"/>
        <v>1.2281180000000003</v>
      </c>
      <c r="S321">
        <f t="shared" si="14"/>
        <v>0.7542957589999999</v>
      </c>
    </row>
    <row r="322" spans="1:19">
      <c r="A322" s="9">
        <v>42396</v>
      </c>
      <c r="B322" s="8" t="s">
        <v>23</v>
      </c>
      <c r="C322" s="8">
        <v>3</v>
      </c>
      <c r="D322" s="8" t="s">
        <v>65</v>
      </c>
      <c r="E322">
        <v>13</v>
      </c>
      <c r="F322" s="8">
        <v>0.67</v>
      </c>
      <c r="N322">
        <f t="shared" si="12"/>
        <v>1.5277813969166667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-3.6792319999999998</v>
      </c>
      <c r="P322" t="str">
        <f t="shared" si="13"/>
        <v xml:space="preserve"> </v>
      </c>
      <c r="S322">
        <f t="shared" si="14"/>
        <v>0.35256493775000003</v>
      </c>
    </row>
    <row r="323" spans="1:19">
      <c r="A323" s="9">
        <v>42396</v>
      </c>
      <c r="B323" s="8" t="s">
        <v>23</v>
      </c>
      <c r="C323" s="8">
        <v>3</v>
      </c>
      <c r="D323" s="8" t="s">
        <v>65</v>
      </c>
      <c r="E323">
        <v>113</v>
      </c>
      <c r="F323" s="8">
        <v>1.4</v>
      </c>
      <c r="G323" s="8">
        <v>5</v>
      </c>
      <c r="N323">
        <f t="shared" si="12"/>
        <v>57.983279433333323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6.2184160827048229</v>
      </c>
      <c r="P323">
        <f t="shared" si="13"/>
        <v>6.2184160827048229</v>
      </c>
      <c r="S323">
        <f t="shared" si="14"/>
        <v>1.5393790999999997</v>
      </c>
    </row>
    <row r="324" spans="1:19">
      <c r="A324" s="9">
        <v>42396</v>
      </c>
      <c r="B324" s="8" t="s">
        <v>23</v>
      </c>
      <c r="C324" s="8">
        <v>3</v>
      </c>
      <c r="D324" s="8" t="s">
        <v>65</v>
      </c>
      <c r="E324">
        <v>30</v>
      </c>
      <c r="F324" s="8">
        <v>1.25</v>
      </c>
      <c r="N324">
        <f t="shared" ref="N324:N387" si="15">IF(OR(D324="S. acutus", D324="S. tabernaemontani", D324="S. californicus"),(1/3)*(3.14159)*((F324/2)^2)*E324,"NA")</f>
        <v>12.271835937499999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-2.487447</v>
      </c>
      <c r="P324" t="str">
        <f t="shared" si="13"/>
        <v xml:space="preserve"> </v>
      </c>
      <c r="S324">
        <f t="shared" si="14"/>
        <v>1.22718359375</v>
      </c>
    </row>
    <row r="325" spans="1:19">
      <c r="A325" s="9">
        <v>42396</v>
      </c>
      <c r="B325" s="8" t="s">
        <v>23</v>
      </c>
      <c r="C325" s="8">
        <v>3</v>
      </c>
      <c r="D325" s="8" t="s">
        <v>65</v>
      </c>
      <c r="E325">
        <v>92</v>
      </c>
      <c r="F325" s="8">
        <v>1.3</v>
      </c>
      <c r="N325">
        <f t="shared" si="15"/>
        <v>40.704534433333336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1.8590629999999999</v>
      </c>
      <c r="P325">
        <f t="shared" ref="P325:P388" si="16">IF(O325&lt;0," ",O325)</f>
        <v>1.8590629999999999</v>
      </c>
      <c r="S325">
        <f t="shared" ref="S325:S388" si="17">3.14159*((F325/2)^2)</f>
        <v>1.3273217750000001</v>
      </c>
    </row>
    <row r="326" spans="1:19">
      <c r="A326" s="9">
        <v>42396</v>
      </c>
      <c r="B326" s="8" t="s">
        <v>23</v>
      </c>
      <c r="C326" s="8">
        <v>3</v>
      </c>
      <c r="D326" s="8" t="s">
        <v>65</v>
      </c>
      <c r="E326">
        <v>201</v>
      </c>
      <c r="F326" s="8">
        <v>1.55</v>
      </c>
      <c r="G326" s="8">
        <v>4</v>
      </c>
      <c r="N326">
        <f t="shared" si="15"/>
        <v>126.42347208125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11.810876682141123</v>
      </c>
      <c r="P326">
        <f t="shared" si="16"/>
        <v>11.810876682141123</v>
      </c>
      <c r="S326">
        <f t="shared" si="17"/>
        <v>1.8869174937500002</v>
      </c>
    </row>
    <row r="327" spans="1:19">
      <c r="A327" s="9">
        <v>42396</v>
      </c>
      <c r="B327" s="8" t="s">
        <v>23</v>
      </c>
      <c r="C327" s="8">
        <v>3</v>
      </c>
      <c r="D327" s="8" t="s">
        <v>65</v>
      </c>
      <c r="E327">
        <v>13</v>
      </c>
      <c r="F327" s="8">
        <v>0.67</v>
      </c>
      <c r="N327">
        <f t="shared" si="15"/>
        <v>1.5277813969166667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-3.6792319999999998</v>
      </c>
      <c r="P327" t="str">
        <f t="shared" si="16"/>
        <v xml:space="preserve"> </v>
      </c>
      <c r="S327">
        <f t="shared" si="17"/>
        <v>0.35256493775000003</v>
      </c>
    </row>
    <row r="328" spans="1:19">
      <c r="A328" s="9">
        <v>42396</v>
      </c>
      <c r="B328" s="8" t="s">
        <v>23</v>
      </c>
      <c r="C328" s="8">
        <v>3</v>
      </c>
      <c r="D328" s="8" t="s">
        <v>65</v>
      </c>
      <c r="E328">
        <v>18</v>
      </c>
      <c r="F328" s="8">
        <v>0.48</v>
      </c>
      <c r="N328">
        <f t="shared" si="15"/>
        <v>1.0857335039999998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-3.3287069999999996</v>
      </c>
      <c r="P328" t="str">
        <f t="shared" si="16"/>
        <v xml:space="preserve"> </v>
      </c>
      <c r="S328">
        <f t="shared" si="17"/>
        <v>0.18095558399999997</v>
      </c>
    </row>
    <row r="329" spans="1:19">
      <c r="A329" s="9">
        <v>42396</v>
      </c>
      <c r="B329" s="8" t="s">
        <v>24</v>
      </c>
      <c r="C329" s="8">
        <v>38</v>
      </c>
      <c r="D329" s="8" t="s">
        <v>61</v>
      </c>
      <c r="F329" s="8">
        <v>4.03</v>
      </c>
      <c r="J329">
        <f>74+113+218+237+246+259</f>
        <v>1147</v>
      </c>
      <c r="K329">
        <v>6</v>
      </c>
      <c r="L329">
        <v>259</v>
      </c>
      <c r="N329" t="str">
        <f t="shared" si="15"/>
        <v>NA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20.417396000000004</v>
      </c>
      <c r="P329">
        <f t="shared" si="16"/>
        <v>20.417396000000004</v>
      </c>
      <c r="S329">
        <f t="shared" si="17"/>
        <v>12.755562257750002</v>
      </c>
    </row>
    <row r="330" spans="1:19">
      <c r="A330" s="9">
        <v>42396</v>
      </c>
      <c r="B330" s="8" t="s">
        <v>24</v>
      </c>
      <c r="C330" s="8">
        <v>38</v>
      </c>
      <c r="D330" s="8" t="s">
        <v>61</v>
      </c>
      <c r="F330" s="8">
        <v>1.94</v>
      </c>
      <c r="J330">
        <f>148+198</f>
        <v>346</v>
      </c>
      <c r="K330">
        <v>2</v>
      </c>
      <c r="L330">
        <v>198</v>
      </c>
      <c r="N330" t="str">
        <f t="shared" si="15"/>
        <v>NA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-8.2150019999999984</v>
      </c>
      <c r="P330" t="str">
        <f t="shared" si="16"/>
        <v xml:space="preserve"> </v>
      </c>
      <c r="S330">
        <f t="shared" si="17"/>
        <v>2.9559220309999996</v>
      </c>
    </row>
    <row r="331" spans="1:19">
      <c r="A331" s="9">
        <v>42396</v>
      </c>
      <c r="B331" s="8" t="s">
        <v>24</v>
      </c>
      <c r="C331" s="8">
        <v>38</v>
      </c>
      <c r="D331" s="8" t="s">
        <v>61</v>
      </c>
      <c r="F331" s="8">
        <v>1.7</v>
      </c>
      <c r="J331">
        <f>129+176+179</f>
        <v>484</v>
      </c>
      <c r="K331">
        <v>3</v>
      </c>
      <c r="L331">
        <v>179</v>
      </c>
      <c r="N331" t="str">
        <f t="shared" si="15"/>
        <v>NA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3.4244899999999987</v>
      </c>
      <c r="P331">
        <f t="shared" si="16"/>
        <v>3.4244899999999987</v>
      </c>
      <c r="S331">
        <f t="shared" si="17"/>
        <v>2.2697987749999995</v>
      </c>
    </row>
    <row r="332" spans="1:19">
      <c r="A332" s="9">
        <v>42396</v>
      </c>
      <c r="B332" s="8" t="s">
        <v>24</v>
      </c>
      <c r="C332" s="8">
        <v>38</v>
      </c>
      <c r="D332" s="8" t="s">
        <v>61</v>
      </c>
      <c r="F332" s="8">
        <v>2.36</v>
      </c>
      <c r="J332">
        <f>212+222</f>
        <v>434</v>
      </c>
      <c r="K332">
        <v>2</v>
      </c>
      <c r="L332">
        <v>222</v>
      </c>
      <c r="N332" t="str">
        <f t="shared" si="15"/>
        <v>NA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-7.1944420000000022</v>
      </c>
      <c r="P332" t="str">
        <f t="shared" si="16"/>
        <v xml:space="preserve"> </v>
      </c>
      <c r="S332">
        <f t="shared" si="17"/>
        <v>4.374349915999999</v>
      </c>
    </row>
    <row r="333" spans="1:19">
      <c r="A333" s="9">
        <v>42396</v>
      </c>
      <c r="B333" s="8" t="s">
        <v>24</v>
      </c>
      <c r="C333" s="8">
        <v>38</v>
      </c>
      <c r="D333" s="8" t="s">
        <v>61</v>
      </c>
      <c r="F333" s="8">
        <v>4.3</v>
      </c>
      <c r="J333">
        <f>73+92+195+248+289</f>
        <v>897</v>
      </c>
      <c r="K333">
        <v>5</v>
      </c>
      <c r="L333">
        <v>289</v>
      </c>
      <c r="N333" t="str">
        <f t="shared" si="15"/>
        <v>NA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-5.0363509999999962</v>
      </c>
      <c r="P333" t="str">
        <f t="shared" si="16"/>
        <v xml:space="preserve"> </v>
      </c>
      <c r="S333">
        <f t="shared" si="17"/>
        <v>14.521999774999998</v>
      </c>
    </row>
    <row r="334" spans="1:19">
      <c r="A334" s="9">
        <v>42396</v>
      </c>
      <c r="B334" s="8" t="s">
        <v>24</v>
      </c>
      <c r="C334" s="8">
        <v>38</v>
      </c>
      <c r="D334" s="8" t="s">
        <v>61</v>
      </c>
      <c r="F334" s="8">
        <v>0.8</v>
      </c>
      <c r="J334">
        <f>19+21</f>
        <v>40</v>
      </c>
      <c r="K334">
        <v>2</v>
      </c>
      <c r="L334">
        <v>21</v>
      </c>
      <c r="N334" t="str">
        <f t="shared" si="15"/>
        <v>NA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16.416332999999998</v>
      </c>
      <c r="P334">
        <f t="shared" si="16"/>
        <v>16.416332999999998</v>
      </c>
      <c r="S334">
        <f t="shared" si="17"/>
        <v>0.50265440000000006</v>
      </c>
    </row>
    <row r="335" spans="1:19">
      <c r="A335" s="9">
        <v>42396</v>
      </c>
      <c r="B335" s="8" t="s">
        <v>24</v>
      </c>
      <c r="C335" s="8">
        <v>38</v>
      </c>
      <c r="D335" s="8" t="s">
        <v>61</v>
      </c>
      <c r="F335">
        <v>0.51</v>
      </c>
      <c r="J335">
        <v>18</v>
      </c>
      <c r="K335">
        <v>1</v>
      </c>
      <c r="L335">
        <v>18</v>
      </c>
      <c r="N335" t="str">
        <f t="shared" si="15"/>
        <v>NA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22.279810999999999</v>
      </c>
      <c r="P335">
        <f t="shared" si="16"/>
        <v>22.279810999999999</v>
      </c>
      <c r="S335">
        <f t="shared" si="17"/>
        <v>0.20428188975</v>
      </c>
    </row>
    <row r="336" spans="1:19">
      <c r="A336" s="9">
        <v>42396</v>
      </c>
      <c r="B336" s="8" t="s">
        <v>24</v>
      </c>
      <c r="C336" s="8">
        <v>26</v>
      </c>
      <c r="D336" s="8" t="s">
        <v>61</v>
      </c>
      <c r="F336" s="8">
        <v>2.99</v>
      </c>
      <c r="J336">
        <f>134+153+176+181+187</f>
        <v>831</v>
      </c>
      <c r="K336">
        <v>5</v>
      </c>
      <c r="L336">
        <v>187</v>
      </c>
      <c r="N336" t="str">
        <f t="shared" si="15"/>
        <v>NA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19.502808999999999</v>
      </c>
      <c r="P336">
        <f t="shared" si="16"/>
        <v>19.502808999999999</v>
      </c>
      <c r="S336">
        <f t="shared" si="17"/>
        <v>7.0215321897500003</v>
      </c>
    </row>
    <row r="337" spans="1:19">
      <c r="A337" s="9">
        <v>42396</v>
      </c>
      <c r="B337" s="8" t="s">
        <v>24</v>
      </c>
      <c r="C337" s="8">
        <v>26</v>
      </c>
      <c r="D337" s="8" t="s">
        <v>61</v>
      </c>
      <c r="F337" s="8">
        <v>2.57</v>
      </c>
      <c r="J337">
        <f>44+127+135+142</f>
        <v>448</v>
      </c>
      <c r="K337">
        <v>4</v>
      </c>
      <c r="L337">
        <v>142</v>
      </c>
      <c r="N337" t="str">
        <f t="shared" si="15"/>
        <v>NA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4.1730219999999996</v>
      </c>
      <c r="P337">
        <f t="shared" si="16"/>
        <v>4.1730219999999996</v>
      </c>
      <c r="S337">
        <f t="shared" si="17"/>
        <v>5.1874719477499989</v>
      </c>
    </row>
    <row r="338" spans="1:19">
      <c r="A338" s="9">
        <v>42396</v>
      </c>
      <c r="B338" s="8" t="s">
        <v>24</v>
      </c>
      <c r="C338" s="8">
        <v>26</v>
      </c>
      <c r="D338" s="8" t="s">
        <v>61</v>
      </c>
      <c r="F338" s="8">
        <v>3.74</v>
      </c>
      <c r="J338">
        <f>198+202+203+242</f>
        <v>845</v>
      </c>
      <c r="K338">
        <v>4</v>
      </c>
      <c r="L338">
        <v>242</v>
      </c>
      <c r="N338" t="str">
        <f t="shared" si="15"/>
        <v>NA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11.269257000000003</v>
      </c>
      <c r="P338">
        <f t="shared" si="16"/>
        <v>11.269257000000003</v>
      </c>
      <c r="S338">
        <f t="shared" si="17"/>
        <v>10.985826071000002</v>
      </c>
    </row>
    <row r="339" spans="1:19">
      <c r="A339" s="9">
        <v>42396</v>
      </c>
      <c r="B339" s="8" t="s">
        <v>24</v>
      </c>
      <c r="C339" s="8">
        <v>26</v>
      </c>
      <c r="D339" s="8" t="s">
        <v>61</v>
      </c>
      <c r="F339" s="8">
        <v>2.0699999999999998</v>
      </c>
      <c r="J339">
        <f>100+199+201+206</f>
        <v>706</v>
      </c>
      <c r="K339">
        <v>4</v>
      </c>
      <c r="L339">
        <v>206</v>
      </c>
      <c r="N339" t="str">
        <f t="shared" si="15"/>
        <v>NA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9.0821320000000014</v>
      </c>
      <c r="P339">
        <f t="shared" si="16"/>
        <v>9.0821320000000014</v>
      </c>
      <c r="S339">
        <f t="shared" si="17"/>
        <v>3.3653497477499994</v>
      </c>
    </row>
    <row r="340" spans="1:19">
      <c r="A340" s="9">
        <v>42396</v>
      </c>
      <c r="B340" s="8" t="s">
        <v>24</v>
      </c>
      <c r="C340" s="8">
        <v>26</v>
      </c>
      <c r="D340" s="8" t="s">
        <v>65</v>
      </c>
      <c r="E340">
        <v>172</v>
      </c>
      <c r="F340" s="8">
        <v>1.08</v>
      </c>
      <c r="N340">
        <f t="shared" si="15"/>
        <v>52.522358256000004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7.4674629999999995</v>
      </c>
      <c r="P340">
        <f t="shared" si="16"/>
        <v>7.4674629999999995</v>
      </c>
      <c r="S340">
        <f t="shared" si="17"/>
        <v>0.91608764400000009</v>
      </c>
    </row>
    <row r="341" spans="1:19">
      <c r="A341" s="9">
        <v>42396</v>
      </c>
      <c r="B341" s="8" t="s">
        <v>24</v>
      </c>
      <c r="C341" s="8">
        <v>26</v>
      </c>
      <c r="D341" s="8" t="s">
        <v>65</v>
      </c>
      <c r="E341">
        <v>105</v>
      </c>
      <c r="F341" s="8">
        <v>0.79</v>
      </c>
      <c r="N341">
        <f t="shared" si="15"/>
        <v>17.155830291250002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2.7704279999999999</v>
      </c>
      <c r="P341">
        <f t="shared" si="16"/>
        <v>2.7704279999999999</v>
      </c>
      <c r="S341">
        <f t="shared" si="17"/>
        <v>0.49016657975000005</v>
      </c>
    </row>
    <row r="342" spans="1:19">
      <c r="A342" s="9">
        <v>42396</v>
      </c>
      <c r="B342" s="8" t="s">
        <v>24</v>
      </c>
      <c r="C342" s="8">
        <v>26</v>
      </c>
      <c r="D342" s="8" t="s">
        <v>65</v>
      </c>
      <c r="E342">
        <v>174</v>
      </c>
      <c r="F342" s="8">
        <v>1.72</v>
      </c>
      <c r="N342">
        <f t="shared" si="15"/>
        <v>134.76415791199997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7.607673000000001</v>
      </c>
      <c r="P342">
        <f t="shared" si="16"/>
        <v>7.607673000000001</v>
      </c>
      <c r="S342">
        <f t="shared" si="17"/>
        <v>2.3235199639999995</v>
      </c>
    </row>
    <row r="343" spans="1:19">
      <c r="A343" s="7">
        <v>42396</v>
      </c>
      <c r="B343" s="8" t="s">
        <v>24</v>
      </c>
      <c r="C343" s="8">
        <v>26</v>
      </c>
      <c r="D343" s="8" t="s">
        <v>65</v>
      </c>
      <c r="E343">
        <v>247</v>
      </c>
      <c r="F343" s="8">
        <v>0.95</v>
      </c>
      <c r="N343">
        <f t="shared" si="15"/>
        <v>58.359615735416661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12.725338000000001</v>
      </c>
      <c r="P343">
        <f t="shared" si="16"/>
        <v>12.725338000000001</v>
      </c>
      <c r="S343">
        <f t="shared" si="17"/>
        <v>0.70882124375</v>
      </c>
    </row>
    <row r="344" spans="1:19">
      <c r="A344" s="9">
        <v>42396</v>
      </c>
      <c r="B344" s="8" t="s">
        <v>24</v>
      </c>
      <c r="C344" s="8">
        <v>26</v>
      </c>
      <c r="D344" s="8" t="s">
        <v>65</v>
      </c>
      <c r="E344">
        <v>216</v>
      </c>
      <c r="F344" s="8">
        <v>1.1599999999999999</v>
      </c>
      <c r="N344">
        <f t="shared" si="15"/>
        <v>76.091823071999983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10.552083</v>
      </c>
      <c r="P344">
        <f t="shared" si="16"/>
        <v>10.552083</v>
      </c>
      <c r="S344">
        <f t="shared" si="17"/>
        <v>1.0568308759999998</v>
      </c>
    </row>
    <row r="345" spans="1:19">
      <c r="A345" s="9">
        <v>42396</v>
      </c>
      <c r="B345" s="8" t="s">
        <v>24</v>
      </c>
      <c r="C345" s="8">
        <v>26</v>
      </c>
      <c r="D345" s="8" t="s">
        <v>65</v>
      </c>
      <c r="E345">
        <v>192</v>
      </c>
      <c r="F345" s="8">
        <v>0.92</v>
      </c>
      <c r="N345">
        <f t="shared" si="15"/>
        <v>42.544668416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8.8695629999999994</v>
      </c>
      <c r="P345">
        <f t="shared" si="16"/>
        <v>8.8695629999999994</v>
      </c>
      <c r="S345">
        <f t="shared" si="17"/>
        <v>0.66476044400000001</v>
      </c>
    </row>
    <row r="346" spans="1:19">
      <c r="A346" s="9">
        <v>42396</v>
      </c>
      <c r="B346" s="8" t="s">
        <v>24</v>
      </c>
      <c r="C346" s="8">
        <v>26</v>
      </c>
      <c r="D346" s="8" t="s">
        <v>65</v>
      </c>
      <c r="E346">
        <v>168</v>
      </c>
      <c r="F346" s="8">
        <v>0.79</v>
      </c>
      <c r="N346">
        <f t="shared" si="15"/>
        <v>27.449328466000004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7.1870430000000001</v>
      </c>
      <c r="P346">
        <f t="shared" si="16"/>
        <v>7.1870430000000001</v>
      </c>
      <c r="S346">
        <f t="shared" si="17"/>
        <v>0.49016657975000005</v>
      </c>
    </row>
    <row r="347" spans="1:19">
      <c r="A347" s="9">
        <v>42396</v>
      </c>
      <c r="B347" s="8" t="s">
        <v>24</v>
      </c>
      <c r="C347" s="8">
        <v>26</v>
      </c>
      <c r="D347" s="8" t="s">
        <v>65</v>
      </c>
      <c r="E347">
        <v>265</v>
      </c>
      <c r="F347" s="8">
        <v>1.06</v>
      </c>
      <c r="N347">
        <f t="shared" si="15"/>
        <v>77.951749071666669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13.987228000000002</v>
      </c>
      <c r="P347">
        <f t="shared" si="16"/>
        <v>13.987228000000002</v>
      </c>
      <c r="S347">
        <f t="shared" si="17"/>
        <v>0.88247263100000006</v>
      </c>
    </row>
    <row r="348" spans="1:19">
      <c r="A348" s="9">
        <v>42396</v>
      </c>
      <c r="B348" s="8" t="s">
        <v>24</v>
      </c>
      <c r="C348" s="8">
        <v>26</v>
      </c>
      <c r="D348" s="8" t="s">
        <v>65</v>
      </c>
      <c r="E348">
        <v>189</v>
      </c>
      <c r="F348" s="8">
        <v>1.1499999999999999</v>
      </c>
      <c r="N348">
        <f t="shared" si="15"/>
        <v>65.437356206249987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8.6592480000000016</v>
      </c>
      <c r="P348">
        <f t="shared" si="16"/>
        <v>8.6592480000000016</v>
      </c>
      <c r="S348">
        <f t="shared" si="17"/>
        <v>1.0386881937499999</v>
      </c>
    </row>
    <row r="349" spans="1:19">
      <c r="A349" s="9">
        <v>42396</v>
      </c>
      <c r="B349" s="8" t="s">
        <v>24</v>
      </c>
      <c r="C349" s="8">
        <v>26</v>
      </c>
      <c r="D349" s="8" t="s">
        <v>65</v>
      </c>
      <c r="E349">
        <v>174</v>
      </c>
      <c r="F349" s="8">
        <v>1.31</v>
      </c>
      <c r="N349">
        <f t="shared" si="15"/>
        <v>78.173597685499999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7.607673000000001</v>
      </c>
      <c r="P349">
        <f t="shared" si="16"/>
        <v>7.607673000000001</v>
      </c>
      <c r="S349">
        <f t="shared" si="17"/>
        <v>1.34782064975</v>
      </c>
    </row>
    <row r="350" spans="1:19">
      <c r="A350" s="9">
        <v>42396</v>
      </c>
      <c r="B350" s="8" t="s">
        <v>24</v>
      </c>
      <c r="C350" s="8">
        <v>26</v>
      </c>
      <c r="D350" s="8" t="s">
        <v>65</v>
      </c>
      <c r="E350">
        <v>22</v>
      </c>
      <c r="F350" s="8">
        <v>0.55000000000000004</v>
      </c>
      <c r="N350">
        <f t="shared" si="15"/>
        <v>1.7422734541666667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-3.0482869999999997</v>
      </c>
      <c r="P350" t="str">
        <f t="shared" si="16"/>
        <v xml:space="preserve"> </v>
      </c>
      <c r="S350">
        <f t="shared" si="17"/>
        <v>0.23758274375000002</v>
      </c>
    </row>
    <row r="351" spans="1:19">
      <c r="A351" s="9">
        <v>42396</v>
      </c>
      <c r="B351" s="8" t="s">
        <v>24</v>
      </c>
      <c r="C351" s="8">
        <v>15</v>
      </c>
      <c r="D351" s="8" t="s">
        <v>61</v>
      </c>
      <c r="F351" s="8">
        <v>0.95</v>
      </c>
      <c r="J351">
        <f>17+20+37+51+57</f>
        <v>182</v>
      </c>
      <c r="K351">
        <v>5</v>
      </c>
      <c r="L351">
        <v>57</v>
      </c>
      <c r="N351" t="str">
        <f t="shared" si="15"/>
        <v>NA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-2.1823359999999994</v>
      </c>
      <c r="P351" t="str">
        <f t="shared" si="16"/>
        <v xml:space="preserve"> </v>
      </c>
      <c r="S351">
        <f t="shared" si="17"/>
        <v>0.70882124375</v>
      </c>
    </row>
    <row r="352" spans="1:19">
      <c r="A352" s="9">
        <v>42396</v>
      </c>
      <c r="B352" s="8" t="s">
        <v>24</v>
      </c>
      <c r="C352" s="8">
        <v>15</v>
      </c>
      <c r="D352" s="8" t="s">
        <v>61</v>
      </c>
      <c r="F352" s="8">
        <v>3.1</v>
      </c>
      <c r="J352">
        <f>129+251+265+269+272</f>
        <v>1186</v>
      </c>
      <c r="K352">
        <v>5</v>
      </c>
      <c r="L352">
        <v>272</v>
      </c>
      <c r="N352" t="str">
        <f t="shared" si="15"/>
        <v>NA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27.18000900000002</v>
      </c>
      <c r="P352">
        <f t="shared" si="16"/>
        <v>27.18000900000002</v>
      </c>
      <c r="S352">
        <f t="shared" si="17"/>
        <v>7.5476699750000007</v>
      </c>
    </row>
    <row r="353" spans="1:19">
      <c r="A353" s="9">
        <v>42396</v>
      </c>
      <c r="B353" s="8" t="s">
        <v>24</v>
      </c>
      <c r="C353" s="8">
        <v>15</v>
      </c>
      <c r="D353" s="8" t="s">
        <v>61</v>
      </c>
      <c r="F353" s="8">
        <v>1.66</v>
      </c>
      <c r="J353">
        <f>33+35</f>
        <v>68</v>
      </c>
      <c r="K353">
        <v>3</v>
      </c>
      <c r="L353">
        <v>35</v>
      </c>
      <c r="N353" t="str">
        <f t="shared" si="15"/>
        <v>NA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7.8016900000000007</v>
      </c>
      <c r="P353">
        <f t="shared" si="16"/>
        <v>7.8016900000000007</v>
      </c>
      <c r="S353">
        <f t="shared" si="17"/>
        <v>2.1642413509999998</v>
      </c>
    </row>
    <row r="354" spans="1:19">
      <c r="A354" s="9">
        <v>42396</v>
      </c>
      <c r="B354" s="8" t="s">
        <v>24</v>
      </c>
      <c r="C354" s="8">
        <v>15</v>
      </c>
      <c r="D354" s="8" t="s">
        <v>61</v>
      </c>
      <c r="F354" s="8">
        <v>2.95</v>
      </c>
      <c r="J354">
        <f>65+149+213+219+216</f>
        <v>862</v>
      </c>
      <c r="K354">
        <v>5</v>
      </c>
      <c r="L354">
        <v>219</v>
      </c>
      <c r="N354" t="str">
        <f t="shared" si="15"/>
        <v>NA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12.769373999999999</v>
      </c>
      <c r="P354">
        <f t="shared" si="16"/>
        <v>12.769373999999999</v>
      </c>
      <c r="S354">
        <f t="shared" si="17"/>
        <v>6.8349217437499998</v>
      </c>
    </row>
    <row r="355" spans="1:19">
      <c r="A355" s="9">
        <v>42396</v>
      </c>
      <c r="B355" s="8" t="s">
        <v>24</v>
      </c>
      <c r="C355" s="8">
        <v>15</v>
      </c>
      <c r="D355" s="8" t="s">
        <v>61</v>
      </c>
      <c r="F355" s="8">
        <v>3.57</v>
      </c>
      <c r="J355">
        <f>90+160+164+214+216</f>
        <v>844</v>
      </c>
      <c r="K355">
        <v>6</v>
      </c>
      <c r="L355">
        <v>216</v>
      </c>
      <c r="N355" t="str">
        <f t="shared" si="15"/>
        <v>NA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4.9631660000000082</v>
      </c>
      <c r="P355">
        <f t="shared" si="16"/>
        <v>4.9631660000000082</v>
      </c>
      <c r="S355">
        <f t="shared" si="17"/>
        <v>10.009812597749999</v>
      </c>
    </row>
    <row r="356" spans="1:19">
      <c r="A356" s="9">
        <v>42396</v>
      </c>
      <c r="B356" s="8" t="s">
        <v>24</v>
      </c>
      <c r="C356" s="8">
        <v>15</v>
      </c>
      <c r="D356" s="8" t="s">
        <v>61</v>
      </c>
      <c r="F356" s="8">
        <v>1.96</v>
      </c>
      <c r="J356">
        <f>42+82+109+112+124</f>
        <v>469</v>
      </c>
      <c r="K356">
        <v>5</v>
      </c>
      <c r="L356">
        <v>124</v>
      </c>
      <c r="N356" t="str">
        <f t="shared" si="15"/>
        <v>NA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4.5419340000000048</v>
      </c>
      <c r="P356">
        <f t="shared" si="16"/>
        <v>4.5419340000000048</v>
      </c>
      <c r="S356">
        <f t="shared" si="17"/>
        <v>3.0171830359999996</v>
      </c>
    </row>
    <row r="357" spans="1:19">
      <c r="A357" s="7">
        <v>42396</v>
      </c>
      <c r="B357" s="8" t="s">
        <v>24</v>
      </c>
      <c r="C357" s="8">
        <v>15</v>
      </c>
      <c r="D357" s="8" t="s">
        <v>61</v>
      </c>
      <c r="F357" s="8">
        <v>3.7</v>
      </c>
      <c r="J357">
        <f>46+107+193+206+231+245+255</f>
        <v>1283</v>
      </c>
      <c r="K357">
        <v>7</v>
      </c>
      <c r="L357">
        <v>255</v>
      </c>
      <c r="N357" t="str">
        <f t="shared" si="15"/>
        <v>NA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27.350703000000003</v>
      </c>
      <c r="P357">
        <f t="shared" si="16"/>
        <v>27.350703000000003</v>
      </c>
      <c r="S357">
        <f t="shared" si="17"/>
        <v>10.752091775</v>
      </c>
    </row>
    <row r="358" spans="1:19">
      <c r="A358" s="9">
        <v>42396</v>
      </c>
      <c r="B358" s="8" t="s">
        <v>24</v>
      </c>
      <c r="C358" s="8">
        <v>15</v>
      </c>
      <c r="D358" s="8" t="s">
        <v>61</v>
      </c>
      <c r="F358" s="8">
        <v>1.3</v>
      </c>
      <c r="J358">
        <f>15+22+23+24</f>
        <v>84</v>
      </c>
      <c r="K358">
        <v>4</v>
      </c>
      <c r="L358">
        <v>24</v>
      </c>
      <c r="N358" t="str">
        <f t="shared" si="15"/>
        <v>NA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5.5931119999999979</v>
      </c>
      <c r="P358">
        <f t="shared" si="16"/>
        <v>5.5931119999999979</v>
      </c>
      <c r="S358">
        <f t="shared" si="17"/>
        <v>1.3273217750000001</v>
      </c>
    </row>
    <row r="359" spans="1:19">
      <c r="A359" s="9">
        <v>42396</v>
      </c>
      <c r="B359" s="8" t="s">
        <v>24</v>
      </c>
      <c r="C359" s="8">
        <v>15</v>
      </c>
      <c r="D359" s="8" t="s">
        <v>61</v>
      </c>
      <c r="F359" s="8">
        <v>3.85</v>
      </c>
      <c r="J359">
        <f>56+106+205+236+245+255</f>
        <v>1103</v>
      </c>
      <c r="K359">
        <v>6</v>
      </c>
      <c r="L359">
        <v>255</v>
      </c>
      <c r="N359" t="str">
        <f t="shared" si="15"/>
        <v>NA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17.497155999999997</v>
      </c>
      <c r="P359">
        <f t="shared" si="16"/>
        <v>17.497155999999997</v>
      </c>
      <c r="S359">
        <f t="shared" si="17"/>
        <v>11.641554443750001</v>
      </c>
    </row>
    <row r="360" spans="1:19">
      <c r="A360" s="9">
        <v>42396</v>
      </c>
      <c r="B360" s="8" t="s">
        <v>24</v>
      </c>
      <c r="C360" s="8">
        <v>15</v>
      </c>
      <c r="D360" s="8" t="s">
        <v>61</v>
      </c>
      <c r="F360" s="8">
        <v>2.78</v>
      </c>
      <c r="J360">
        <v>774</v>
      </c>
      <c r="K360">
        <v>4</v>
      </c>
      <c r="L360">
        <v>244</v>
      </c>
      <c r="N360" t="str">
        <f t="shared" si="15"/>
        <v>NA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4.0101620000000153</v>
      </c>
      <c r="P360">
        <f t="shared" si="16"/>
        <v>4.0101620000000153</v>
      </c>
      <c r="S360">
        <f t="shared" si="17"/>
        <v>6.069866038999999</v>
      </c>
    </row>
    <row r="361" spans="1:19">
      <c r="A361" s="9">
        <v>42396</v>
      </c>
      <c r="B361" s="8" t="s">
        <v>24</v>
      </c>
      <c r="C361" s="8">
        <v>15</v>
      </c>
      <c r="D361" s="8" t="s">
        <v>61</v>
      </c>
      <c r="F361" s="8">
        <v>4.8499999999999996</v>
      </c>
      <c r="J361">
        <f>83+197+236+245+266+275+277</f>
        <v>1579</v>
      </c>
      <c r="K361">
        <v>7</v>
      </c>
      <c r="L361">
        <v>277</v>
      </c>
      <c r="N361" t="str">
        <f t="shared" si="15"/>
        <v>NA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48.474793000000027</v>
      </c>
      <c r="P361">
        <f t="shared" si="16"/>
        <v>48.474793000000027</v>
      </c>
      <c r="S361">
        <f t="shared" si="17"/>
        <v>18.474512693749997</v>
      </c>
    </row>
    <row r="362" spans="1:19">
      <c r="A362" s="9">
        <v>42396</v>
      </c>
      <c r="B362" s="8" t="s">
        <v>24</v>
      </c>
      <c r="C362" s="8">
        <v>15</v>
      </c>
      <c r="D362" s="8" t="s">
        <v>61</v>
      </c>
      <c r="F362" s="8">
        <v>1.1200000000000001</v>
      </c>
      <c r="J362">
        <f>31+69+103</f>
        <v>203</v>
      </c>
      <c r="K362">
        <v>3</v>
      </c>
      <c r="L362">
        <v>103</v>
      </c>
      <c r="N362" t="str">
        <f t="shared" si="15"/>
        <v>NA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-2.6045000000003427E-2</v>
      </c>
      <c r="P362" t="str">
        <f t="shared" si="16"/>
        <v xml:space="preserve"> </v>
      </c>
      <c r="S362">
        <f t="shared" si="17"/>
        <v>0.98520262400000014</v>
      </c>
    </row>
    <row r="363" spans="1:19">
      <c r="A363" s="9">
        <v>42396</v>
      </c>
      <c r="B363" s="8" t="s">
        <v>24</v>
      </c>
      <c r="C363" s="8">
        <v>15</v>
      </c>
      <c r="D363" s="8" t="s">
        <v>61</v>
      </c>
      <c r="F363" s="8">
        <v>0.85</v>
      </c>
      <c r="J363">
        <f>28+72+86</f>
        <v>186</v>
      </c>
      <c r="K363">
        <v>3</v>
      </c>
      <c r="L363">
        <v>86</v>
      </c>
      <c r="N363" t="str">
        <f t="shared" si="15"/>
        <v>NA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3.5012849999999993</v>
      </c>
      <c r="P363">
        <f t="shared" si="16"/>
        <v>3.5012849999999993</v>
      </c>
      <c r="S363">
        <f t="shared" si="17"/>
        <v>0.56744969374999987</v>
      </c>
    </row>
    <row r="364" spans="1:19">
      <c r="A364" s="9">
        <v>42396</v>
      </c>
      <c r="B364" s="8" t="s">
        <v>24</v>
      </c>
      <c r="C364" s="8">
        <v>15</v>
      </c>
      <c r="D364" s="8" t="s">
        <v>61</v>
      </c>
      <c r="F364" s="8">
        <v>0.93</v>
      </c>
      <c r="J364">
        <f>6+7+8</f>
        <v>21</v>
      </c>
      <c r="K364">
        <v>3</v>
      </c>
      <c r="L364">
        <v>8</v>
      </c>
      <c r="N364" t="str">
        <f t="shared" si="15"/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11.528819999999996</v>
      </c>
      <c r="P364">
        <f t="shared" si="16"/>
        <v>11.528819999999996</v>
      </c>
      <c r="S364">
        <f t="shared" si="17"/>
        <v>0.67929029775000005</v>
      </c>
    </row>
    <row r="365" spans="1:19">
      <c r="A365" s="9">
        <v>42396</v>
      </c>
      <c r="B365" s="8" t="s">
        <v>24</v>
      </c>
      <c r="C365" s="8">
        <v>6</v>
      </c>
      <c r="D365" s="8" t="s">
        <v>63</v>
      </c>
      <c r="E365">
        <v>187</v>
      </c>
      <c r="F365" s="8">
        <v>1.81</v>
      </c>
      <c r="N365">
        <f t="shared" si="15"/>
        <v>160.38620673441665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8.5190380000000019</v>
      </c>
      <c r="P365">
        <f t="shared" si="16"/>
        <v>8.5190380000000019</v>
      </c>
      <c r="S365">
        <f t="shared" si="17"/>
        <v>2.5730407497500001</v>
      </c>
    </row>
    <row r="366" spans="1:19">
      <c r="A366" s="9">
        <v>42396</v>
      </c>
      <c r="B366" s="8" t="s">
        <v>24</v>
      </c>
      <c r="C366" s="8">
        <v>6</v>
      </c>
      <c r="D366" s="8" t="s">
        <v>63</v>
      </c>
      <c r="E366">
        <v>101</v>
      </c>
      <c r="F366" s="8">
        <v>1.01</v>
      </c>
      <c r="N366">
        <f t="shared" si="15"/>
        <v>26.973194321583332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2.4900080000000004</v>
      </c>
      <c r="P366">
        <f t="shared" si="16"/>
        <v>2.4900080000000004</v>
      </c>
      <c r="S366">
        <f t="shared" si="17"/>
        <v>0.80118398974999994</v>
      </c>
    </row>
    <row r="367" spans="1:19">
      <c r="A367" s="9">
        <v>42396</v>
      </c>
      <c r="B367" s="8" t="s">
        <v>24</v>
      </c>
      <c r="C367" s="8">
        <v>6</v>
      </c>
      <c r="D367" s="8" t="s">
        <v>63</v>
      </c>
      <c r="E367">
        <v>155</v>
      </c>
      <c r="F367" s="8">
        <v>1.44</v>
      </c>
      <c r="N367">
        <f t="shared" si="15"/>
        <v>84.144346559999988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6.2756780000000001</v>
      </c>
      <c r="P367">
        <f t="shared" si="16"/>
        <v>6.2756780000000001</v>
      </c>
      <c r="S367">
        <f t="shared" si="17"/>
        <v>1.6286002559999999</v>
      </c>
    </row>
    <row r="368" spans="1:19">
      <c r="A368" s="9">
        <v>42396</v>
      </c>
      <c r="B368" s="8" t="s">
        <v>24</v>
      </c>
      <c r="C368" s="8">
        <v>6</v>
      </c>
      <c r="D368" s="8" t="s">
        <v>63</v>
      </c>
      <c r="E368">
        <v>160</v>
      </c>
      <c r="F368" s="8">
        <v>1.2</v>
      </c>
      <c r="N368">
        <f t="shared" si="15"/>
        <v>60.318527999999993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6.6262029999999994</v>
      </c>
      <c r="P368">
        <f t="shared" si="16"/>
        <v>6.6262029999999994</v>
      </c>
      <c r="S368">
        <f t="shared" si="17"/>
        <v>1.1309723999999999</v>
      </c>
    </row>
    <row r="369" spans="1:19">
      <c r="A369" s="9">
        <v>42396</v>
      </c>
      <c r="B369" s="8" t="s">
        <v>24</v>
      </c>
      <c r="C369" s="8">
        <v>6</v>
      </c>
      <c r="D369" s="8" t="s">
        <v>63</v>
      </c>
      <c r="E369">
        <v>111</v>
      </c>
      <c r="F369" s="8">
        <v>0.9</v>
      </c>
      <c r="N369">
        <f t="shared" si="15"/>
        <v>23.538363074999999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3.191058</v>
      </c>
      <c r="P369">
        <f t="shared" si="16"/>
        <v>3.191058</v>
      </c>
      <c r="S369">
        <f t="shared" si="17"/>
        <v>0.636171975</v>
      </c>
    </row>
    <row r="370" spans="1:19">
      <c r="A370" s="9">
        <v>42396</v>
      </c>
      <c r="B370" s="8" t="s">
        <v>24</v>
      </c>
      <c r="C370" s="8">
        <v>6</v>
      </c>
      <c r="D370" s="8" t="s">
        <v>63</v>
      </c>
      <c r="E370">
        <v>112</v>
      </c>
      <c r="F370" s="8">
        <v>1.47</v>
      </c>
      <c r="N370">
        <f t="shared" si="15"/>
        <v>63.360843755999987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3.2611630000000007</v>
      </c>
      <c r="P370">
        <f t="shared" si="16"/>
        <v>3.2611630000000007</v>
      </c>
      <c r="S370">
        <f t="shared" si="17"/>
        <v>1.6971654577499997</v>
      </c>
    </row>
    <row r="371" spans="1:19">
      <c r="A371" s="9">
        <v>42396</v>
      </c>
      <c r="B371" s="8" t="s">
        <v>24</v>
      </c>
      <c r="C371" s="8">
        <v>6</v>
      </c>
      <c r="D371" s="8" t="s">
        <v>63</v>
      </c>
      <c r="E371">
        <v>80</v>
      </c>
      <c r="F371" s="8">
        <v>0.9</v>
      </c>
      <c r="N371">
        <f t="shared" si="15"/>
        <v>16.964586000000001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1.0178029999999998</v>
      </c>
      <c r="P371">
        <f t="shared" si="16"/>
        <v>1.0178029999999998</v>
      </c>
      <c r="S371">
        <f t="shared" si="17"/>
        <v>0.636171975</v>
      </c>
    </row>
    <row r="372" spans="1:19">
      <c r="A372" s="9">
        <v>42396</v>
      </c>
      <c r="B372" s="8" t="s">
        <v>24</v>
      </c>
      <c r="C372" s="8">
        <v>6</v>
      </c>
      <c r="D372" s="8" t="s">
        <v>63</v>
      </c>
      <c r="E372">
        <v>116</v>
      </c>
      <c r="F372" s="8">
        <v>1.2</v>
      </c>
      <c r="N372">
        <f t="shared" si="15"/>
        <v>43.730932799999998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3.5415830000000001</v>
      </c>
      <c r="P372">
        <f t="shared" si="16"/>
        <v>3.5415830000000001</v>
      </c>
      <c r="S372">
        <f t="shared" si="17"/>
        <v>1.1309723999999999</v>
      </c>
    </row>
    <row r="373" spans="1:19">
      <c r="A373" s="9">
        <v>42396</v>
      </c>
      <c r="B373" s="8" t="s">
        <v>24</v>
      </c>
      <c r="C373" s="8">
        <v>6</v>
      </c>
      <c r="D373" s="8" t="s">
        <v>63</v>
      </c>
      <c r="E373">
        <v>106</v>
      </c>
      <c r="F373" s="8">
        <v>1.04</v>
      </c>
      <c r="N373">
        <f t="shared" si="15"/>
        <v>30.015169738666664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2.8405330000000006</v>
      </c>
      <c r="P373">
        <f t="shared" si="16"/>
        <v>2.8405330000000006</v>
      </c>
      <c r="S373">
        <f t="shared" si="17"/>
        <v>0.84948593600000011</v>
      </c>
    </row>
    <row r="374" spans="1:19">
      <c r="A374" s="9">
        <v>42396</v>
      </c>
      <c r="B374" s="8" t="s">
        <v>24</v>
      </c>
      <c r="C374" s="8">
        <v>6</v>
      </c>
      <c r="D374" s="8" t="s">
        <v>63</v>
      </c>
      <c r="E374">
        <v>25</v>
      </c>
      <c r="F374" s="8">
        <v>0.56999999999999995</v>
      </c>
      <c r="N374">
        <f t="shared" si="15"/>
        <v>2.1264637312499994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-2.8379719999999997</v>
      </c>
      <c r="P374" t="str">
        <f t="shared" si="16"/>
        <v xml:space="preserve"> </v>
      </c>
      <c r="S374">
        <f t="shared" si="17"/>
        <v>0.25517564774999996</v>
      </c>
    </row>
    <row r="375" spans="1:19">
      <c r="A375" s="9">
        <v>42396</v>
      </c>
      <c r="B375" s="8" t="s">
        <v>24</v>
      </c>
      <c r="C375" s="8">
        <v>6</v>
      </c>
      <c r="D375" s="8" t="s">
        <v>63</v>
      </c>
      <c r="E375">
        <v>61</v>
      </c>
      <c r="F375" s="8">
        <v>1.01</v>
      </c>
      <c r="N375">
        <f t="shared" si="15"/>
        <v>16.290741124916664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-0.31419199999999936</v>
      </c>
      <c r="P375" t="str">
        <f t="shared" si="16"/>
        <v xml:space="preserve"> </v>
      </c>
      <c r="S375">
        <f t="shared" si="17"/>
        <v>0.80118398974999994</v>
      </c>
    </row>
    <row r="376" spans="1:19">
      <c r="A376" s="9">
        <v>42396</v>
      </c>
      <c r="B376" s="8" t="s">
        <v>24</v>
      </c>
      <c r="C376" s="8">
        <v>6</v>
      </c>
      <c r="D376" s="8" t="s">
        <v>63</v>
      </c>
      <c r="E376">
        <v>71</v>
      </c>
      <c r="F376" s="8">
        <v>0.96</v>
      </c>
      <c r="N376">
        <f t="shared" si="15"/>
        <v>17.130461951999997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0.38685800000000015</v>
      </c>
      <c r="P376">
        <f t="shared" si="16"/>
        <v>0.38685800000000015</v>
      </c>
      <c r="S376">
        <f t="shared" si="17"/>
        <v>0.7238223359999999</v>
      </c>
    </row>
    <row r="377" spans="1:19">
      <c r="A377" s="9">
        <v>42396</v>
      </c>
      <c r="B377" s="8" t="s">
        <v>24</v>
      </c>
      <c r="C377" s="8">
        <v>6</v>
      </c>
      <c r="D377" s="8" t="s">
        <v>63</v>
      </c>
      <c r="E377">
        <v>111</v>
      </c>
      <c r="F377" s="8">
        <v>1.45</v>
      </c>
      <c r="N377">
        <f t="shared" si="15"/>
        <v>61.098035018749997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3.191058</v>
      </c>
      <c r="P377">
        <f t="shared" si="16"/>
        <v>3.191058</v>
      </c>
      <c r="S377">
        <f t="shared" si="17"/>
        <v>1.6512982437499999</v>
      </c>
    </row>
    <row r="378" spans="1:19">
      <c r="A378" s="9">
        <v>42396</v>
      </c>
      <c r="B378" s="8" t="s">
        <v>24</v>
      </c>
      <c r="C378" s="8">
        <v>6</v>
      </c>
      <c r="D378" s="8" t="s">
        <v>63</v>
      </c>
      <c r="E378">
        <v>189</v>
      </c>
      <c r="F378" s="8">
        <v>1.59</v>
      </c>
      <c r="N378">
        <f t="shared" si="15"/>
        <v>125.09049544425001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8.6592480000000016</v>
      </c>
      <c r="P378">
        <f t="shared" si="16"/>
        <v>8.6592480000000016</v>
      </c>
      <c r="S378">
        <f t="shared" si="17"/>
        <v>1.9855634197500001</v>
      </c>
    </row>
    <row r="379" spans="1:19">
      <c r="A379" s="9">
        <v>42396</v>
      </c>
      <c r="B379" s="8" t="s">
        <v>24</v>
      </c>
      <c r="C379" s="8">
        <v>6</v>
      </c>
      <c r="D379" s="8" t="s">
        <v>63</v>
      </c>
      <c r="E379">
        <v>122</v>
      </c>
      <c r="F379" s="8">
        <v>1.0900000000000001</v>
      </c>
      <c r="N379">
        <f t="shared" si="15"/>
        <v>37.947317969833335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3.9622130000000011</v>
      </c>
      <c r="P379">
        <f t="shared" si="16"/>
        <v>3.9622130000000011</v>
      </c>
      <c r="S379">
        <f t="shared" si="17"/>
        <v>0.93313076975000009</v>
      </c>
    </row>
    <row r="380" spans="1:19">
      <c r="A380" s="9">
        <v>42396</v>
      </c>
      <c r="B380" s="8" t="s">
        <v>24</v>
      </c>
      <c r="C380" s="8">
        <v>6</v>
      </c>
      <c r="D380" s="8" t="s">
        <v>63</v>
      </c>
      <c r="E380">
        <v>102</v>
      </c>
      <c r="F380" s="8">
        <v>1.2</v>
      </c>
      <c r="N380">
        <f t="shared" si="15"/>
        <v>38.453061599999998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2.5601130000000003</v>
      </c>
      <c r="P380">
        <f t="shared" si="16"/>
        <v>2.5601130000000003</v>
      </c>
      <c r="S380">
        <f t="shared" si="17"/>
        <v>1.1309723999999999</v>
      </c>
    </row>
    <row r="381" spans="1:19">
      <c r="A381" s="9">
        <v>42396</v>
      </c>
      <c r="B381" s="8" t="s">
        <v>24</v>
      </c>
      <c r="C381" s="8">
        <v>6</v>
      </c>
      <c r="D381" s="8" t="s">
        <v>63</v>
      </c>
      <c r="E381">
        <v>97</v>
      </c>
      <c r="F381" s="8">
        <v>0.89</v>
      </c>
      <c r="N381">
        <f t="shared" si="15"/>
        <v>20.114998631916666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2.2095880000000001</v>
      </c>
      <c r="P381">
        <f t="shared" si="16"/>
        <v>2.2095880000000001</v>
      </c>
      <c r="S381">
        <f t="shared" si="17"/>
        <v>0.62211335975000004</v>
      </c>
    </row>
    <row r="382" spans="1:19">
      <c r="A382" s="9">
        <v>42396</v>
      </c>
      <c r="B382" s="8" t="s">
        <v>24</v>
      </c>
      <c r="C382" s="8">
        <v>6</v>
      </c>
      <c r="D382" s="8" t="s">
        <v>63</v>
      </c>
      <c r="E382">
        <v>92</v>
      </c>
      <c r="F382" s="8">
        <v>0.74</v>
      </c>
      <c r="N382">
        <f t="shared" si="15"/>
        <v>13.189232577333332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1.8590629999999999</v>
      </c>
      <c r="P382">
        <f t="shared" si="16"/>
        <v>1.8590629999999999</v>
      </c>
      <c r="S382">
        <f t="shared" si="17"/>
        <v>0.43008367099999995</v>
      </c>
    </row>
    <row r="383" spans="1:19">
      <c r="A383" s="9">
        <v>42396</v>
      </c>
      <c r="B383" s="8" t="s">
        <v>24</v>
      </c>
      <c r="C383" s="8">
        <v>6</v>
      </c>
      <c r="D383" s="8" t="s">
        <v>63</v>
      </c>
      <c r="E383">
        <v>102</v>
      </c>
      <c r="F383" s="8">
        <v>1.46</v>
      </c>
      <c r="N383">
        <f t="shared" si="15"/>
        <v>56.921212573999988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2.5601130000000003</v>
      </c>
      <c r="P383">
        <f t="shared" si="16"/>
        <v>2.5601130000000003</v>
      </c>
      <c r="S383">
        <f t="shared" si="17"/>
        <v>1.6741533109999998</v>
      </c>
    </row>
    <row r="384" spans="1:19">
      <c r="A384" s="9">
        <v>42396</v>
      </c>
      <c r="B384" s="8" t="s">
        <v>24</v>
      </c>
      <c r="C384" s="8">
        <v>6</v>
      </c>
      <c r="D384" s="8" t="s">
        <v>63</v>
      </c>
      <c r="E384">
        <v>219</v>
      </c>
      <c r="F384" s="8">
        <v>1.85</v>
      </c>
      <c r="N384">
        <f t="shared" si="15"/>
        <v>196.22567489374998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10.762398000000001</v>
      </c>
      <c r="P384">
        <f t="shared" si="16"/>
        <v>10.762398000000001</v>
      </c>
      <c r="S384">
        <f t="shared" si="17"/>
        <v>2.6880229437500001</v>
      </c>
    </row>
    <row r="385" spans="1:19">
      <c r="A385" s="9">
        <v>42396</v>
      </c>
      <c r="B385" s="8" t="s">
        <v>24</v>
      </c>
      <c r="C385" s="8">
        <v>6</v>
      </c>
      <c r="D385" s="8" t="s">
        <v>63</v>
      </c>
      <c r="E385">
        <v>119</v>
      </c>
      <c r="F385" s="8">
        <v>1.1399999999999999</v>
      </c>
      <c r="N385">
        <f t="shared" si="15"/>
        <v>40.487869442999987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3.7518979999999997</v>
      </c>
      <c r="P385">
        <f t="shared" si="16"/>
        <v>3.7518979999999997</v>
      </c>
      <c r="S385">
        <f t="shared" si="17"/>
        <v>1.0207025909999998</v>
      </c>
    </row>
    <row r="386" spans="1:19">
      <c r="A386" s="9">
        <v>42396</v>
      </c>
      <c r="B386" s="8" t="s">
        <v>24</v>
      </c>
      <c r="C386" s="8">
        <v>6</v>
      </c>
      <c r="D386" s="8" t="s">
        <v>63</v>
      </c>
      <c r="E386">
        <v>204</v>
      </c>
      <c r="F386" s="8">
        <v>1.43</v>
      </c>
      <c r="N386">
        <f t="shared" si="15"/>
        <v>109.21203564699998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9.7108230000000013</v>
      </c>
      <c r="P386">
        <f t="shared" si="16"/>
        <v>9.7108230000000013</v>
      </c>
      <c r="S386">
        <f t="shared" si="17"/>
        <v>1.6060593477499998</v>
      </c>
    </row>
    <row r="387" spans="1:19">
      <c r="A387" s="9">
        <v>42396</v>
      </c>
      <c r="B387" s="8" t="s">
        <v>24</v>
      </c>
      <c r="C387" s="8">
        <v>6</v>
      </c>
      <c r="D387" s="8" t="s">
        <v>63</v>
      </c>
      <c r="E387" s="8">
        <v>181</v>
      </c>
      <c r="F387" s="8">
        <v>1.8</v>
      </c>
      <c r="N387">
        <f t="shared" si="15"/>
        <v>153.52950329999999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8.0984079999999992</v>
      </c>
      <c r="P387">
        <f t="shared" si="16"/>
        <v>8.0984079999999992</v>
      </c>
      <c r="S387">
        <f t="shared" si="17"/>
        <v>2.5446879</v>
      </c>
    </row>
    <row r="388" spans="1:19">
      <c r="A388" s="9">
        <v>42396</v>
      </c>
      <c r="B388" s="8" t="s">
        <v>24</v>
      </c>
      <c r="C388" s="8">
        <v>6</v>
      </c>
      <c r="D388" s="8" t="s">
        <v>63</v>
      </c>
      <c r="E388">
        <v>139</v>
      </c>
      <c r="F388" s="8">
        <v>1.1399999999999999</v>
      </c>
      <c r="N388">
        <f t="shared" ref="N388:N451" si="18">IF(OR(D388="S. acutus", D388="S. tabernaemontani", D388="S. californicus"),(1/3)*(3.14159)*((F388/2)^2)*E388,"NA")</f>
        <v>47.292553382999984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5.1539980000000005</v>
      </c>
      <c r="P388">
        <f t="shared" si="16"/>
        <v>5.1539980000000005</v>
      </c>
      <c r="S388">
        <f t="shared" si="17"/>
        <v>1.0207025909999998</v>
      </c>
    </row>
    <row r="389" spans="1:19">
      <c r="A389" s="9">
        <v>42396</v>
      </c>
      <c r="B389" s="8" t="s">
        <v>24</v>
      </c>
      <c r="C389" s="8">
        <v>6</v>
      </c>
      <c r="D389" s="8" t="s">
        <v>63</v>
      </c>
      <c r="E389">
        <v>179</v>
      </c>
      <c r="F389" s="8">
        <v>1.29</v>
      </c>
      <c r="N389">
        <f t="shared" si="18"/>
        <v>77.983138791749994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7.9581980000000003</v>
      </c>
      <c r="P389">
        <f t="shared" ref="P389:P452" si="19">IF(O389&lt;0," ",O389)</f>
        <v>7.9581980000000003</v>
      </c>
      <c r="S389">
        <f t="shared" ref="S389:S452" si="20">3.14159*((F389/2)^2)</f>
        <v>1.3069799797500001</v>
      </c>
    </row>
    <row r="390" spans="1:19">
      <c r="A390" s="9">
        <v>42396</v>
      </c>
      <c r="B390" s="8" t="s">
        <v>24</v>
      </c>
      <c r="C390" s="8">
        <v>6</v>
      </c>
      <c r="D390" s="8" t="s">
        <v>63</v>
      </c>
      <c r="E390">
        <v>166</v>
      </c>
      <c r="F390" s="8">
        <v>1.1000000000000001</v>
      </c>
      <c r="N390">
        <f t="shared" si="18"/>
        <v>52.58498061666667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7.0468330000000003</v>
      </c>
      <c r="P390">
        <f t="shared" si="19"/>
        <v>7.0468330000000003</v>
      </c>
      <c r="S390">
        <f t="shared" si="20"/>
        <v>0.95033097500000008</v>
      </c>
    </row>
    <row r="391" spans="1:19">
      <c r="A391" s="9">
        <v>42396</v>
      </c>
      <c r="B391" s="8" t="s">
        <v>24</v>
      </c>
      <c r="C391" s="8">
        <v>6</v>
      </c>
      <c r="D391" s="8" t="s">
        <v>63</v>
      </c>
      <c r="E391">
        <v>27</v>
      </c>
      <c r="F391" s="8">
        <v>0.79</v>
      </c>
      <c r="N391">
        <f t="shared" si="18"/>
        <v>4.4114992177500003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-2.697762</v>
      </c>
      <c r="P391" t="str">
        <f t="shared" si="19"/>
        <v xml:space="preserve"> </v>
      </c>
      <c r="S391">
        <f t="shared" si="20"/>
        <v>0.49016657975000005</v>
      </c>
    </row>
    <row r="392" spans="1:19">
      <c r="A392" s="9">
        <v>42396</v>
      </c>
      <c r="B392" s="8" t="s">
        <v>24</v>
      </c>
      <c r="C392" s="8">
        <v>6</v>
      </c>
      <c r="D392" s="8" t="s">
        <v>63</v>
      </c>
      <c r="E392">
        <v>122</v>
      </c>
      <c r="F392" s="8">
        <v>1.65</v>
      </c>
      <c r="N392">
        <f t="shared" si="18"/>
        <v>86.95528421249999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3.9622130000000011</v>
      </c>
      <c r="P392">
        <f t="shared" si="19"/>
        <v>3.9622130000000011</v>
      </c>
      <c r="S392">
        <f t="shared" si="20"/>
        <v>2.1382446937499995</v>
      </c>
    </row>
    <row r="393" spans="1:19">
      <c r="A393" s="9">
        <v>42396</v>
      </c>
      <c r="B393" s="8" t="s">
        <v>24</v>
      </c>
      <c r="C393" s="8">
        <v>6</v>
      </c>
      <c r="D393" s="8" t="s">
        <v>63</v>
      </c>
      <c r="E393">
        <v>139</v>
      </c>
      <c r="F393" s="8">
        <v>1.79</v>
      </c>
      <c r="N393">
        <f t="shared" si="18"/>
        <v>116.59746867841665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5.1539980000000005</v>
      </c>
      <c r="P393">
        <f t="shared" si="19"/>
        <v>5.1539980000000005</v>
      </c>
      <c r="S393">
        <f t="shared" si="20"/>
        <v>2.51649212975</v>
      </c>
    </row>
    <row r="394" spans="1:19">
      <c r="A394" s="9">
        <v>42396</v>
      </c>
      <c r="B394" s="8" t="s">
        <v>24</v>
      </c>
      <c r="C394" s="8">
        <v>6</v>
      </c>
      <c r="D394" s="8" t="s">
        <v>63</v>
      </c>
      <c r="E394">
        <v>27</v>
      </c>
      <c r="F394" s="8">
        <v>0.39</v>
      </c>
      <c r="N394">
        <f t="shared" si="18"/>
        <v>1.0751306377499998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-2.697762</v>
      </c>
      <c r="P394" t="str">
        <f t="shared" si="19"/>
        <v xml:space="preserve"> </v>
      </c>
      <c r="S394">
        <f t="shared" si="20"/>
        <v>0.11945895975000001</v>
      </c>
    </row>
    <row r="395" spans="1:19">
      <c r="A395" s="9">
        <v>42396</v>
      </c>
      <c r="B395" s="8" t="s">
        <v>24</v>
      </c>
      <c r="C395" s="8">
        <v>6</v>
      </c>
      <c r="D395" s="8" t="s">
        <v>63</v>
      </c>
      <c r="E395">
        <v>27</v>
      </c>
      <c r="F395" s="8">
        <v>0.42</v>
      </c>
      <c r="N395">
        <f t="shared" si="18"/>
        <v>1.2468970709999998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-2.697762</v>
      </c>
      <c r="P395" t="str">
        <f t="shared" si="19"/>
        <v xml:space="preserve"> </v>
      </c>
      <c r="S395">
        <f t="shared" si="20"/>
        <v>0.13854411899999997</v>
      </c>
    </row>
    <row r="396" spans="1:19">
      <c r="A396" s="9">
        <v>42396</v>
      </c>
      <c r="B396" s="8" t="s">
        <v>24</v>
      </c>
      <c r="C396" s="8">
        <v>6</v>
      </c>
      <c r="D396" s="8" t="s">
        <v>63</v>
      </c>
      <c r="E396">
        <v>124</v>
      </c>
      <c r="F396" s="8">
        <v>1.03</v>
      </c>
      <c r="N396">
        <f t="shared" si="18"/>
        <v>34.440099253666666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4.1024230000000008</v>
      </c>
      <c r="P396">
        <f t="shared" si="19"/>
        <v>4.1024230000000008</v>
      </c>
      <c r="S396">
        <f t="shared" si="20"/>
        <v>0.83322820774999995</v>
      </c>
    </row>
    <row r="397" spans="1:19">
      <c r="A397" s="9">
        <v>42396</v>
      </c>
      <c r="B397" s="8" t="s">
        <v>24</v>
      </c>
      <c r="C397" s="8">
        <v>6</v>
      </c>
      <c r="D397" s="8" t="s">
        <v>63</v>
      </c>
      <c r="E397">
        <v>135</v>
      </c>
      <c r="F397" s="8">
        <v>1.38</v>
      </c>
      <c r="N397">
        <f t="shared" si="18"/>
        <v>67.306994954999979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4.8735780000000011</v>
      </c>
      <c r="P397">
        <f t="shared" si="19"/>
        <v>4.8735780000000011</v>
      </c>
      <c r="S397">
        <f t="shared" si="20"/>
        <v>1.4957109989999997</v>
      </c>
    </row>
    <row r="398" spans="1:19">
      <c r="A398" s="9">
        <v>42396</v>
      </c>
      <c r="B398" s="8" t="s">
        <v>24</v>
      </c>
      <c r="C398" s="8">
        <v>6</v>
      </c>
      <c r="D398" s="8" t="s">
        <v>63</v>
      </c>
      <c r="E398">
        <v>137</v>
      </c>
      <c r="F398" s="8">
        <v>1.76</v>
      </c>
      <c r="N398">
        <f t="shared" si="18"/>
        <v>111.10002651733332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5.0137880000000008</v>
      </c>
      <c r="P398">
        <f t="shared" si="19"/>
        <v>5.0137880000000008</v>
      </c>
      <c r="S398">
        <f t="shared" si="20"/>
        <v>2.4328472959999998</v>
      </c>
    </row>
    <row r="399" spans="1:19">
      <c r="A399" s="9">
        <v>42396</v>
      </c>
      <c r="B399" s="8" t="s">
        <v>24</v>
      </c>
      <c r="C399" s="8">
        <v>6</v>
      </c>
      <c r="D399" s="8" t="s">
        <v>63</v>
      </c>
      <c r="E399">
        <v>122</v>
      </c>
      <c r="F399" s="8">
        <v>1.38</v>
      </c>
      <c r="N399">
        <f t="shared" si="18"/>
        <v>60.825580625999983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3.9622130000000011</v>
      </c>
      <c r="P399">
        <f t="shared" si="19"/>
        <v>3.9622130000000011</v>
      </c>
      <c r="S399">
        <f t="shared" si="20"/>
        <v>1.4957109989999997</v>
      </c>
    </row>
    <row r="400" spans="1:19">
      <c r="A400" s="9">
        <v>42396</v>
      </c>
      <c r="B400" s="8" t="s">
        <v>24</v>
      </c>
      <c r="C400" s="8">
        <v>6</v>
      </c>
      <c r="D400" s="8" t="s">
        <v>63</v>
      </c>
      <c r="E400">
        <v>135</v>
      </c>
      <c r="F400" s="8">
        <v>1.32</v>
      </c>
      <c r="N400">
        <f t="shared" si="18"/>
        <v>61.581447179999998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4.8735780000000011</v>
      </c>
      <c r="P400">
        <f t="shared" si="19"/>
        <v>4.8735780000000011</v>
      </c>
      <c r="S400">
        <f t="shared" si="20"/>
        <v>1.368476604</v>
      </c>
    </row>
    <row r="401" spans="1:19">
      <c r="A401" s="9">
        <v>42396</v>
      </c>
      <c r="B401" s="8" t="s">
        <v>24</v>
      </c>
      <c r="C401" s="8">
        <v>6</v>
      </c>
      <c r="D401" s="8" t="s">
        <v>63</v>
      </c>
      <c r="E401">
        <v>155</v>
      </c>
      <c r="F401" s="8">
        <v>1.28</v>
      </c>
      <c r="N401">
        <f t="shared" si="18"/>
        <v>66.484421973333326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6.2756780000000001</v>
      </c>
      <c r="P401">
        <f t="shared" si="19"/>
        <v>6.2756780000000001</v>
      </c>
      <c r="S401">
        <f t="shared" si="20"/>
        <v>1.286795264</v>
      </c>
    </row>
    <row r="402" spans="1:19">
      <c r="A402" s="9">
        <v>42396</v>
      </c>
      <c r="B402" s="8" t="s">
        <v>24</v>
      </c>
      <c r="C402" s="8">
        <v>6</v>
      </c>
      <c r="D402" s="8" t="s">
        <v>63</v>
      </c>
      <c r="E402">
        <v>127</v>
      </c>
      <c r="F402" s="8">
        <v>0.92</v>
      </c>
      <c r="G402" s="8">
        <v>4</v>
      </c>
      <c r="N402">
        <f t="shared" si="18"/>
        <v>28.141525462666667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4.7337215395338372</v>
      </c>
      <c r="P402">
        <f t="shared" si="19"/>
        <v>4.7337215395338372</v>
      </c>
      <c r="S402">
        <f t="shared" si="20"/>
        <v>0.66476044400000001</v>
      </c>
    </row>
    <row r="403" spans="1:19">
      <c r="A403" s="9">
        <v>42396</v>
      </c>
      <c r="B403" s="8" t="s">
        <v>24</v>
      </c>
      <c r="C403" s="8">
        <v>6</v>
      </c>
      <c r="D403" s="8" t="s">
        <v>63</v>
      </c>
      <c r="E403">
        <v>26</v>
      </c>
      <c r="F403" s="8">
        <v>1.03</v>
      </c>
      <c r="N403">
        <f t="shared" si="18"/>
        <v>7.2213111338333329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-2.7678669999999999</v>
      </c>
      <c r="P403" t="str">
        <f t="shared" si="19"/>
        <v xml:space="preserve"> </v>
      </c>
      <c r="S403">
        <f t="shared" si="20"/>
        <v>0.83322820774999995</v>
      </c>
    </row>
    <row r="404" spans="1:19">
      <c r="A404" s="9">
        <v>42396</v>
      </c>
      <c r="B404" s="8" t="s">
        <v>24</v>
      </c>
      <c r="C404" s="8">
        <v>6</v>
      </c>
      <c r="D404" s="8" t="s">
        <v>63</v>
      </c>
      <c r="E404">
        <v>104</v>
      </c>
      <c r="F404" s="8">
        <v>1.52</v>
      </c>
      <c r="N404">
        <f t="shared" si="18"/>
        <v>62.905522645333335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2.700323</v>
      </c>
      <c r="P404">
        <f t="shared" si="19"/>
        <v>2.700323</v>
      </c>
      <c r="S404">
        <f t="shared" si="20"/>
        <v>1.8145823839999999</v>
      </c>
    </row>
    <row r="405" spans="1:19">
      <c r="A405" s="9">
        <v>42396</v>
      </c>
      <c r="B405" s="8" t="s">
        <v>24</v>
      </c>
      <c r="C405" s="8">
        <v>6</v>
      </c>
      <c r="D405" s="8" t="s">
        <v>63</v>
      </c>
      <c r="E405">
        <v>64</v>
      </c>
      <c r="F405" s="8">
        <v>0.89</v>
      </c>
      <c r="N405">
        <f t="shared" si="18"/>
        <v>13.271751674666666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-0.10387699999999978</v>
      </c>
      <c r="P405" t="str">
        <f t="shared" si="19"/>
        <v xml:space="preserve"> </v>
      </c>
      <c r="S405">
        <f t="shared" si="20"/>
        <v>0.62211335975000004</v>
      </c>
    </row>
    <row r="406" spans="1:19">
      <c r="A406" s="9">
        <v>42396</v>
      </c>
      <c r="B406" s="8" t="s">
        <v>24</v>
      </c>
      <c r="C406" s="8">
        <v>6</v>
      </c>
      <c r="D406" s="8" t="s">
        <v>63</v>
      </c>
      <c r="E406">
        <v>17</v>
      </c>
      <c r="F406" s="8">
        <v>0.85</v>
      </c>
      <c r="N406">
        <f t="shared" si="18"/>
        <v>3.2155482645833326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-3.3988119999999995</v>
      </c>
      <c r="P406" t="str">
        <f t="shared" si="19"/>
        <v xml:space="preserve"> </v>
      </c>
      <c r="S406">
        <f t="shared" si="20"/>
        <v>0.56744969374999987</v>
      </c>
    </row>
    <row r="407" spans="1:19">
      <c r="A407" s="9">
        <v>42396</v>
      </c>
      <c r="B407" s="8" t="s">
        <v>24</v>
      </c>
      <c r="C407" s="8">
        <v>6</v>
      </c>
      <c r="D407" s="8" t="s">
        <v>63</v>
      </c>
      <c r="E407">
        <v>82</v>
      </c>
      <c r="F407" s="8">
        <v>0.69</v>
      </c>
      <c r="N407">
        <f t="shared" si="18"/>
        <v>10.220691826499998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1.1580130000000004</v>
      </c>
      <c r="P407">
        <f t="shared" si="19"/>
        <v>1.1580130000000004</v>
      </c>
      <c r="S407">
        <f t="shared" si="20"/>
        <v>0.37392774974999993</v>
      </c>
    </row>
    <row r="408" spans="1:19">
      <c r="A408" s="9">
        <v>42396</v>
      </c>
      <c r="B408" s="8" t="s">
        <v>24</v>
      </c>
      <c r="C408" s="8">
        <v>6</v>
      </c>
      <c r="D408" s="8" t="s">
        <v>63</v>
      </c>
      <c r="E408">
        <v>187</v>
      </c>
      <c r="F408" s="8">
        <v>0.73</v>
      </c>
      <c r="N408">
        <f t="shared" si="18"/>
        <v>26.088889096416661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8.5190380000000019</v>
      </c>
      <c r="P408">
        <f t="shared" si="19"/>
        <v>8.5190380000000019</v>
      </c>
      <c r="S408">
        <f t="shared" si="20"/>
        <v>0.41853832774999994</v>
      </c>
    </row>
    <row r="409" spans="1:19">
      <c r="A409" s="9">
        <v>42396</v>
      </c>
      <c r="B409" s="8" t="s">
        <v>24</v>
      </c>
      <c r="C409" s="8">
        <v>6</v>
      </c>
      <c r="D409" s="8" t="s">
        <v>63</v>
      </c>
      <c r="E409">
        <v>128</v>
      </c>
      <c r="F409" s="8">
        <v>0.9</v>
      </c>
      <c r="N409">
        <f t="shared" si="18"/>
        <v>27.143337599999999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4.3828430000000003</v>
      </c>
      <c r="P409">
        <f t="shared" si="19"/>
        <v>4.3828430000000003</v>
      </c>
      <c r="S409">
        <f t="shared" si="20"/>
        <v>0.636171975</v>
      </c>
    </row>
    <row r="410" spans="1:19">
      <c r="A410" s="9">
        <v>42396</v>
      </c>
      <c r="B410" s="8" t="s">
        <v>24</v>
      </c>
      <c r="C410" s="8">
        <v>6</v>
      </c>
      <c r="D410" s="8" t="s">
        <v>63</v>
      </c>
      <c r="E410">
        <v>95</v>
      </c>
      <c r="F410" s="8">
        <v>0.81</v>
      </c>
      <c r="N410">
        <f t="shared" si="18"/>
        <v>16.317811158750001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2.0693780000000004</v>
      </c>
      <c r="P410">
        <f t="shared" si="19"/>
        <v>2.0693780000000004</v>
      </c>
      <c r="S410">
        <f t="shared" si="20"/>
        <v>0.51529929975000011</v>
      </c>
    </row>
    <row r="411" spans="1:19">
      <c r="A411" s="9">
        <v>42396</v>
      </c>
      <c r="B411" s="8" t="s">
        <v>24</v>
      </c>
      <c r="C411" s="8">
        <v>6</v>
      </c>
      <c r="D411" s="8" t="s">
        <v>63</v>
      </c>
      <c r="E411">
        <v>170</v>
      </c>
      <c r="F411" s="8">
        <v>1.79</v>
      </c>
      <c r="N411">
        <f t="shared" si="18"/>
        <v>142.60122068583331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7.3272529999999998</v>
      </c>
      <c r="P411">
        <f t="shared" si="19"/>
        <v>7.3272529999999998</v>
      </c>
      <c r="S411">
        <f t="shared" si="20"/>
        <v>2.51649212975</v>
      </c>
    </row>
    <row r="412" spans="1:19">
      <c r="A412" s="9">
        <v>42396</v>
      </c>
      <c r="B412" s="8" t="s">
        <v>24</v>
      </c>
      <c r="C412" s="8">
        <v>6</v>
      </c>
      <c r="D412" s="8" t="s">
        <v>63</v>
      </c>
      <c r="E412">
        <v>36</v>
      </c>
      <c r="F412" s="8">
        <v>1.08</v>
      </c>
      <c r="N412">
        <f t="shared" si="18"/>
        <v>10.993051728000001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-2.0668169999999999</v>
      </c>
      <c r="P412" t="str">
        <f t="shared" si="19"/>
        <v xml:space="preserve"> </v>
      </c>
      <c r="S412">
        <f t="shared" si="20"/>
        <v>0.91608764400000009</v>
      </c>
    </row>
    <row r="413" spans="1:19">
      <c r="A413" s="9">
        <v>42396</v>
      </c>
      <c r="B413" s="8" t="s">
        <v>24</v>
      </c>
      <c r="C413" s="8">
        <v>6</v>
      </c>
      <c r="D413" s="8" t="s">
        <v>63</v>
      </c>
      <c r="E413">
        <v>192</v>
      </c>
      <c r="F413" s="8">
        <v>1.64</v>
      </c>
      <c r="N413">
        <f t="shared" si="18"/>
        <v>135.19392742399998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8.8695629999999994</v>
      </c>
      <c r="P413">
        <f t="shared" si="19"/>
        <v>8.8695629999999994</v>
      </c>
      <c r="S413">
        <f t="shared" si="20"/>
        <v>2.1124051159999997</v>
      </c>
    </row>
    <row r="414" spans="1:19">
      <c r="A414" s="9">
        <v>42396</v>
      </c>
      <c r="B414" s="8" t="s">
        <v>24</v>
      </c>
      <c r="C414" s="8">
        <v>6</v>
      </c>
      <c r="D414" s="8" t="s">
        <v>63</v>
      </c>
      <c r="E414">
        <v>29</v>
      </c>
      <c r="F414" s="8">
        <v>1.28</v>
      </c>
      <c r="N414">
        <f t="shared" si="18"/>
        <v>12.439020885333333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-2.5575519999999998</v>
      </c>
      <c r="P414" t="str">
        <f t="shared" si="19"/>
        <v xml:space="preserve"> </v>
      </c>
      <c r="S414">
        <f t="shared" si="20"/>
        <v>1.286795264</v>
      </c>
    </row>
    <row r="415" spans="1:19">
      <c r="A415" s="9">
        <v>42396</v>
      </c>
      <c r="B415" s="8" t="s">
        <v>24</v>
      </c>
      <c r="C415" s="8">
        <v>6</v>
      </c>
      <c r="D415" s="8" t="s">
        <v>63</v>
      </c>
      <c r="E415">
        <v>149</v>
      </c>
      <c r="F415" s="8">
        <v>1.5</v>
      </c>
      <c r="N415">
        <f t="shared" si="18"/>
        <v>87.768170624999982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5.8550480000000009</v>
      </c>
      <c r="P415">
        <f t="shared" si="19"/>
        <v>5.8550480000000009</v>
      </c>
      <c r="S415">
        <f t="shared" si="20"/>
        <v>1.767144375</v>
      </c>
    </row>
    <row r="416" spans="1:19">
      <c r="A416" s="9">
        <v>42396</v>
      </c>
      <c r="B416" s="8" t="s">
        <v>24</v>
      </c>
      <c r="C416" s="8">
        <v>6</v>
      </c>
      <c r="D416" s="8" t="s">
        <v>63</v>
      </c>
      <c r="E416">
        <v>165</v>
      </c>
      <c r="F416" s="8">
        <v>1.49</v>
      </c>
      <c r="N416">
        <f t="shared" si="18"/>
        <v>95.901354436249989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6.9767280000000005</v>
      </c>
      <c r="P416">
        <f t="shared" si="19"/>
        <v>6.9767280000000005</v>
      </c>
      <c r="S416">
        <f t="shared" si="20"/>
        <v>1.7436609897499999</v>
      </c>
    </row>
    <row r="417" spans="1:19">
      <c r="A417" s="9">
        <v>42396</v>
      </c>
      <c r="B417" s="8" t="s">
        <v>24</v>
      </c>
      <c r="C417" s="8">
        <v>6</v>
      </c>
      <c r="D417" s="8" t="s">
        <v>63</v>
      </c>
      <c r="E417">
        <v>67</v>
      </c>
      <c r="F417" s="8">
        <v>1.0900000000000001</v>
      </c>
      <c r="N417">
        <f t="shared" si="18"/>
        <v>20.839920524416669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0.10643799999999981</v>
      </c>
      <c r="P417">
        <f t="shared" si="19"/>
        <v>0.10643799999999981</v>
      </c>
      <c r="S417">
        <f t="shared" si="20"/>
        <v>0.93313076975000009</v>
      </c>
    </row>
    <row r="418" spans="1:19">
      <c r="A418" s="9">
        <v>42396</v>
      </c>
      <c r="B418" s="8" t="s">
        <v>24</v>
      </c>
      <c r="C418" s="8">
        <v>6</v>
      </c>
      <c r="D418" s="8" t="s">
        <v>63</v>
      </c>
      <c r="E418">
        <v>181</v>
      </c>
      <c r="F418" s="8">
        <v>2.3199999999999998</v>
      </c>
      <c r="N418">
        <f t="shared" si="18"/>
        <v>255.04851807466662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8.0984079999999992</v>
      </c>
      <c r="P418">
        <f t="shared" si="19"/>
        <v>8.0984079999999992</v>
      </c>
      <c r="S418">
        <f t="shared" si="20"/>
        <v>4.2273235039999992</v>
      </c>
    </row>
    <row r="419" spans="1:19">
      <c r="A419" s="9">
        <v>42396</v>
      </c>
      <c r="B419" s="8" t="s">
        <v>24</v>
      </c>
      <c r="C419" s="8">
        <v>6</v>
      </c>
      <c r="D419" s="8" t="s">
        <v>63</v>
      </c>
      <c r="E419">
        <v>45</v>
      </c>
      <c r="F419" s="8">
        <v>1.01</v>
      </c>
      <c r="N419">
        <f t="shared" si="18"/>
        <v>12.01775984625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-1.4358719999999998</v>
      </c>
      <c r="P419" t="str">
        <f t="shared" si="19"/>
        <v xml:space="preserve"> </v>
      </c>
      <c r="S419">
        <f t="shared" si="20"/>
        <v>0.80118398974999994</v>
      </c>
    </row>
    <row r="420" spans="1:19">
      <c r="A420" s="9">
        <v>42396</v>
      </c>
      <c r="B420" s="8" t="s">
        <v>24</v>
      </c>
      <c r="C420" s="8">
        <v>6</v>
      </c>
      <c r="D420" s="8" t="s">
        <v>63</v>
      </c>
      <c r="E420">
        <v>162</v>
      </c>
      <c r="F420" s="8">
        <v>1.49</v>
      </c>
      <c r="N420">
        <f t="shared" si="18"/>
        <v>94.157693446499991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6.7664130000000009</v>
      </c>
      <c r="P420">
        <f t="shared" si="19"/>
        <v>6.7664130000000009</v>
      </c>
      <c r="S420">
        <f t="shared" si="20"/>
        <v>1.7436609897499999</v>
      </c>
    </row>
    <row r="421" spans="1:19">
      <c r="A421" s="9">
        <v>42396</v>
      </c>
      <c r="B421" s="8" t="s">
        <v>24</v>
      </c>
      <c r="C421" s="8">
        <v>6</v>
      </c>
      <c r="D421" s="8" t="s">
        <v>63</v>
      </c>
      <c r="E421">
        <v>174</v>
      </c>
      <c r="F421" s="8">
        <v>1.25</v>
      </c>
      <c r="N421">
        <f t="shared" si="18"/>
        <v>71.176648437499992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7.607673000000001</v>
      </c>
      <c r="P421">
        <f t="shared" si="19"/>
        <v>7.607673000000001</v>
      </c>
      <c r="S421">
        <f t="shared" si="20"/>
        <v>1.22718359375</v>
      </c>
    </row>
    <row r="422" spans="1:19">
      <c r="A422" s="9">
        <v>42396</v>
      </c>
      <c r="B422" s="8" t="s">
        <v>24</v>
      </c>
      <c r="C422" s="8">
        <v>6</v>
      </c>
      <c r="D422" s="8" t="s">
        <v>63</v>
      </c>
      <c r="E422">
        <v>130</v>
      </c>
      <c r="F422" s="8">
        <v>1.2</v>
      </c>
      <c r="N422">
        <f t="shared" si="18"/>
        <v>49.008803999999998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4.523053</v>
      </c>
      <c r="P422">
        <f t="shared" si="19"/>
        <v>4.523053</v>
      </c>
      <c r="S422">
        <f t="shared" si="20"/>
        <v>1.1309723999999999</v>
      </c>
    </row>
    <row r="423" spans="1:19">
      <c r="A423" s="9">
        <v>42396</v>
      </c>
      <c r="B423" s="8" t="s">
        <v>24</v>
      </c>
      <c r="C423" s="8">
        <v>6</v>
      </c>
      <c r="D423" s="8" t="s">
        <v>63</v>
      </c>
      <c r="E423">
        <v>160</v>
      </c>
      <c r="F423" s="8">
        <v>2.02</v>
      </c>
      <c r="N423">
        <f t="shared" si="18"/>
        <v>170.91925114666665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6.6262029999999994</v>
      </c>
      <c r="P423">
        <f t="shared" si="19"/>
        <v>6.6262029999999994</v>
      </c>
      <c r="S423">
        <f t="shared" si="20"/>
        <v>3.2047359589999997</v>
      </c>
    </row>
    <row r="424" spans="1:19">
      <c r="A424" s="9">
        <v>42396</v>
      </c>
      <c r="B424" s="8" t="s">
        <v>24</v>
      </c>
      <c r="C424" s="8">
        <v>6</v>
      </c>
      <c r="D424" s="8" t="s">
        <v>63</v>
      </c>
      <c r="E424">
        <v>148</v>
      </c>
      <c r="F424" s="8">
        <v>1.38</v>
      </c>
      <c r="N424">
        <f t="shared" si="18"/>
        <v>73.788409283999982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5.7849430000000011</v>
      </c>
      <c r="P424">
        <f t="shared" si="19"/>
        <v>5.7849430000000011</v>
      </c>
      <c r="S424">
        <f t="shared" si="20"/>
        <v>1.4957109989999997</v>
      </c>
    </row>
    <row r="425" spans="1:19">
      <c r="A425" s="9">
        <v>42396</v>
      </c>
      <c r="B425" s="8" t="s">
        <v>24</v>
      </c>
      <c r="C425" s="8">
        <v>6</v>
      </c>
      <c r="D425" s="8" t="s">
        <v>63</v>
      </c>
      <c r="E425">
        <v>113</v>
      </c>
      <c r="F425" s="8">
        <v>2</v>
      </c>
      <c r="N425">
        <f t="shared" si="18"/>
        <v>118.33322333333332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3.3312680000000006</v>
      </c>
      <c r="P425">
        <f t="shared" si="19"/>
        <v>3.3312680000000006</v>
      </c>
      <c r="S425">
        <f t="shared" si="20"/>
        <v>3.1415899999999999</v>
      </c>
    </row>
    <row r="426" spans="1:19">
      <c r="A426" s="9">
        <v>42396</v>
      </c>
      <c r="B426" s="8" t="s">
        <v>24</v>
      </c>
      <c r="C426" s="8">
        <v>6</v>
      </c>
      <c r="D426" s="8" t="s">
        <v>63</v>
      </c>
      <c r="E426">
        <v>132</v>
      </c>
      <c r="F426" s="8">
        <v>1.2</v>
      </c>
      <c r="N426">
        <f t="shared" si="18"/>
        <v>49.762785599999994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4.6632629999999997</v>
      </c>
      <c r="P426">
        <f t="shared" si="19"/>
        <v>4.6632629999999997</v>
      </c>
      <c r="S426">
        <f t="shared" si="20"/>
        <v>1.1309723999999999</v>
      </c>
    </row>
    <row r="427" spans="1:19">
      <c r="A427" s="9">
        <v>42396</v>
      </c>
      <c r="B427" s="8" t="s">
        <v>24</v>
      </c>
      <c r="C427" s="8">
        <v>6</v>
      </c>
      <c r="D427" s="8" t="s">
        <v>63</v>
      </c>
      <c r="E427">
        <v>56</v>
      </c>
      <c r="F427" s="8">
        <v>1</v>
      </c>
      <c r="N427">
        <f t="shared" si="18"/>
        <v>14.660753333333332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-0.66471699999999956</v>
      </c>
      <c r="P427" t="str">
        <f t="shared" si="19"/>
        <v xml:space="preserve"> </v>
      </c>
      <c r="S427">
        <f t="shared" si="20"/>
        <v>0.78539749999999997</v>
      </c>
    </row>
    <row r="428" spans="1:19">
      <c r="A428" s="9">
        <v>42396</v>
      </c>
      <c r="B428" s="8" t="s">
        <v>24</v>
      </c>
      <c r="C428" s="8">
        <v>6</v>
      </c>
      <c r="D428" s="8" t="s">
        <v>63</v>
      </c>
      <c r="E428">
        <v>16</v>
      </c>
      <c r="F428" s="8">
        <v>0.59</v>
      </c>
      <c r="N428">
        <f t="shared" si="18"/>
        <v>1.4581166386666664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-3.4689169999999998</v>
      </c>
      <c r="P428" t="str">
        <f t="shared" si="19"/>
        <v xml:space="preserve"> </v>
      </c>
      <c r="S428">
        <f t="shared" si="20"/>
        <v>0.27339686974999994</v>
      </c>
    </row>
    <row r="429" spans="1:19">
      <c r="A429" s="9">
        <v>42396</v>
      </c>
      <c r="B429" s="8" t="s">
        <v>24</v>
      </c>
      <c r="C429" s="8">
        <v>6</v>
      </c>
      <c r="D429" s="8" t="s">
        <v>63</v>
      </c>
      <c r="E429">
        <v>129</v>
      </c>
      <c r="F429" s="8">
        <v>1</v>
      </c>
      <c r="N429">
        <f t="shared" si="18"/>
        <v>33.772092499999999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4.4529480000000001</v>
      </c>
      <c r="P429">
        <f t="shared" si="19"/>
        <v>4.4529480000000001</v>
      </c>
      <c r="S429">
        <f t="shared" si="20"/>
        <v>0.78539749999999997</v>
      </c>
    </row>
    <row r="430" spans="1:19">
      <c r="A430" s="9">
        <v>42396</v>
      </c>
      <c r="B430" s="8" t="s">
        <v>24</v>
      </c>
      <c r="C430" s="8">
        <v>6</v>
      </c>
      <c r="D430" s="8" t="s">
        <v>63</v>
      </c>
      <c r="E430">
        <v>66</v>
      </c>
      <c r="F430" s="8">
        <v>1.9</v>
      </c>
      <c r="N430">
        <f t="shared" si="18"/>
        <v>62.376269449999995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3.6332999999999949E-2</v>
      </c>
      <c r="P430">
        <f t="shared" si="19"/>
        <v>3.6332999999999949E-2</v>
      </c>
      <c r="S430">
        <f t="shared" si="20"/>
        <v>2.835284975</v>
      </c>
    </row>
    <row r="431" spans="1:19">
      <c r="A431" s="9">
        <v>42396</v>
      </c>
      <c r="B431" s="8" t="s">
        <v>24</v>
      </c>
      <c r="C431" s="8">
        <v>6</v>
      </c>
      <c r="D431" s="8" t="s">
        <v>63</v>
      </c>
      <c r="E431">
        <v>124</v>
      </c>
      <c r="F431" s="8">
        <v>1.32</v>
      </c>
      <c r="N431">
        <f t="shared" si="18"/>
        <v>56.563699632000002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4.1024230000000008</v>
      </c>
      <c r="P431">
        <f t="shared" si="19"/>
        <v>4.1024230000000008</v>
      </c>
      <c r="S431">
        <f t="shared" si="20"/>
        <v>1.368476604</v>
      </c>
    </row>
    <row r="432" spans="1:19">
      <c r="A432" s="9">
        <v>42396</v>
      </c>
      <c r="B432" s="8" t="s">
        <v>24</v>
      </c>
      <c r="C432" s="8">
        <v>6</v>
      </c>
      <c r="D432" s="8" t="s">
        <v>63</v>
      </c>
      <c r="E432">
        <v>100</v>
      </c>
      <c r="F432" s="8">
        <v>0.99</v>
      </c>
      <c r="N432">
        <f t="shared" si="18"/>
        <v>25.658936324999999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2.4199030000000006</v>
      </c>
      <c r="P432">
        <f t="shared" si="19"/>
        <v>2.4199030000000006</v>
      </c>
      <c r="S432">
        <f t="shared" si="20"/>
        <v>0.76976808975</v>
      </c>
    </row>
    <row r="433" spans="1:19">
      <c r="A433" s="9">
        <v>42396</v>
      </c>
      <c r="B433" s="8" t="s">
        <v>24</v>
      </c>
      <c r="C433" s="8">
        <v>6</v>
      </c>
      <c r="D433" s="8" t="s">
        <v>63</v>
      </c>
      <c r="E433">
        <v>89</v>
      </c>
      <c r="F433" s="8">
        <v>0.91</v>
      </c>
      <c r="N433">
        <f t="shared" si="18"/>
        <v>19.294834202583331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1.6487480000000003</v>
      </c>
      <c r="P433">
        <f t="shared" si="19"/>
        <v>1.6487480000000003</v>
      </c>
      <c r="S433">
        <f t="shared" si="20"/>
        <v>0.65038766975000006</v>
      </c>
    </row>
    <row r="434" spans="1:19">
      <c r="A434" s="9">
        <v>42396</v>
      </c>
      <c r="B434" s="8" t="s">
        <v>24</v>
      </c>
      <c r="C434" s="8">
        <v>6</v>
      </c>
      <c r="D434" s="8" t="s">
        <v>63</v>
      </c>
      <c r="E434">
        <v>95</v>
      </c>
      <c r="F434" s="8">
        <v>0.85</v>
      </c>
      <c r="N434">
        <f t="shared" si="18"/>
        <v>17.969240302083328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2.0693780000000004</v>
      </c>
      <c r="P434">
        <f t="shared" si="19"/>
        <v>2.0693780000000004</v>
      </c>
      <c r="S434">
        <f t="shared" si="20"/>
        <v>0.56744969374999987</v>
      </c>
    </row>
    <row r="435" spans="1:19">
      <c r="A435" s="9">
        <v>42396</v>
      </c>
      <c r="B435" s="8" t="s">
        <v>24</v>
      </c>
      <c r="C435" s="8">
        <v>6</v>
      </c>
      <c r="D435" s="8" t="s">
        <v>63</v>
      </c>
      <c r="E435">
        <v>157</v>
      </c>
      <c r="F435" s="8">
        <v>1.68</v>
      </c>
      <c r="N435">
        <f t="shared" si="18"/>
        <v>116.00760897599997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6.4158879999999998</v>
      </c>
      <c r="P435">
        <f t="shared" si="19"/>
        <v>6.4158879999999998</v>
      </c>
      <c r="S435">
        <f t="shared" si="20"/>
        <v>2.2167059039999994</v>
      </c>
    </row>
    <row r="436" spans="1:19">
      <c r="A436" s="9">
        <v>42396</v>
      </c>
      <c r="B436" s="8" t="s">
        <v>24</v>
      </c>
      <c r="C436" s="8">
        <v>6</v>
      </c>
      <c r="D436" s="8" t="s">
        <v>63</v>
      </c>
      <c r="E436">
        <v>30</v>
      </c>
      <c r="F436" s="8">
        <v>0.77</v>
      </c>
      <c r="N436">
        <f t="shared" si="18"/>
        <v>4.6566217774999989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-2.487447</v>
      </c>
      <c r="P436" t="str">
        <f t="shared" si="19"/>
        <v xml:space="preserve"> </v>
      </c>
      <c r="S436">
        <f t="shared" si="20"/>
        <v>0.46566217774999996</v>
      </c>
    </row>
    <row r="437" spans="1:19">
      <c r="A437" s="9">
        <v>42396</v>
      </c>
      <c r="B437" s="8" t="s">
        <v>24</v>
      </c>
      <c r="C437" s="8">
        <v>6</v>
      </c>
      <c r="D437" s="8" t="s">
        <v>63</v>
      </c>
      <c r="E437">
        <v>140</v>
      </c>
      <c r="F437" s="8">
        <v>1.1499999999999999</v>
      </c>
      <c r="N437">
        <f t="shared" si="18"/>
        <v>48.47211570833332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5.2241030000000004</v>
      </c>
      <c r="P437">
        <f t="shared" si="19"/>
        <v>5.2241030000000004</v>
      </c>
      <c r="S437">
        <f t="shared" si="20"/>
        <v>1.0386881937499999</v>
      </c>
    </row>
    <row r="438" spans="1:19">
      <c r="A438" s="9">
        <v>42396</v>
      </c>
      <c r="B438" s="8" t="s">
        <v>24</v>
      </c>
      <c r="C438" s="8">
        <v>6</v>
      </c>
      <c r="D438" s="8" t="s">
        <v>63</v>
      </c>
      <c r="E438">
        <v>126</v>
      </c>
      <c r="F438" s="8">
        <v>1.35</v>
      </c>
      <c r="N438">
        <f t="shared" si="18"/>
        <v>60.118251637500002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4.2426330000000005</v>
      </c>
      <c r="P438">
        <f t="shared" si="19"/>
        <v>4.2426330000000005</v>
      </c>
      <c r="S438">
        <f t="shared" si="20"/>
        <v>1.4313869437500002</v>
      </c>
    </row>
    <row r="439" spans="1:19">
      <c r="A439" s="9">
        <v>42396</v>
      </c>
      <c r="B439" s="8" t="s">
        <v>24</v>
      </c>
      <c r="C439" s="8">
        <v>6</v>
      </c>
      <c r="D439" s="8" t="s">
        <v>63</v>
      </c>
      <c r="E439">
        <v>73</v>
      </c>
      <c r="F439" s="8">
        <v>1.08</v>
      </c>
      <c r="N439">
        <f t="shared" si="18"/>
        <v>22.291466004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0.52706799999999987</v>
      </c>
      <c r="P439">
        <f t="shared" si="19"/>
        <v>0.52706799999999987</v>
      </c>
      <c r="S439">
        <f t="shared" si="20"/>
        <v>0.91608764400000009</v>
      </c>
    </row>
    <row r="440" spans="1:19">
      <c r="A440" s="9">
        <v>42396</v>
      </c>
      <c r="B440" s="8" t="s">
        <v>24</v>
      </c>
      <c r="C440" s="8">
        <v>6</v>
      </c>
      <c r="D440" s="8" t="s">
        <v>63</v>
      </c>
      <c r="E440">
        <v>140</v>
      </c>
      <c r="F440" s="8">
        <v>1.1499999999999999</v>
      </c>
      <c r="N440">
        <f t="shared" si="18"/>
        <v>48.47211570833332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5.2241030000000004</v>
      </c>
      <c r="P440">
        <f t="shared" si="19"/>
        <v>5.2241030000000004</v>
      </c>
      <c r="S440">
        <f t="shared" si="20"/>
        <v>1.0386881937499999</v>
      </c>
    </row>
    <row r="441" spans="1:19">
      <c r="A441" s="9">
        <v>42396</v>
      </c>
      <c r="B441" s="8" t="s">
        <v>24</v>
      </c>
      <c r="C441">
        <v>6</v>
      </c>
      <c r="D441" s="8" t="s">
        <v>63</v>
      </c>
      <c r="E441">
        <v>27</v>
      </c>
      <c r="F441" s="8">
        <v>0.44</v>
      </c>
      <c r="N441">
        <f t="shared" si="18"/>
        <v>1.3684766039999998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-2.697762</v>
      </c>
      <c r="P441" t="str">
        <f t="shared" si="19"/>
        <v xml:space="preserve"> </v>
      </c>
      <c r="S441">
        <f t="shared" si="20"/>
        <v>0.15205295599999999</v>
      </c>
    </row>
    <row r="442" spans="1:19">
      <c r="A442" s="9">
        <v>42396</v>
      </c>
      <c r="B442" s="8" t="s">
        <v>24</v>
      </c>
      <c r="C442" s="8">
        <v>6</v>
      </c>
      <c r="D442" s="8" t="s">
        <v>63</v>
      </c>
      <c r="E442">
        <v>122</v>
      </c>
      <c r="F442" s="8">
        <v>1.63</v>
      </c>
      <c r="N442">
        <f t="shared" si="18"/>
        <v>84.860053121833317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3.9622130000000011</v>
      </c>
      <c r="P442">
        <f t="shared" si="19"/>
        <v>3.9622130000000011</v>
      </c>
      <c r="S442">
        <f t="shared" si="20"/>
        <v>2.0867226177499996</v>
      </c>
    </row>
    <row r="443" spans="1:19">
      <c r="A443" s="9">
        <v>42396</v>
      </c>
      <c r="B443" s="8" t="s">
        <v>24</v>
      </c>
      <c r="C443" s="8">
        <v>6</v>
      </c>
      <c r="D443" s="8" t="s">
        <v>63</v>
      </c>
      <c r="E443">
        <v>176</v>
      </c>
      <c r="F443" s="8">
        <v>1.58</v>
      </c>
      <c r="N443">
        <f t="shared" si="18"/>
        <v>115.02575738133335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7.7478830000000007</v>
      </c>
      <c r="P443">
        <f t="shared" si="19"/>
        <v>7.7478830000000007</v>
      </c>
      <c r="S443">
        <f t="shared" si="20"/>
        <v>1.9606663190000002</v>
      </c>
    </row>
    <row r="444" spans="1:19">
      <c r="A444" s="9">
        <v>42396</v>
      </c>
      <c r="B444" s="8" t="s">
        <v>24</v>
      </c>
      <c r="C444" s="8">
        <v>6</v>
      </c>
      <c r="D444" s="8" t="s">
        <v>63</v>
      </c>
      <c r="E444">
        <v>104</v>
      </c>
      <c r="F444" s="8">
        <v>1.05</v>
      </c>
      <c r="N444">
        <f t="shared" si="18"/>
        <v>30.017892449999998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2.700323</v>
      </c>
      <c r="P444">
        <f t="shared" si="19"/>
        <v>2.700323</v>
      </c>
      <c r="S444">
        <f t="shared" si="20"/>
        <v>0.86590074375000003</v>
      </c>
    </row>
    <row r="445" spans="1:19">
      <c r="A445" s="9">
        <v>42396</v>
      </c>
      <c r="B445" s="8" t="s">
        <v>24</v>
      </c>
      <c r="C445">
        <v>6</v>
      </c>
      <c r="D445" s="8" t="s">
        <v>63</v>
      </c>
      <c r="E445">
        <v>95</v>
      </c>
      <c r="F445" s="8">
        <v>1.68</v>
      </c>
      <c r="N445">
        <f t="shared" si="18"/>
        <v>70.195686959999989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2.0693780000000004</v>
      </c>
      <c r="P445">
        <f t="shared" si="19"/>
        <v>2.0693780000000004</v>
      </c>
      <c r="S445">
        <f t="shared" si="20"/>
        <v>2.2167059039999994</v>
      </c>
    </row>
    <row r="446" spans="1:19">
      <c r="A446" s="9">
        <v>42396</v>
      </c>
      <c r="B446" s="8" t="s">
        <v>24</v>
      </c>
      <c r="C446">
        <v>6</v>
      </c>
      <c r="D446" s="8" t="s">
        <v>63</v>
      </c>
      <c r="E446">
        <v>198</v>
      </c>
      <c r="F446" s="8">
        <v>2.13</v>
      </c>
      <c r="N446">
        <f t="shared" si="18"/>
        <v>235.17581457149993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9.2901929999999986</v>
      </c>
      <c r="P446">
        <f t="shared" si="19"/>
        <v>9.2901929999999986</v>
      </c>
      <c r="S446">
        <f t="shared" si="20"/>
        <v>3.5632699177499991</v>
      </c>
    </row>
    <row r="447" spans="1:19">
      <c r="A447" s="9">
        <v>42396</v>
      </c>
      <c r="B447" s="8" t="s">
        <v>24</v>
      </c>
      <c r="C447" s="8">
        <v>6</v>
      </c>
      <c r="D447" s="8" t="s">
        <v>63</v>
      </c>
      <c r="E447">
        <v>180</v>
      </c>
      <c r="F447" s="8">
        <v>1.56</v>
      </c>
      <c r="N447">
        <f t="shared" si="18"/>
        <v>114.68060135999998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8.0283030000000011</v>
      </c>
      <c r="P447">
        <f t="shared" si="19"/>
        <v>8.0283030000000011</v>
      </c>
      <c r="S447">
        <f t="shared" si="20"/>
        <v>1.9113433560000002</v>
      </c>
    </row>
    <row r="448" spans="1:19">
      <c r="A448" s="9">
        <v>42396</v>
      </c>
      <c r="B448" s="8" t="s">
        <v>24</v>
      </c>
      <c r="C448" s="8">
        <v>6</v>
      </c>
      <c r="D448" s="8" t="s">
        <v>63</v>
      </c>
      <c r="E448">
        <v>198</v>
      </c>
      <c r="F448" s="8">
        <v>1.89</v>
      </c>
      <c r="N448">
        <f t="shared" si="18"/>
        <v>185.16421504349998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9.2901929999999986</v>
      </c>
      <c r="P448">
        <f t="shared" si="19"/>
        <v>9.2901929999999986</v>
      </c>
      <c r="S448">
        <f t="shared" si="20"/>
        <v>2.8055184097499999</v>
      </c>
    </row>
    <row r="449" spans="1:19">
      <c r="A449" s="9">
        <v>42396</v>
      </c>
      <c r="B449" s="8" t="s">
        <v>24</v>
      </c>
      <c r="C449" s="8">
        <v>6</v>
      </c>
      <c r="D449" s="8" t="s">
        <v>63</v>
      </c>
      <c r="E449">
        <v>121</v>
      </c>
      <c r="F449" s="8">
        <v>1.64</v>
      </c>
      <c r="N449">
        <f t="shared" si="18"/>
        <v>85.200339678666651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3.8921079999999995</v>
      </c>
      <c r="P449">
        <f t="shared" si="19"/>
        <v>3.8921079999999995</v>
      </c>
      <c r="S449">
        <f t="shared" si="20"/>
        <v>2.1124051159999997</v>
      </c>
    </row>
    <row r="450" spans="1:19">
      <c r="A450" s="9">
        <v>42396</v>
      </c>
      <c r="B450" s="8" t="s">
        <v>24</v>
      </c>
      <c r="C450" s="8">
        <v>6</v>
      </c>
      <c r="D450" s="8" t="s">
        <v>63</v>
      </c>
      <c r="E450">
        <v>175</v>
      </c>
      <c r="F450" s="8">
        <v>1.88</v>
      </c>
      <c r="N450">
        <f t="shared" si="18"/>
        <v>161.92802056666665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7.6777780000000009</v>
      </c>
      <c r="P450">
        <f t="shared" si="19"/>
        <v>7.6777780000000009</v>
      </c>
      <c r="S450">
        <f t="shared" si="20"/>
        <v>2.7759089239999999</v>
      </c>
    </row>
    <row r="451" spans="1:19">
      <c r="A451" s="9">
        <v>42396</v>
      </c>
      <c r="B451" s="8" t="s">
        <v>24</v>
      </c>
      <c r="C451" s="8">
        <v>6</v>
      </c>
      <c r="D451" s="8" t="s">
        <v>63</v>
      </c>
      <c r="E451">
        <v>198</v>
      </c>
      <c r="F451" s="8">
        <v>2.14</v>
      </c>
      <c r="N451">
        <f t="shared" si="18"/>
        <v>237.38922180599997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9.2901929999999986</v>
      </c>
      <c r="P451">
        <f t="shared" si="19"/>
        <v>9.2901929999999986</v>
      </c>
      <c r="S451">
        <f t="shared" si="20"/>
        <v>3.5968063909999999</v>
      </c>
    </row>
    <row r="452" spans="1:19">
      <c r="A452" s="9">
        <v>42396</v>
      </c>
      <c r="B452" s="8" t="s">
        <v>24</v>
      </c>
      <c r="C452" s="8">
        <v>6</v>
      </c>
      <c r="D452" s="8" t="s">
        <v>63</v>
      </c>
      <c r="E452">
        <v>131</v>
      </c>
      <c r="F452" s="8">
        <v>1.34</v>
      </c>
      <c r="N452">
        <f t="shared" ref="N452:N513" si="21">IF(OR(D452="S. acutus", D452="S. tabernaemontani", D452="S. californicus"),(1/3)*(3.14159)*((F452/2)^2)*E452,"NA")</f>
        <v>61.581342460333332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4.5931579999999999</v>
      </c>
      <c r="P452">
        <f t="shared" si="19"/>
        <v>4.5931579999999999</v>
      </c>
      <c r="S452">
        <f t="shared" si="20"/>
        <v>1.4102597510000001</v>
      </c>
    </row>
    <row r="453" spans="1:19">
      <c r="A453" s="9">
        <v>42396</v>
      </c>
      <c r="B453" s="8" t="s">
        <v>24</v>
      </c>
      <c r="C453" s="8">
        <v>6</v>
      </c>
      <c r="D453" s="8" t="s">
        <v>63</v>
      </c>
      <c r="E453">
        <v>98</v>
      </c>
      <c r="F453" s="8">
        <v>1.66</v>
      </c>
      <c r="N453">
        <f t="shared" si="21"/>
        <v>70.698550799333319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2.279693</v>
      </c>
      <c r="P453">
        <f t="shared" ref="P453:P484" si="22">IF(O453&lt;0," ",O453)</f>
        <v>2.279693</v>
      </c>
      <c r="S453">
        <f t="shared" ref="S453:S513" si="23">3.14159*((F453/2)^2)</f>
        <v>2.1642413509999998</v>
      </c>
    </row>
    <row r="454" spans="1:19">
      <c r="A454" s="9">
        <v>42396</v>
      </c>
      <c r="B454" s="8" t="s">
        <v>24</v>
      </c>
      <c r="C454" s="8">
        <v>6</v>
      </c>
      <c r="D454" s="8" t="s">
        <v>63</v>
      </c>
      <c r="E454">
        <v>180</v>
      </c>
      <c r="F454" s="8">
        <v>1.68</v>
      </c>
      <c r="N454">
        <f t="shared" si="21"/>
        <v>133.00235423999996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8.0283030000000011</v>
      </c>
      <c r="P454">
        <f t="shared" si="22"/>
        <v>8.0283030000000011</v>
      </c>
      <c r="S454">
        <f t="shared" si="23"/>
        <v>2.2167059039999994</v>
      </c>
    </row>
    <row r="455" spans="1:19">
      <c r="A455" s="9">
        <v>42396</v>
      </c>
      <c r="B455" s="8" t="s">
        <v>24</v>
      </c>
      <c r="C455" s="8">
        <v>6</v>
      </c>
      <c r="D455" s="8" t="s">
        <v>63</v>
      </c>
      <c r="E455">
        <v>19</v>
      </c>
      <c r="F455" s="8">
        <v>0.47</v>
      </c>
      <c r="N455">
        <f t="shared" si="21"/>
        <v>1.0987972824166665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-3.2586019999999998</v>
      </c>
      <c r="P455" t="str">
        <f t="shared" si="22"/>
        <v xml:space="preserve"> </v>
      </c>
      <c r="S455">
        <f t="shared" si="23"/>
        <v>0.17349430774999999</v>
      </c>
    </row>
    <row r="456" spans="1:19">
      <c r="A456" s="9">
        <v>42396</v>
      </c>
      <c r="B456" s="8" t="s">
        <v>24</v>
      </c>
      <c r="C456" s="8">
        <v>6</v>
      </c>
      <c r="D456" s="8" t="s">
        <v>63</v>
      </c>
      <c r="E456">
        <v>179</v>
      </c>
      <c r="F456" s="8">
        <v>1.47</v>
      </c>
      <c r="N456">
        <f t="shared" si="21"/>
        <v>101.26420564574998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7.9581980000000003</v>
      </c>
      <c r="P456">
        <f t="shared" si="22"/>
        <v>7.9581980000000003</v>
      </c>
      <c r="S456">
        <f t="shared" si="23"/>
        <v>1.6971654577499997</v>
      </c>
    </row>
    <row r="457" spans="1:19">
      <c r="A457" s="9">
        <v>42396</v>
      </c>
      <c r="B457" s="8" t="s">
        <v>24</v>
      </c>
      <c r="C457" s="8">
        <v>6</v>
      </c>
      <c r="D457" s="8" t="s">
        <v>63</v>
      </c>
      <c r="E457">
        <v>72</v>
      </c>
      <c r="F457" s="8">
        <v>1.22</v>
      </c>
      <c r="N457">
        <f t="shared" si="21"/>
        <v>28.055655335999994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0.45696300000000001</v>
      </c>
      <c r="P457">
        <f t="shared" si="22"/>
        <v>0.45696300000000001</v>
      </c>
      <c r="S457">
        <f t="shared" si="23"/>
        <v>1.168985639</v>
      </c>
    </row>
    <row r="458" spans="1:19">
      <c r="A458" s="9">
        <v>42396</v>
      </c>
      <c r="B458" s="8" t="s">
        <v>24</v>
      </c>
      <c r="C458" s="8">
        <v>6</v>
      </c>
      <c r="D458" s="8" t="s">
        <v>63</v>
      </c>
      <c r="E458">
        <v>135</v>
      </c>
      <c r="F458" s="8">
        <v>0.89</v>
      </c>
      <c r="N458">
        <f t="shared" si="21"/>
        <v>27.995101188749999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4.8735780000000011</v>
      </c>
      <c r="P458">
        <f t="shared" si="22"/>
        <v>4.8735780000000011</v>
      </c>
      <c r="S458">
        <f t="shared" si="23"/>
        <v>0.62211335975000004</v>
      </c>
    </row>
    <row r="459" spans="1:19">
      <c r="A459" s="9">
        <v>42396</v>
      </c>
      <c r="B459" s="8" t="s">
        <v>24</v>
      </c>
      <c r="C459" s="8">
        <v>6</v>
      </c>
      <c r="D459" s="8" t="s">
        <v>63</v>
      </c>
      <c r="E459">
        <v>145</v>
      </c>
      <c r="F459" s="8">
        <v>1.26</v>
      </c>
      <c r="N459">
        <f t="shared" si="21"/>
        <v>60.266691765000004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5.5746279999999997</v>
      </c>
      <c r="P459">
        <f t="shared" si="22"/>
        <v>5.5746279999999997</v>
      </c>
      <c r="S459">
        <f t="shared" si="23"/>
        <v>1.246897071</v>
      </c>
    </row>
    <row r="460" spans="1:19">
      <c r="A460" s="9">
        <v>42396</v>
      </c>
      <c r="B460" s="8" t="s">
        <v>24</v>
      </c>
      <c r="C460" s="8">
        <v>6</v>
      </c>
      <c r="D460" s="8" t="s">
        <v>63</v>
      </c>
      <c r="E460">
        <v>147</v>
      </c>
      <c r="F460" s="8">
        <v>1.29</v>
      </c>
      <c r="G460" s="8">
        <v>3</v>
      </c>
      <c r="N460">
        <f t="shared" si="21"/>
        <v>64.04201900775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7.294118604252974</v>
      </c>
      <c r="P460">
        <f t="shared" si="22"/>
        <v>7.294118604252974</v>
      </c>
      <c r="S460">
        <f t="shared" si="23"/>
        <v>1.3069799797500001</v>
      </c>
    </row>
    <row r="461" spans="1:19">
      <c r="A461" s="9">
        <v>42396</v>
      </c>
      <c r="B461" s="8" t="s">
        <v>24</v>
      </c>
      <c r="C461" s="8">
        <v>6</v>
      </c>
      <c r="D461" s="8" t="s">
        <v>63</v>
      </c>
      <c r="E461">
        <v>90</v>
      </c>
      <c r="F461" s="8">
        <v>2.0299999999999998</v>
      </c>
      <c r="N461">
        <f t="shared" si="21"/>
        <v>97.096336732499964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1.7188530000000002</v>
      </c>
      <c r="P461">
        <f t="shared" si="22"/>
        <v>1.7188530000000002</v>
      </c>
      <c r="S461">
        <f t="shared" si="23"/>
        <v>3.2365445577499989</v>
      </c>
    </row>
    <row r="462" spans="1:19">
      <c r="A462" s="9">
        <v>42396</v>
      </c>
      <c r="B462" s="8" t="s">
        <v>24</v>
      </c>
      <c r="C462" s="8">
        <v>6</v>
      </c>
      <c r="D462" s="8" t="s">
        <v>63</v>
      </c>
      <c r="E462">
        <v>181</v>
      </c>
      <c r="F462" s="8">
        <v>1.92</v>
      </c>
      <c r="N462">
        <f t="shared" si="21"/>
        <v>174.68245708799998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8.0984079999999992</v>
      </c>
      <c r="P462">
        <f t="shared" si="22"/>
        <v>8.0984079999999992</v>
      </c>
      <c r="S462">
        <f t="shared" si="23"/>
        <v>2.8952893439999996</v>
      </c>
    </row>
    <row r="463" spans="1:19">
      <c r="A463" s="9">
        <v>42396</v>
      </c>
      <c r="B463" s="8" t="s">
        <v>24</v>
      </c>
      <c r="C463" s="8">
        <v>6</v>
      </c>
      <c r="D463" s="8" t="s">
        <v>63</v>
      </c>
      <c r="E463">
        <v>194</v>
      </c>
      <c r="F463" s="8">
        <v>2.35</v>
      </c>
      <c r="N463">
        <f t="shared" si="21"/>
        <v>280.48246419583336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9.0097729999999991</v>
      </c>
      <c r="P463">
        <f t="shared" si="22"/>
        <v>9.0097729999999991</v>
      </c>
      <c r="S463">
        <f t="shared" si="23"/>
        <v>4.3373576937500005</v>
      </c>
    </row>
    <row r="464" spans="1:19">
      <c r="A464" s="9">
        <v>42396</v>
      </c>
      <c r="B464" s="8" t="s">
        <v>24</v>
      </c>
      <c r="C464" s="8">
        <v>6</v>
      </c>
      <c r="D464" s="8" t="s">
        <v>63</v>
      </c>
      <c r="E464">
        <v>81</v>
      </c>
      <c r="F464" s="8">
        <v>1.77</v>
      </c>
      <c r="N464">
        <f t="shared" si="21"/>
        <v>66.435439349250004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1.0879080000000005</v>
      </c>
      <c r="P464">
        <f t="shared" si="22"/>
        <v>1.0879080000000005</v>
      </c>
      <c r="S464">
        <f t="shared" si="23"/>
        <v>2.4605718277499999</v>
      </c>
    </row>
    <row r="465" spans="1:19">
      <c r="A465" s="9">
        <v>42396</v>
      </c>
      <c r="B465" s="8" t="s">
        <v>24</v>
      </c>
      <c r="C465" s="8">
        <v>6</v>
      </c>
      <c r="D465" s="8" t="s">
        <v>63</v>
      </c>
      <c r="E465">
        <v>199</v>
      </c>
      <c r="F465" s="8">
        <v>1.93</v>
      </c>
      <c r="N465">
        <f t="shared" si="21"/>
        <v>194.05996746741664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9.3602980000000002</v>
      </c>
      <c r="P465">
        <f t="shared" si="22"/>
        <v>9.3602980000000002</v>
      </c>
      <c r="S465">
        <f t="shared" si="23"/>
        <v>2.92552714775</v>
      </c>
    </row>
    <row r="466" spans="1:19">
      <c r="A466" s="9">
        <v>42396</v>
      </c>
      <c r="B466" s="8" t="s">
        <v>24</v>
      </c>
      <c r="C466" s="8">
        <v>4</v>
      </c>
      <c r="D466" s="8"/>
      <c r="M466" t="s">
        <v>64</v>
      </c>
      <c r="N466" t="str">
        <f t="shared" si="21"/>
        <v>NA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0</v>
      </c>
      <c r="P466">
        <f t="shared" si="22"/>
        <v>0</v>
      </c>
      <c r="S466">
        <f t="shared" si="23"/>
        <v>0</v>
      </c>
    </row>
    <row r="467" spans="1:19">
      <c r="A467" s="9">
        <v>42396</v>
      </c>
      <c r="B467" s="8" t="s">
        <v>25</v>
      </c>
      <c r="C467" s="8">
        <v>49</v>
      </c>
      <c r="D467" s="8" t="s">
        <v>61</v>
      </c>
      <c r="F467" s="8">
        <v>2.02</v>
      </c>
      <c r="J467">
        <f>72+107+116+155</f>
        <v>450</v>
      </c>
      <c r="K467">
        <v>4</v>
      </c>
      <c r="L467">
        <v>155</v>
      </c>
      <c r="N467" t="str">
        <f t="shared" si="21"/>
        <v>NA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0.44434700000000049</v>
      </c>
      <c r="P467">
        <f t="shared" si="22"/>
        <v>0.44434700000000049</v>
      </c>
      <c r="S467">
        <f t="shared" si="23"/>
        <v>3.2047359589999997</v>
      </c>
    </row>
    <row r="468" spans="1:19">
      <c r="A468" s="9">
        <v>42396</v>
      </c>
      <c r="B468" s="8" t="s">
        <v>25</v>
      </c>
      <c r="C468" s="8">
        <v>49</v>
      </c>
      <c r="D468" s="8" t="s">
        <v>61</v>
      </c>
      <c r="F468" s="8">
        <v>1.37</v>
      </c>
      <c r="J468">
        <f>48+49+52</f>
        <v>149</v>
      </c>
      <c r="K468">
        <v>3</v>
      </c>
      <c r="L468">
        <v>52</v>
      </c>
      <c r="N468" t="str">
        <f t="shared" si="21"/>
        <v>NA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10.274679999999996</v>
      </c>
      <c r="P468">
        <f t="shared" si="22"/>
        <v>10.274679999999996</v>
      </c>
      <c r="S468">
        <f t="shared" si="23"/>
        <v>1.4741125677500002</v>
      </c>
    </row>
    <row r="469" spans="1:19">
      <c r="A469" s="9">
        <v>42396</v>
      </c>
      <c r="B469" s="8" t="s">
        <v>25</v>
      </c>
      <c r="C469" s="8">
        <v>49</v>
      </c>
      <c r="D469" s="8" t="s">
        <v>61</v>
      </c>
      <c r="F469" s="8">
        <v>2.2200000000000002</v>
      </c>
      <c r="J469">
        <f>73+76+145+196</f>
        <v>490</v>
      </c>
      <c r="K469">
        <v>4</v>
      </c>
      <c r="L469">
        <v>196</v>
      </c>
      <c r="N469" t="str">
        <f t="shared" si="21"/>
        <v>NA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-8.156497999999992</v>
      </c>
      <c r="P469" t="str">
        <f t="shared" si="22"/>
        <v xml:space="preserve"> </v>
      </c>
      <c r="S469">
        <f t="shared" si="23"/>
        <v>3.8707530390000007</v>
      </c>
    </row>
    <row r="470" spans="1:19">
      <c r="A470" s="9">
        <v>42396</v>
      </c>
      <c r="B470" s="8" t="s">
        <v>25</v>
      </c>
      <c r="C470" s="8">
        <v>49</v>
      </c>
      <c r="D470" s="8" t="s">
        <v>61</v>
      </c>
      <c r="F470" s="8">
        <v>2.92</v>
      </c>
      <c r="J470">
        <f>117+125+252+278</f>
        <v>772</v>
      </c>
      <c r="K470">
        <v>4</v>
      </c>
      <c r="L470">
        <v>278</v>
      </c>
      <c r="N470" t="str">
        <f t="shared" si="21"/>
        <v>NA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-6.4196779999999976</v>
      </c>
      <c r="P470" t="str">
        <f t="shared" si="22"/>
        <v xml:space="preserve"> </v>
      </c>
      <c r="S470">
        <f t="shared" si="23"/>
        <v>6.696613243999999</v>
      </c>
    </row>
    <row r="471" spans="1:19">
      <c r="A471" s="9">
        <v>42396</v>
      </c>
      <c r="B471" s="8" t="s">
        <v>25</v>
      </c>
      <c r="C471" s="8">
        <v>49</v>
      </c>
      <c r="D471" s="8" t="s">
        <v>61</v>
      </c>
      <c r="F471" s="8">
        <v>0.43</v>
      </c>
      <c r="J471">
        <f>18+26+24</f>
        <v>68</v>
      </c>
      <c r="K471">
        <v>3</v>
      </c>
      <c r="L471">
        <v>26</v>
      </c>
      <c r="N471" t="str">
        <f t="shared" si="21"/>
        <v>NA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10.512895</v>
      </c>
      <c r="P471">
        <f t="shared" si="22"/>
        <v>10.512895</v>
      </c>
      <c r="S471">
        <f t="shared" si="23"/>
        <v>0.14521999774999997</v>
      </c>
    </row>
    <row r="472" spans="1:19">
      <c r="A472" s="9">
        <v>42396</v>
      </c>
      <c r="B472" s="8" t="s">
        <v>25</v>
      </c>
      <c r="C472" s="8">
        <v>47</v>
      </c>
      <c r="D472" s="8" t="s">
        <v>61</v>
      </c>
      <c r="F472" s="8">
        <v>3.18</v>
      </c>
      <c r="J472">
        <f>218+259+270+504</f>
        <v>1251</v>
      </c>
      <c r="K472">
        <v>4</v>
      </c>
      <c r="L472">
        <v>504</v>
      </c>
      <c r="N472" t="str">
        <f t="shared" si="21"/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-29.592402999999969</v>
      </c>
      <c r="P472" t="str">
        <f t="shared" si="22"/>
        <v xml:space="preserve"> </v>
      </c>
      <c r="S472">
        <f t="shared" si="23"/>
        <v>7.9422536790000002</v>
      </c>
    </row>
    <row r="473" spans="1:19">
      <c r="A473" s="9">
        <v>42396</v>
      </c>
      <c r="B473" s="8" t="s">
        <v>25</v>
      </c>
      <c r="C473" s="8">
        <v>47</v>
      </c>
      <c r="D473" s="8" t="s">
        <v>61</v>
      </c>
      <c r="F473" s="8">
        <v>0.54</v>
      </c>
      <c r="J473">
        <f>66+85</f>
        <v>151</v>
      </c>
      <c r="K473">
        <v>2</v>
      </c>
      <c r="L473">
        <v>85</v>
      </c>
      <c r="N473" t="str">
        <f t="shared" si="21"/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7.5434580000000011</v>
      </c>
      <c r="P473">
        <f t="shared" si="22"/>
        <v>7.5434580000000011</v>
      </c>
      <c r="S473">
        <f t="shared" si="23"/>
        <v>0.22902191100000002</v>
      </c>
    </row>
    <row r="474" spans="1:19">
      <c r="A474" s="9">
        <v>42396</v>
      </c>
      <c r="B474" s="8" t="s">
        <v>25</v>
      </c>
      <c r="C474" s="8">
        <v>47</v>
      </c>
      <c r="D474" s="8" t="s">
        <v>61</v>
      </c>
      <c r="F474" s="8">
        <v>0.78</v>
      </c>
      <c r="J474">
        <f>24+25+29</f>
        <v>78</v>
      </c>
      <c r="K474">
        <v>3</v>
      </c>
      <c r="L474">
        <v>29</v>
      </c>
      <c r="N474" t="str">
        <f t="shared" si="21"/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10.546709999999997</v>
      </c>
      <c r="P474">
        <f t="shared" si="22"/>
        <v>10.546709999999997</v>
      </c>
      <c r="S474">
        <f t="shared" si="23"/>
        <v>0.47783583900000004</v>
      </c>
    </row>
    <row r="475" spans="1:19">
      <c r="A475" s="9">
        <v>42396</v>
      </c>
      <c r="B475" s="8" t="s">
        <v>25</v>
      </c>
      <c r="C475" s="8">
        <v>47</v>
      </c>
      <c r="D475" s="8" t="s">
        <v>61</v>
      </c>
      <c r="F475" s="8">
        <v>0.66</v>
      </c>
      <c r="J475">
        <f>28+45+47</f>
        <v>120</v>
      </c>
      <c r="K475">
        <v>3</v>
      </c>
      <c r="L475">
        <v>47</v>
      </c>
      <c r="N475" t="str">
        <f t="shared" si="21"/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9.0620099999999972</v>
      </c>
      <c r="P475">
        <f t="shared" si="22"/>
        <v>9.0620099999999972</v>
      </c>
      <c r="S475">
        <f t="shared" si="23"/>
        <v>0.34211915100000001</v>
      </c>
    </row>
    <row r="476" spans="1:19">
      <c r="A476" s="9">
        <v>42396</v>
      </c>
      <c r="B476" s="8" t="s">
        <v>25</v>
      </c>
      <c r="C476" s="8">
        <v>47</v>
      </c>
      <c r="D476" s="8" t="s">
        <v>61</v>
      </c>
      <c r="F476" s="8">
        <v>0.82</v>
      </c>
      <c r="J476">
        <f>19+24+27</f>
        <v>70</v>
      </c>
      <c r="K476">
        <v>3</v>
      </c>
      <c r="L476">
        <v>27</v>
      </c>
      <c r="N476" t="str">
        <f t="shared" si="21"/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10.399159999999998</v>
      </c>
      <c r="P476">
        <f t="shared" si="22"/>
        <v>10.399159999999998</v>
      </c>
      <c r="S476">
        <f t="shared" si="23"/>
        <v>0.52810127899999992</v>
      </c>
    </row>
    <row r="477" spans="1:19">
      <c r="A477" s="9">
        <v>42396</v>
      </c>
      <c r="B477" s="8" t="s">
        <v>25</v>
      </c>
      <c r="C477" s="8">
        <v>47</v>
      </c>
      <c r="D477" s="8" t="s">
        <v>61</v>
      </c>
      <c r="F477" s="8">
        <v>0.81</v>
      </c>
      <c r="J477">
        <f>17+18</f>
        <v>35</v>
      </c>
      <c r="K477">
        <v>2</v>
      </c>
      <c r="L477">
        <v>18</v>
      </c>
      <c r="N477" t="str">
        <f t="shared" si="21"/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16.851292999999998</v>
      </c>
      <c r="P477">
        <f t="shared" si="22"/>
        <v>16.851292999999998</v>
      </c>
      <c r="S477">
        <f t="shared" si="23"/>
        <v>0.51529929975000011</v>
      </c>
    </row>
    <row r="478" spans="1:19">
      <c r="A478" s="9">
        <v>42396</v>
      </c>
      <c r="B478" s="8" t="s">
        <v>25</v>
      </c>
      <c r="C478" s="8">
        <v>19</v>
      </c>
      <c r="D478" s="8" t="s">
        <v>61</v>
      </c>
      <c r="F478" s="8">
        <v>1.75</v>
      </c>
      <c r="J478">
        <f>62+75+141+178</f>
        <v>456</v>
      </c>
      <c r="K478">
        <v>4</v>
      </c>
      <c r="L478">
        <v>178</v>
      </c>
      <c r="N478" t="str">
        <f t="shared" si="21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-5.9217580000000041</v>
      </c>
      <c r="P478" t="str">
        <f t="shared" si="22"/>
        <v xml:space="preserve"> </v>
      </c>
      <c r="S478">
        <f t="shared" si="23"/>
        <v>2.4052798437499998</v>
      </c>
    </row>
    <row r="479" spans="1:19">
      <c r="A479" s="9">
        <v>42396</v>
      </c>
      <c r="B479" s="8" t="s">
        <v>25</v>
      </c>
      <c r="C479" s="8">
        <v>19</v>
      </c>
      <c r="D479" s="8" t="s">
        <v>61</v>
      </c>
      <c r="F479" s="8">
        <v>2.65</v>
      </c>
      <c r="J479">
        <f>53+61</f>
        <v>114</v>
      </c>
      <c r="K479">
        <v>2</v>
      </c>
      <c r="L479">
        <v>61</v>
      </c>
      <c r="N479" t="str">
        <f t="shared" si="21"/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11.304403000000001</v>
      </c>
      <c r="P479">
        <f t="shared" si="22"/>
        <v>11.304403000000001</v>
      </c>
      <c r="S479">
        <f t="shared" si="23"/>
        <v>5.5154539437499999</v>
      </c>
    </row>
    <row r="480" spans="1:19">
      <c r="A480" s="9">
        <v>42396</v>
      </c>
      <c r="B480" s="8" t="s">
        <v>25</v>
      </c>
      <c r="C480" s="8">
        <v>19</v>
      </c>
      <c r="D480" s="8" t="s">
        <v>61</v>
      </c>
      <c r="F480" s="8">
        <v>1.21</v>
      </c>
      <c r="J480">
        <f>138+201</f>
        <v>339</v>
      </c>
      <c r="K480">
        <v>2</v>
      </c>
      <c r="L480">
        <v>201</v>
      </c>
      <c r="N480" t="str">
        <f t="shared" si="21"/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-9.7750219999999999</v>
      </c>
      <c r="P480" t="str">
        <f t="shared" si="22"/>
        <v xml:space="preserve"> </v>
      </c>
      <c r="S480">
        <f t="shared" si="23"/>
        <v>1.1499004797499999</v>
      </c>
    </row>
    <row r="481" spans="1:19">
      <c r="A481" s="9">
        <v>42396</v>
      </c>
      <c r="B481" s="8" t="s">
        <v>25</v>
      </c>
      <c r="C481" s="8">
        <v>19</v>
      </c>
      <c r="D481" s="8" t="s">
        <v>61</v>
      </c>
      <c r="F481" s="8">
        <v>1.74</v>
      </c>
      <c r="J481">
        <f>55+134+179</f>
        <v>368</v>
      </c>
      <c r="K481">
        <v>3</v>
      </c>
      <c r="L481">
        <v>179</v>
      </c>
      <c r="N481" t="str">
        <f t="shared" si="21"/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-7.4510900000000007</v>
      </c>
      <c r="P481" t="str">
        <f t="shared" si="22"/>
        <v xml:space="preserve"> </v>
      </c>
      <c r="S481">
        <f t="shared" si="23"/>
        <v>2.3778694709999999</v>
      </c>
    </row>
    <row r="482" spans="1:19">
      <c r="A482" s="9">
        <v>42396</v>
      </c>
      <c r="B482" s="8" t="s">
        <v>25</v>
      </c>
      <c r="C482" s="8">
        <v>19</v>
      </c>
      <c r="D482" s="8" t="s">
        <v>61</v>
      </c>
      <c r="F482" s="8">
        <v>1.46</v>
      </c>
      <c r="J482">
        <f>56+65+73</f>
        <v>194</v>
      </c>
      <c r="K482">
        <v>3</v>
      </c>
      <c r="L482">
        <v>73</v>
      </c>
      <c r="N482" t="str">
        <f t="shared" si="21"/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8.16751</v>
      </c>
      <c r="P482">
        <f t="shared" si="22"/>
        <v>8.16751</v>
      </c>
      <c r="S482">
        <f t="shared" si="23"/>
        <v>1.6741533109999998</v>
      </c>
    </row>
    <row r="483" spans="1:19">
      <c r="A483" s="9">
        <v>42396</v>
      </c>
      <c r="B483" s="8" t="s">
        <v>25</v>
      </c>
      <c r="C483" s="8">
        <v>13</v>
      </c>
      <c r="D483" s="8" t="s">
        <v>61</v>
      </c>
      <c r="F483" s="8">
        <v>1.92</v>
      </c>
      <c r="J483">
        <f>104+126</f>
        <v>230</v>
      </c>
      <c r="K483">
        <v>2</v>
      </c>
      <c r="L483">
        <v>126</v>
      </c>
      <c r="N483" t="str">
        <f t="shared" si="21"/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2.5990580000000065</v>
      </c>
      <c r="P483">
        <f t="shared" si="22"/>
        <v>2.5990580000000065</v>
      </c>
      <c r="S483">
        <f t="shared" si="23"/>
        <v>2.8952893439999996</v>
      </c>
    </row>
    <row r="484" spans="1:19">
      <c r="A484" s="9">
        <v>42396</v>
      </c>
      <c r="B484" s="8" t="s">
        <v>25</v>
      </c>
      <c r="C484" s="8">
        <v>6</v>
      </c>
      <c r="D484" s="8"/>
      <c r="M484" t="s">
        <v>64</v>
      </c>
      <c r="N484" t="str">
        <f t="shared" si="21"/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0</v>
      </c>
      <c r="P484">
        <f t="shared" si="22"/>
        <v>0</v>
      </c>
      <c r="S484">
        <f t="shared" si="23"/>
        <v>0</v>
      </c>
    </row>
    <row r="485" spans="1:19">
      <c r="A485" s="7">
        <v>42394</v>
      </c>
      <c r="B485" s="8" t="s">
        <v>21</v>
      </c>
      <c r="C485" s="8">
        <v>34</v>
      </c>
      <c r="D485" s="8" t="s">
        <v>61</v>
      </c>
      <c r="F485" s="8">
        <v>3.53</v>
      </c>
      <c r="J485">
        <f>134+152+155+196</f>
        <v>637</v>
      </c>
      <c r="K485">
        <v>4</v>
      </c>
      <c r="L485">
        <v>196</v>
      </c>
      <c r="N485" t="str">
        <f t="shared" si="21"/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5.6254870000000032</v>
      </c>
      <c r="P485">
        <f t="shared" ref="P485:P493" si="24">IF(O485&lt;0," ",O485)</f>
        <v>5.6254870000000032</v>
      </c>
      <c r="S485">
        <f t="shared" si="23"/>
        <v>9.786759707749999</v>
      </c>
    </row>
    <row r="486" spans="1:19">
      <c r="A486" s="7">
        <v>42394</v>
      </c>
      <c r="B486" s="8" t="s">
        <v>21</v>
      </c>
      <c r="C486" s="8">
        <v>34</v>
      </c>
      <c r="D486" s="8" t="s">
        <v>65</v>
      </c>
      <c r="E486">
        <v>164</v>
      </c>
      <c r="F486" s="8">
        <v>1.45</v>
      </c>
      <c r="N486">
        <f t="shared" si="21"/>
        <v>90.270970658333326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6.9066230000000006</v>
      </c>
      <c r="P486">
        <f t="shared" si="24"/>
        <v>6.9066230000000006</v>
      </c>
      <c r="S486">
        <f t="shared" si="23"/>
        <v>1.6512982437499999</v>
      </c>
    </row>
    <row r="487" spans="1:19">
      <c r="A487" s="7">
        <v>42394</v>
      </c>
      <c r="B487" s="8" t="s">
        <v>21</v>
      </c>
      <c r="C487" s="8">
        <v>34</v>
      </c>
      <c r="D487" s="8" t="s">
        <v>65</v>
      </c>
      <c r="E487">
        <v>205</v>
      </c>
      <c r="F487" s="8">
        <v>1.23</v>
      </c>
      <c r="N487">
        <f t="shared" si="21"/>
        <v>81.195571646249988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9.7809279999999994</v>
      </c>
      <c r="P487">
        <f t="shared" si="24"/>
        <v>9.7809279999999994</v>
      </c>
      <c r="S487">
        <f t="shared" si="23"/>
        <v>1.1882278777499999</v>
      </c>
    </row>
    <row r="488" spans="1:19">
      <c r="A488" s="7">
        <v>42394</v>
      </c>
      <c r="B488" s="8" t="s">
        <v>21</v>
      </c>
      <c r="C488" s="8">
        <v>34</v>
      </c>
      <c r="D488" s="8" t="s">
        <v>65</v>
      </c>
      <c r="E488">
        <v>61</v>
      </c>
      <c r="F488" s="8">
        <v>1.36</v>
      </c>
      <c r="N488">
        <f t="shared" si="21"/>
        <v>29.537648058666669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-0.31419199999999936</v>
      </c>
      <c r="P488" t="str">
        <f t="shared" si="24"/>
        <v xml:space="preserve"> </v>
      </c>
      <c r="S488">
        <f t="shared" si="23"/>
        <v>1.4526712160000002</v>
      </c>
    </row>
    <row r="489" spans="1:19">
      <c r="A489" s="7">
        <v>42394</v>
      </c>
      <c r="B489" s="8" t="s">
        <v>21</v>
      </c>
      <c r="C489" s="8">
        <v>34</v>
      </c>
      <c r="D489" s="8" t="s">
        <v>65</v>
      </c>
      <c r="E489">
        <v>186</v>
      </c>
      <c r="F489" s="8">
        <v>1.26</v>
      </c>
      <c r="N489">
        <f t="shared" si="21"/>
        <v>77.307618402000003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8.4489330000000002</v>
      </c>
      <c r="P489">
        <f t="shared" si="24"/>
        <v>8.4489330000000002</v>
      </c>
      <c r="S489">
        <f t="shared" si="23"/>
        <v>1.246897071</v>
      </c>
    </row>
    <row r="490" spans="1:19">
      <c r="A490" s="7">
        <v>42394</v>
      </c>
      <c r="B490" s="8" t="s">
        <v>21</v>
      </c>
      <c r="C490" s="8">
        <v>34</v>
      </c>
      <c r="D490" s="8" t="s">
        <v>65</v>
      </c>
      <c r="E490">
        <v>164</v>
      </c>
      <c r="F490" s="8">
        <v>1.5</v>
      </c>
      <c r="N490">
        <f t="shared" si="21"/>
        <v>96.603892499999986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6.9066230000000006</v>
      </c>
      <c r="P490">
        <f t="shared" si="24"/>
        <v>6.9066230000000006</v>
      </c>
      <c r="S490">
        <f t="shared" si="23"/>
        <v>1.767144375</v>
      </c>
    </row>
    <row r="491" spans="1:19">
      <c r="A491" s="7">
        <v>42394</v>
      </c>
      <c r="B491" s="8" t="s">
        <v>21</v>
      </c>
      <c r="C491" s="8">
        <v>34</v>
      </c>
      <c r="D491" s="8" t="s">
        <v>65</v>
      </c>
      <c r="E491">
        <v>31</v>
      </c>
      <c r="F491" s="8">
        <v>0.39</v>
      </c>
      <c r="N491">
        <f t="shared" si="21"/>
        <v>1.23440925075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-2.4173419999999997</v>
      </c>
      <c r="P491" t="str">
        <f t="shared" si="24"/>
        <v xml:space="preserve"> </v>
      </c>
      <c r="S491">
        <f t="shared" si="23"/>
        <v>0.11945895975000001</v>
      </c>
    </row>
    <row r="492" spans="1:19">
      <c r="A492" s="7">
        <v>42394</v>
      </c>
      <c r="B492" s="8" t="s">
        <v>21</v>
      </c>
      <c r="C492" s="8">
        <v>34</v>
      </c>
      <c r="D492" s="8" t="s">
        <v>65</v>
      </c>
      <c r="E492">
        <v>20</v>
      </c>
      <c r="F492" s="8">
        <v>0.54</v>
      </c>
      <c r="N492">
        <f t="shared" si="21"/>
        <v>1.52681274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-3.1884969999999999</v>
      </c>
      <c r="P492" t="str">
        <f t="shared" si="24"/>
        <v xml:space="preserve"> </v>
      </c>
      <c r="S492">
        <f t="shared" si="23"/>
        <v>0.22902191100000002</v>
      </c>
    </row>
    <row r="493" spans="1:19">
      <c r="A493" s="7">
        <v>42394</v>
      </c>
      <c r="B493" s="8" t="s">
        <v>21</v>
      </c>
      <c r="C493" s="8">
        <v>34</v>
      </c>
      <c r="D493" s="8" t="s">
        <v>65</v>
      </c>
      <c r="E493">
        <v>192</v>
      </c>
      <c r="F493" s="8">
        <v>1.52</v>
      </c>
      <c r="N493">
        <f t="shared" si="21"/>
        <v>116.133272576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8.8695629999999994</v>
      </c>
      <c r="P493">
        <f t="shared" si="24"/>
        <v>8.8695629999999994</v>
      </c>
      <c r="S493">
        <f t="shared" si="23"/>
        <v>1.8145823839999999</v>
      </c>
    </row>
    <row r="494" spans="1:19">
      <c r="A494" s="7">
        <v>42394</v>
      </c>
      <c r="B494" s="8" t="s">
        <v>21</v>
      </c>
      <c r="C494" s="8">
        <v>6</v>
      </c>
      <c r="D494" s="8"/>
      <c r="M494" t="s">
        <v>64</v>
      </c>
      <c r="N494" t="str">
        <f t="shared" si="21"/>
        <v>NA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0</v>
      </c>
      <c r="P494">
        <f t="shared" ref="P494:P513" si="25">IF(O494&lt;0," ",O494)</f>
        <v>0</v>
      </c>
      <c r="S494">
        <f t="shared" si="23"/>
        <v>0</v>
      </c>
    </row>
    <row r="495" spans="1:19">
      <c r="A495" s="7">
        <v>42394</v>
      </c>
      <c r="B495" s="8" t="s">
        <v>22</v>
      </c>
      <c r="C495" s="8">
        <v>39</v>
      </c>
      <c r="D495" s="8" t="s">
        <v>61</v>
      </c>
      <c r="F495" s="8">
        <v>2.4900000000000002</v>
      </c>
      <c r="J495">
        <v>75</v>
      </c>
      <c r="K495">
        <v>1</v>
      </c>
      <c r="L495">
        <v>75</v>
      </c>
      <c r="N495" t="str">
        <f>IF(OR(D495="S. acutus", D495="S. tabernaemontani", D495="S. californicus"),(1/3)*(3.14159)*((F495/2)^2)*E495,"NA")</f>
        <v>NA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10.452880999999998</v>
      </c>
      <c r="P495">
        <f t="shared" si="25"/>
        <v>10.452880999999998</v>
      </c>
      <c r="S495">
        <f t="shared" si="23"/>
        <v>4.8695430397500008</v>
      </c>
    </row>
    <row r="496" spans="1:19">
      <c r="A496" s="7">
        <v>42394</v>
      </c>
      <c r="B496" s="8" t="s">
        <v>22</v>
      </c>
      <c r="C496" s="8">
        <v>39</v>
      </c>
      <c r="D496" s="8" t="s">
        <v>61</v>
      </c>
      <c r="F496" s="8">
        <v>4.25</v>
      </c>
      <c r="J496">
        <f>232+289+314</f>
        <v>835</v>
      </c>
      <c r="K496">
        <v>3</v>
      </c>
      <c r="L496">
        <v>314</v>
      </c>
      <c r="N496" t="str">
        <f t="shared" si="21"/>
        <v>NA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-4.3355800000000002</v>
      </c>
      <c r="P496" t="str">
        <f t="shared" si="25"/>
        <v xml:space="preserve"> </v>
      </c>
      <c r="S496">
        <f t="shared" si="23"/>
        <v>14.186242343749999</v>
      </c>
    </row>
    <row r="497" spans="1:19">
      <c r="A497" s="7">
        <v>42394</v>
      </c>
      <c r="B497" s="8" t="s">
        <v>22</v>
      </c>
      <c r="C497" s="8">
        <v>39</v>
      </c>
      <c r="D497" s="8" t="s">
        <v>61</v>
      </c>
      <c r="F497" s="8">
        <v>3.5</v>
      </c>
      <c r="J497">
        <f>134+154</f>
        <v>288</v>
      </c>
      <c r="K497">
        <v>2</v>
      </c>
      <c r="L497">
        <v>154</v>
      </c>
      <c r="N497" t="str">
        <f t="shared" si="21"/>
        <v>NA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-0.39801199999999426</v>
      </c>
      <c r="P497" t="str">
        <f t="shared" si="25"/>
        <v xml:space="preserve"> </v>
      </c>
      <c r="S497">
        <f t="shared" si="23"/>
        <v>9.6211193749999993</v>
      </c>
    </row>
    <row r="498" spans="1:19">
      <c r="A498" s="7">
        <v>42394</v>
      </c>
      <c r="B498" s="8" t="s">
        <v>22</v>
      </c>
      <c r="C498" s="8">
        <v>39</v>
      </c>
      <c r="D498" s="8" t="s">
        <v>61</v>
      </c>
      <c r="F498" s="8">
        <v>0.64</v>
      </c>
      <c r="J498">
        <f>12</f>
        <v>12</v>
      </c>
      <c r="K498">
        <v>1</v>
      </c>
      <c r="L498">
        <v>12</v>
      </c>
      <c r="N498" t="str">
        <f t="shared" si="21"/>
        <v>NA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23.524750999999998</v>
      </c>
      <c r="P498">
        <f t="shared" si="25"/>
        <v>23.524750999999998</v>
      </c>
      <c r="S498">
        <f t="shared" si="23"/>
        <v>0.321698816</v>
      </c>
    </row>
    <row r="499" spans="1:19">
      <c r="A499" s="7">
        <v>42394</v>
      </c>
      <c r="B499" s="8" t="s">
        <v>22</v>
      </c>
      <c r="C499" s="8">
        <v>39</v>
      </c>
      <c r="D499" s="8" t="s">
        <v>61</v>
      </c>
      <c r="F499" s="8">
        <v>0.71</v>
      </c>
      <c r="J499">
        <v>13</v>
      </c>
      <c r="K499">
        <v>1</v>
      </c>
      <c r="L499">
        <v>13</v>
      </c>
      <c r="N499" t="str">
        <f t="shared" si="21"/>
        <v>NA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23.317260999999998</v>
      </c>
      <c r="P499">
        <f t="shared" si="25"/>
        <v>23.317260999999998</v>
      </c>
      <c r="S499">
        <f t="shared" si="23"/>
        <v>0.39591887974999995</v>
      </c>
    </row>
    <row r="500" spans="1:19">
      <c r="A500" s="7">
        <v>42394</v>
      </c>
      <c r="B500" s="8" t="s">
        <v>22</v>
      </c>
      <c r="C500" s="8">
        <v>39</v>
      </c>
      <c r="D500" s="8" t="s">
        <v>61</v>
      </c>
      <c r="F500" s="8">
        <v>1</v>
      </c>
      <c r="J500">
        <v>16</v>
      </c>
      <c r="K500">
        <v>1</v>
      </c>
      <c r="L500">
        <v>16</v>
      </c>
      <c r="N500" t="str">
        <f t="shared" si="21"/>
        <v>NA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22.694790999999995</v>
      </c>
      <c r="P500">
        <f t="shared" si="25"/>
        <v>22.694790999999995</v>
      </c>
      <c r="S500">
        <f t="shared" si="23"/>
        <v>0.78539749999999997</v>
      </c>
    </row>
    <row r="501" spans="1:19">
      <c r="A501" s="7">
        <v>42394</v>
      </c>
      <c r="B501" s="8" t="s">
        <v>22</v>
      </c>
      <c r="C501">
        <v>17</v>
      </c>
      <c r="D501" s="8" t="s">
        <v>61</v>
      </c>
      <c r="F501" s="8">
        <v>4.7699999999999996</v>
      </c>
      <c r="J501">
        <f>71+119+142</f>
        <v>332</v>
      </c>
      <c r="K501">
        <v>3</v>
      </c>
      <c r="L501">
        <v>142</v>
      </c>
      <c r="N501" t="str">
        <f t="shared" si="21"/>
        <v>NA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0.31979499999999916</v>
      </c>
      <c r="P501">
        <f t="shared" si="25"/>
        <v>0.31979499999999916</v>
      </c>
      <c r="S501">
        <f t="shared" si="23"/>
        <v>17.870070777749998</v>
      </c>
    </row>
    <row r="502" spans="1:19">
      <c r="A502" s="7">
        <v>42394</v>
      </c>
      <c r="B502" s="8" t="s">
        <v>57</v>
      </c>
      <c r="C502" s="8">
        <v>41</v>
      </c>
      <c r="D502" s="8" t="s">
        <v>61</v>
      </c>
      <c r="F502" s="8">
        <v>1.8</v>
      </c>
      <c r="J502">
        <f>41+83+129+150</f>
        <v>403</v>
      </c>
      <c r="K502">
        <v>4</v>
      </c>
      <c r="L502">
        <v>150</v>
      </c>
      <c r="N502" t="str">
        <f t="shared" si="21"/>
        <v>NA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-2.4559130000000025</v>
      </c>
      <c r="P502" t="str">
        <f t="shared" si="25"/>
        <v xml:space="preserve"> </v>
      </c>
      <c r="S502">
        <f t="shared" si="23"/>
        <v>2.5446879</v>
      </c>
    </row>
    <row r="503" spans="1:19">
      <c r="A503" s="7">
        <v>42394</v>
      </c>
      <c r="B503" s="8" t="s">
        <v>57</v>
      </c>
      <c r="C503" s="8">
        <v>41</v>
      </c>
      <c r="D503" s="8" t="s">
        <v>61</v>
      </c>
      <c r="F503" s="8">
        <v>7.27</v>
      </c>
      <c r="J503">
        <f>138+174+201</f>
        <v>513</v>
      </c>
      <c r="K503">
        <v>3</v>
      </c>
      <c r="L503">
        <v>201</v>
      </c>
      <c r="N503" t="str">
        <f t="shared" si="21"/>
        <v>NA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-0.48400499999999624</v>
      </c>
      <c r="P503" t="str">
        <f t="shared" si="25"/>
        <v xml:space="preserve"> </v>
      </c>
      <c r="S503">
        <f t="shared" si="23"/>
        <v>41.510535527749994</v>
      </c>
    </row>
    <row r="504" spans="1:19">
      <c r="A504" s="7">
        <v>42394</v>
      </c>
      <c r="B504" s="8" t="s">
        <v>57</v>
      </c>
      <c r="C504" s="8">
        <v>41</v>
      </c>
      <c r="D504" s="8" t="s">
        <v>61</v>
      </c>
      <c r="F504" s="8">
        <v>0.44</v>
      </c>
      <c r="J504">
        <f>29+32+38</f>
        <v>99</v>
      </c>
      <c r="K504">
        <v>3</v>
      </c>
      <c r="L504">
        <v>38</v>
      </c>
      <c r="N504" t="str">
        <f t="shared" si="21"/>
        <v>NA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9.8043599999999955</v>
      </c>
      <c r="P504">
        <f t="shared" si="25"/>
        <v>9.8043599999999955</v>
      </c>
      <c r="S504">
        <f t="shared" si="23"/>
        <v>0.15205295599999999</v>
      </c>
    </row>
    <row r="505" spans="1:19">
      <c r="A505" s="7">
        <v>42394</v>
      </c>
      <c r="B505" s="8" t="s">
        <v>57</v>
      </c>
      <c r="C505" s="8">
        <v>41</v>
      </c>
      <c r="D505" s="8" t="s">
        <v>61</v>
      </c>
      <c r="F505" s="8">
        <v>0.88</v>
      </c>
      <c r="J505">
        <f>44+63+61</f>
        <v>168</v>
      </c>
      <c r="K505">
        <v>3</v>
      </c>
      <c r="L505">
        <v>63</v>
      </c>
      <c r="N505" t="str">
        <f t="shared" si="21"/>
        <v>NA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8.742329999999999</v>
      </c>
      <c r="P505">
        <f t="shared" si="25"/>
        <v>8.742329999999999</v>
      </c>
      <c r="S505">
        <f t="shared" si="23"/>
        <v>0.60821182399999996</v>
      </c>
    </row>
    <row r="506" spans="1:19">
      <c r="A506" s="7">
        <v>42394</v>
      </c>
      <c r="B506" s="8" t="s">
        <v>57</v>
      </c>
      <c r="C506" s="8">
        <v>41</v>
      </c>
      <c r="D506" s="8" t="s">
        <v>61</v>
      </c>
      <c r="F506" s="8">
        <v>1.98</v>
      </c>
      <c r="J506">
        <f>36+45+170+199</f>
        <v>450</v>
      </c>
      <c r="K506">
        <v>4</v>
      </c>
      <c r="L506">
        <v>199</v>
      </c>
      <c r="N506" t="str">
        <f t="shared" si="21"/>
        <v>NA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-12.810432999999996</v>
      </c>
      <c r="P506" t="str">
        <f t="shared" si="25"/>
        <v xml:space="preserve"> </v>
      </c>
      <c r="S506">
        <f t="shared" si="23"/>
        <v>3.079072359</v>
      </c>
    </row>
    <row r="507" spans="1:19">
      <c r="A507" s="7">
        <v>42394</v>
      </c>
      <c r="B507" s="8" t="s">
        <v>57</v>
      </c>
      <c r="C507" s="8">
        <v>41</v>
      </c>
      <c r="D507" s="8" t="s">
        <v>61</v>
      </c>
      <c r="F507" s="8">
        <v>0.66</v>
      </c>
      <c r="J507">
        <f>27+39</f>
        <v>66</v>
      </c>
      <c r="K507">
        <v>2</v>
      </c>
      <c r="L507">
        <v>39</v>
      </c>
      <c r="N507" t="str">
        <f t="shared" si="21"/>
        <v>NA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13.431552999999997</v>
      </c>
      <c r="P507">
        <f t="shared" si="25"/>
        <v>13.431552999999997</v>
      </c>
      <c r="S507">
        <f t="shared" si="23"/>
        <v>0.34211915100000001</v>
      </c>
    </row>
    <row r="508" spans="1:19">
      <c r="A508" s="7">
        <v>42394</v>
      </c>
      <c r="B508" s="8" t="s">
        <v>57</v>
      </c>
      <c r="C508" s="8">
        <v>41</v>
      </c>
      <c r="D508" s="8" t="s">
        <v>61</v>
      </c>
      <c r="F508" s="8">
        <v>2.0299999999999998</v>
      </c>
      <c r="J508">
        <f>80+138+176+184+191</f>
        <v>769</v>
      </c>
      <c r="K508">
        <v>5</v>
      </c>
      <c r="L508">
        <v>191</v>
      </c>
      <c r="N508" t="str">
        <f t="shared" si="21"/>
        <v>NA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12.485019000000001</v>
      </c>
      <c r="P508">
        <f t="shared" si="25"/>
        <v>12.485019000000001</v>
      </c>
      <c r="S508">
        <f t="shared" si="23"/>
        <v>3.2365445577499989</v>
      </c>
    </row>
    <row r="509" spans="1:19">
      <c r="A509" s="7">
        <v>42394</v>
      </c>
      <c r="B509" s="8" t="s">
        <v>57</v>
      </c>
      <c r="C509" s="8">
        <v>41</v>
      </c>
      <c r="D509" s="8" t="s">
        <v>61</v>
      </c>
      <c r="F509" s="8">
        <v>0.49</v>
      </c>
      <c r="J509">
        <f>36+36</f>
        <v>72</v>
      </c>
      <c r="K509">
        <v>2</v>
      </c>
      <c r="L509">
        <v>36</v>
      </c>
      <c r="N509" t="str">
        <f t="shared" si="21"/>
        <v>NA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14.897818000000001</v>
      </c>
      <c r="P509">
        <f t="shared" si="25"/>
        <v>14.897818000000001</v>
      </c>
      <c r="S509">
        <f t="shared" si="23"/>
        <v>0.18857393974999997</v>
      </c>
    </row>
    <row r="510" spans="1:19">
      <c r="A510" s="7">
        <v>42394</v>
      </c>
      <c r="B510" s="8" t="s">
        <v>57</v>
      </c>
      <c r="C510" s="8">
        <v>41</v>
      </c>
      <c r="D510" s="8" t="s">
        <v>61</v>
      </c>
      <c r="F510" s="8">
        <v>7.3</v>
      </c>
      <c r="J510">
        <f>214+275+282+324+338</f>
        <v>1433</v>
      </c>
      <c r="K510">
        <v>5</v>
      </c>
      <c r="L510">
        <v>338</v>
      </c>
      <c r="N510" t="str">
        <f t="shared" si="21"/>
        <v>NA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30.455324000000026</v>
      </c>
      <c r="P510">
        <f t="shared" si="25"/>
        <v>30.455324000000026</v>
      </c>
      <c r="S510">
        <f t="shared" si="23"/>
        <v>41.853832775000001</v>
      </c>
    </row>
    <row r="511" spans="1:19">
      <c r="A511" s="7">
        <v>42394</v>
      </c>
      <c r="B511" s="8" t="s">
        <v>57</v>
      </c>
      <c r="C511" s="8">
        <v>41</v>
      </c>
      <c r="D511" s="8" t="s">
        <v>61</v>
      </c>
      <c r="F511" s="8">
        <v>1.2</v>
      </c>
      <c r="J511">
        <f>87+92</f>
        <v>179</v>
      </c>
      <c r="K511">
        <v>2</v>
      </c>
      <c r="L511">
        <v>92</v>
      </c>
      <c r="N511" t="str">
        <f t="shared" si="21"/>
        <v>NA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8.0598829999999992</v>
      </c>
      <c r="P511">
        <f t="shared" si="25"/>
        <v>8.0598829999999992</v>
      </c>
      <c r="S511">
        <f t="shared" si="23"/>
        <v>1.1309723999999999</v>
      </c>
    </row>
    <row r="512" spans="1:19">
      <c r="A512" s="7">
        <v>42394</v>
      </c>
      <c r="B512" s="8" t="s">
        <v>57</v>
      </c>
      <c r="C512" s="8">
        <v>41</v>
      </c>
      <c r="D512" s="8" t="s">
        <v>61</v>
      </c>
      <c r="F512" s="8">
        <v>1.71</v>
      </c>
      <c r="J512">
        <f>60+112+177+174</f>
        <v>523</v>
      </c>
      <c r="K512">
        <v>4</v>
      </c>
      <c r="L512">
        <v>184</v>
      </c>
      <c r="N512" t="str">
        <f t="shared" si="21"/>
        <v>NA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-1.4476429999999922</v>
      </c>
      <c r="P512" t="str">
        <f t="shared" si="25"/>
        <v xml:space="preserve"> </v>
      </c>
      <c r="S512">
        <f t="shared" si="23"/>
        <v>2.2965808297499999</v>
      </c>
    </row>
    <row r="513" spans="1:19">
      <c r="A513" s="7">
        <v>42394</v>
      </c>
      <c r="B513" s="8" t="s">
        <v>57</v>
      </c>
      <c r="C513" s="8">
        <v>41</v>
      </c>
      <c r="D513" s="8" t="s">
        <v>61</v>
      </c>
      <c r="F513" s="8">
        <v>12.15</v>
      </c>
      <c r="J513">
        <f>133+227+282+344</f>
        <v>986</v>
      </c>
      <c r="K513">
        <v>4</v>
      </c>
      <c r="L513">
        <v>344</v>
      </c>
      <c r="N513" t="str">
        <f t="shared" si="21"/>
        <v>NA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-6.2382779999999869</v>
      </c>
      <c r="P513" t="str">
        <f t="shared" si="25"/>
        <v xml:space="preserve"> </v>
      </c>
      <c r="S513">
        <f t="shared" si="23"/>
        <v>115.94234244374999</v>
      </c>
    </row>
    <row r="514" spans="1:19">
      <c r="A514" s="7"/>
      <c r="B514" s="8"/>
      <c r="D514" s="8"/>
    </row>
    <row r="515" spans="1:19">
      <c r="A515" s="7"/>
      <c r="B515" s="8"/>
      <c r="D515" s="8"/>
    </row>
    <row r="516" spans="1:19">
      <c r="A516" s="7"/>
      <c r="B516" s="8"/>
      <c r="D516" s="8"/>
    </row>
    <row r="517" spans="1:19">
      <c r="A517" s="7"/>
      <c r="B517" s="8"/>
      <c r="D517" s="8"/>
    </row>
    <row r="518" spans="1:19">
      <c r="A518" s="7"/>
      <c r="B518" s="8"/>
      <c r="D518" s="8"/>
    </row>
    <row r="519" spans="1:19">
      <c r="A519" s="7"/>
      <c r="B519" s="8"/>
      <c r="D519" s="8"/>
    </row>
    <row r="520" spans="1:19">
      <c r="A520" s="7"/>
      <c r="B520" s="8"/>
      <c r="D520" s="8"/>
    </row>
    <row r="521" spans="1:19">
      <c r="A521" s="7"/>
      <c r="B521" s="8"/>
      <c r="D521" s="8"/>
    </row>
    <row r="522" spans="1:19">
      <c r="A522" s="7"/>
      <c r="B522" s="8"/>
      <c r="D522" s="8"/>
    </row>
    <row r="523" spans="1:19">
      <c r="A523" s="7"/>
      <c r="B523" s="8"/>
      <c r="D523" s="8"/>
    </row>
    <row r="524" spans="1:19">
      <c r="A524" s="7"/>
      <c r="B524" s="8"/>
      <c r="D524" s="8"/>
    </row>
    <row r="525" spans="1:19">
      <c r="A525" s="7"/>
      <c r="B525" s="8"/>
      <c r="D525" s="8"/>
    </row>
    <row r="526" spans="1:19">
      <c r="A526" s="7"/>
      <c r="B526" s="8"/>
      <c r="D526" s="8"/>
    </row>
    <row r="527" spans="1:19">
      <c r="A527" s="7"/>
      <c r="B527" s="8"/>
      <c r="D527" s="8"/>
    </row>
    <row r="528" spans="1:19">
      <c r="A528" s="7"/>
      <c r="B528" s="8"/>
      <c r="D528" s="8"/>
    </row>
    <row r="529" spans="1:4">
      <c r="A529" s="7"/>
      <c r="B529" s="8"/>
      <c r="D529" s="8"/>
    </row>
    <row r="530" spans="1:4">
      <c r="A530" s="7"/>
      <c r="B530" s="8"/>
      <c r="D530" s="8"/>
    </row>
    <row r="531" spans="1:4">
      <c r="A531" s="7"/>
      <c r="B531" s="8"/>
      <c r="D531" s="8"/>
    </row>
    <row r="532" spans="1:4">
      <c r="A532" s="7"/>
      <c r="B532" s="8"/>
      <c r="D532" s="8"/>
    </row>
    <row r="533" spans="1:4">
      <c r="A533" s="7"/>
      <c r="B533" s="8"/>
      <c r="D533" s="8"/>
    </row>
    <row r="534" spans="1:4">
      <c r="A534" s="7"/>
      <c r="B534" s="8"/>
      <c r="D534" s="8"/>
    </row>
    <row r="535" spans="1:4">
      <c r="A535" s="7"/>
      <c r="B535" s="8"/>
      <c r="D535" s="8"/>
    </row>
    <row r="536" spans="1:4">
      <c r="A536" s="7"/>
      <c r="B536" s="8"/>
      <c r="D536" s="8"/>
    </row>
    <row r="537" spans="1:4">
      <c r="A537" s="7"/>
      <c r="B537" s="8"/>
      <c r="D537" s="8"/>
    </row>
    <row r="538" spans="1:4">
      <c r="A538" s="7"/>
      <c r="B538" s="8"/>
      <c r="D538" s="8"/>
    </row>
    <row r="539" spans="1:4">
      <c r="A539" s="7"/>
      <c r="B539" s="8"/>
      <c r="D539" s="8"/>
    </row>
    <row r="540" spans="1:4">
      <c r="A540" s="7"/>
      <c r="B540" s="8"/>
      <c r="D540" s="8"/>
    </row>
    <row r="541" spans="1:4">
      <c r="A541" s="7"/>
      <c r="B541" s="8"/>
      <c r="D541" s="8"/>
    </row>
    <row r="542" spans="1:4">
      <c r="A542" s="7"/>
      <c r="B542" s="8"/>
      <c r="D542" s="8"/>
    </row>
    <row r="543" spans="1:4">
      <c r="A543" s="7"/>
      <c r="B543" s="8"/>
      <c r="D543" s="8"/>
    </row>
    <row r="544" spans="1:4">
      <c r="A544" s="7"/>
      <c r="B544" s="8"/>
      <c r="D544" s="8"/>
    </row>
    <row r="545" spans="1:4">
      <c r="A545" s="7"/>
      <c r="B545" s="8"/>
      <c r="D545" s="8"/>
    </row>
    <row r="546" spans="1:4">
      <c r="A546" s="7"/>
      <c r="B546" s="8"/>
      <c r="D546" s="8"/>
    </row>
    <row r="547" spans="1:4">
      <c r="A547" s="7"/>
      <c r="B547" s="8"/>
      <c r="D547" s="8"/>
    </row>
    <row r="548" spans="1:4">
      <c r="A548" s="7"/>
      <c r="B548" s="8"/>
      <c r="D548" s="8"/>
    </row>
    <row r="549" spans="1:4">
      <c r="A549" s="7"/>
      <c r="B549" s="8"/>
      <c r="D549" s="8"/>
    </row>
    <row r="550" spans="1:4">
      <c r="A550" s="7"/>
      <c r="B550" s="8"/>
      <c r="D550" s="8"/>
    </row>
    <row r="551" spans="1:4">
      <c r="A551" s="7"/>
      <c r="B551" s="8"/>
      <c r="D551" s="8"/>
    </row>
    <row r="552" spans="1:4">
      <c r="A552" s="7"/>
      <c r="B552" s="8"/>
      <c r="D552" s="8"/>
    </row>
    <row r="553" spans="1:4">
      <c r="A553" s="7"/>
      <c r="B553" s="8"/>
      <c r="D553" s="8"/>
    </row>
    <row r="554" spans="1:4">
      <c r="A554" s="7"/>
      <c r="B554" s="8"/>
      <c r="D554" s="8"/>
    </row>
    <row r="555" spans="1:4">
      <c r="A555" s="7"/>
      <c r="B555" s="8"/>
      <c r="D555" s="8"/>
    </row>
    <row r="556" spans="1:4">
      <c r="A556" s="7"/>
      <c r="B556" s="8"/>
      <c r="D556" s="8"/>
    </row>
    <row r="557" spans="1:4">
      <c r="A557" s="7"/>
      <c r="B557" s="8"/>
      <c r="D557" s="8"/>
    </row>
    <row r="558" spans="1:4">
      <c r="A558" s="7"/>
      <c r="B558" s="8"/>
      <c r="D558" s="8"/>
    </row>
    <row r="559" spans="1:4">
      <c r="A559" s="7"/>
      <c r="B559" s="8"/>
      <c r="D559" s="8"/>
    </row>
    <row r="560" spans="1:4">
      <c r="A560" s="7"/>
      <c r="B560" s="8"/>
      <c r="D560" s="8"/>
    </row>
    <row r="561" spans="1:4">
      <c r="A561" s="7"/>
      <c r="B561" s="8"/>
      <c r="D561" s="8"/>
    </row>
    <row r="562" spans="1:4">
      <c r="A562" s="7"/>
      <c r="B562" s="8"/>
      <c r="D562" s="8"/>
    </row>
    <row r="563" spans="1:4">
      <c r="A563" s="7"/>
      <c r="B563" s="8"/>
      <c r="D563" s="8"/>
    </row>
    <row r="564" spans="1:4">
      <c r="A564" s="7"/>
      <c r="B564" s="8"/>
      <c r="D564" s="8"/>
    </row>
    <row r="565" spans="1:4">
      <c r="A565" s="7"/>
      <c r="B565" s="8"/>
      <c r="D565" s="8"/>
    </row>
    <row r="566" spans="1:4">
      <c r="A566" s="7"/>
      <c r="B566" s="8"/>
      <c r="D566" s="8"/>
    </row>
    <row r="567" spans="1:4">
      <c r="A567" s="7"/>
      <c r="B567" s="8"/>
      <c r="D567" s="8"/>
    </row>
    <row r="568" spans="1:4">
      <c r="A568" s="7"/>
      <c r="B568" s="8"/>
      <c r="D568" s="8"/>
    </row>
    <row r="569" spans="1:4">
      <c r="A569" s="7"/>
      <c r="B569" s="8"/>
      <c r="D569" s="8"/>
    </row>
    <row r="570" spans="1:4">
      <c r="A570" s="7"/>
      <c r="B570" s="8"/>
      <c r="D570" s="8"/>
    </row>
    <row r="571" spans="1:4">
      <c r="A571" s="7"/>
      <c r="B571" s="8"/>
      <c r="D571" s="8"/>
    </row>
    <row r="572" spans="1:4">
      <c r="A572" s="7"/>
      <c r="B572" s="8"/>
      <c r="D572" s="8"/>
    </row>
    <row r="573" spans="1:4">
      <c r="A573" s="7"/>
      <c r="B573" s="8"/>
      <c r="D573" s="8"/>
    </row>
    <row r="574" spans="1:4">
      <c r="A574" s="7"/>
      <c r="B574" s="8"/>
      <c r="D574" s="8"/>
    </row>
    <row r="575" spans="1:4">
      <c r="A575" s="7"/>
      <c r="B575" s="8"/>
      <c r="D575" s="8"/>
    </row>
    <row r="576" spans="1:4">
      <c r="A576" s="7"/>
      <c r="B576" s="8"/>
      <c r="D576" s="8"/>
    </row>
    <row r="577" spans="1:4">
      <c r="A577" s="7"/>
      <c r="B577" s="8"/>
      <c r="D577" s="8"/>
    </row>
    <row r="578" spans="1:4">
      <c r="A578" s="7"/>
      <c r="B578" s="8"/>
      <c r="D578" s="8"/>
    </row>
    <row r="579" spans="1:4">
      <c r="A579" s="7"/>
      <c r="B579" s="8"/>
      <c r="D579" s="8"/>
    </row>
    <row r="580" spans="1:4">
      <c r="A580" s="7"/>
      <c r="B580" s="8"/>
      <c r="D580" s="8"/>
    </row>
    <row r="581" spans="1:4">
      <c r="A581" s="7"/>
      <c r="B581" s="8"/>
      <c r="D581" s="8"/>
    </row>
    <row r="582" spans="1:4">
      <c r="A582" s="7"/>
      <c r="B582" s="8"/>
      <c r="D582" s="8"/>
    </row>
    <row r="583" spans="1:4">
      <c r="A583" s="7"/>
      <c r="B583" s="8"/>
      <c r="D583" s="8"/>
    </row>
    <row r="584" spans="1:4">
      <c r="A584" s="7"/>
      <c r="B584" s="8"/>
      <c r="D584" s="8"/>
    </row>
    <row r="585" spans="1:4">
      <c r="A585" s="7"/>
      <c r="B585" s="8"/>
      <c r="D585" s="8"/>
    </row>
    <row r="586" spans="1:4">
      <c r="A586" s="7"/>
      <c r="B586" s="8"/>
      <c r="D586" s="8"/>
    </row>
    <row r="587" spans="1:4">
      <c r="A587" s="7"/>
      <c r="B587" s="8"/>
      <c r="D587" s="8"/>
    </row>
    <row r="588" spans="1:4">
      <c r="A588" s="7"/>
      <c r="B588" s="8"/>
      <c r="D588" s="8"/>
    </row>
    <row r="589" spans="1:4">
      <c r="A589" s="7"/>
      <c r="B589" s="8"/>
      <c r="D589" s="8"/>
    </row>
    <row r="590" spans="1:4">
      <c r="A590" s="7"/>
      <c r="B590" s="8"/>
      <c r="D590" s="8"/>
    </row>
    <row r="591" spans="1:4">
      <c r="A591" s="7"/>
      <c r="B591" s="8"/>
      <c r="D591" s="8"/>
    </row>
    <row r="592" spans="1:4">
      <c r="A592" s="7"/>
      <c r="B592" s="8"/>
      <c r="D592" s="8"/>
    </row>
    <row r="593" spans="1:4">
      <c r="A593" s="7"/>
      <c r="B593" s="8"/>
      <c r="D593" s="8"/>
    </row>
    <row r="594" spans="1:4">
      <c r="A594" s="7"/>
      <c r="B594" s="8"/>
      <c r="D594" s="8"/>
    </row>
    <row r="595" spans="1:4">
      <c r="A595" s="7"/>
      <c r="B595" s="8"/>
      <c r="D595" s="8"/>
    </row>
    <row r="596" spans="1:4">
      <c r="A596" s="7"/>
      <c r="B596" s="8"/>
      <c r="D596" s="8"/>
    </row>
    <row r="597" spans="1:4">
      <c r="A597" s="7"/>
      <c r="B597" s="8"/>
      <c r="D597" s="8"/>
    </row>
    <row r="598" spans="1:4">
      <c r="A598" s="7"/>
      <c r="B598" s="8"/>
      <c r="D598" s="8"/>
    </row>
    <row r="599" spans="1:4">
      <c r="A599" s="7"/>
      <c r="B599" s="8"/>
      <c r="D599" s="8"/>
    </row>
    <row r="600" spans="1:4">
      <c r="A600" s="7"/>
      <c r="B600" s="8"/>
      <c r="D600" s="8"/>
    </row>
    <row r="601" spans="1:4">
      <c r="A601" s="7"/>
      <c r="B601" s="8"/>
      <c r="D601" s="8"/>
    </row>
    <row r="602" spans="1:4">
      <c r="A602" s="7"/>
      <c r="B602" s="8"/>
      <c r="D602" s="8"/>
    </row>
    <row r="603" spans="1:4">
      <c r="A603" s="9"/>
      <c r="B603" s="8"/>
      <c r="C603" s="8"/>
      <c r="D603" s="8"/>
    </row>
    <row r="604" spans="1:4">
      <c r="A604" s="9"/>
      <c r="B604" s="8"/>
      <c r="C604" s="8"/>
      <c r="D604" s="8"/>
    </row>
    <row r="605" spans="1:4">
      <c r="A605" s="9"/>
      <c r="B605" s="8"/>
      <c r="C605" s="8"/>
      <c r="D605" s="8"/>
    </row>
    <row r="606" spans="1:4">
      <c r="A606" s="9"/>
      <c r="B606" s="8"/>
      <c r="C606" s="8"/>
      <c r="D606" s="8"/>
    </row>
    <row r="607" spans="1:4">
      <c r="A607" s="9"/>
      <c r="B607" s="8"/>
      <c r="C607" s="8"/>
      <c r="D607" s="8"/>
    </row>
    <row r="608" spans="1:4">
      <c r="A608" s="9"/>
      <c r="B608" s="8"/>
      <c r="C608" s="8"/>
      <c r="D608" s="8"/>
    </row>
    <row r="609" spans="1:4">
      <c r="A609" s="9"/>
      <c r="B609" s="8"/>
      <c r="C609" s="8"/>
      <c r="D609" s="8"/>
    </row>
    <row r="610" spans="1:4">
      <c r="A610" s="9"/>
      <c r="B610" s="8"/>
      <c r="C610" s="8"/>
      <c r="D610" s="8"/>
    </row>
    <row r="611" spans="1:4">
      <c r="A611" s="9"/>
      <c r="B611" s="8"/>
      <c r="C611" s="8"/>
      <c r="D611" s="8"/>
    </row>
    <row r="612" spans="1:4">
      <c r="A612" s="9"/>
      <c r="B612" s="8"/>
      <c r="C612" s="8"/>
      <c r="D612" s="8"/>
    </row>
    <row r="613" spans="1:4">
      <c r="A613" s="9"/>
      <c r="B613" s="8"/>
      <c r="C613" s="8"/>
      <c r="D613" s="8"/>
    </row>
    <row r="614" spans="1:4">
      <c r="A614" s="9"/>
      <c r="B614" s="8"/>
      <c r="C614" s="8"/>
      <c r="D614" s="8"/>
    </row>
    <row r="615" spans="1:4">
      <c r="A615" s="9"/>
      <c r="B615" s="8"/>
      <c r="C615" s="8"/>
      <c r="D615" s="8"/>
    </row>
    <row r="616" spans="1:4">
      <c r="A616" s="9"/>
      <c r="B616" s="8"/>
      <c r="C616" s="8"/>
      <c r="D616" s="8"/>
    </row>
    <row r="617" spans="1:4">
      <c r="A617" s="9"/>
      <c r="B617" s="8"/>
      <c r="C617" s="8"/>
      <c r="D617" s="8"/>
    </row>
    <row r="618" spans="1:4">
      <c r="A618" s="9"/>
      <c r="B618" s="8"/>
      <c r="C618" s="8"/>
      <c r="D618" s="8"/>
    </row>
    <row r="619" spans="1:4">
      <c r="A619" s="9"/>
      <c r="B619" s="8"/>
      <c r="C619" s="8"/>
      <c r="D619" s="8"/>
    </row>
    <row r="620" spans="1:4">
      <c r="A620" s="9"/>
      <c r="B620" s="8"/>
      <c r="C620" s="8"/>
      <c r="D620" s="8"/>
    </row>
    <row r="621" spans="1:4">
      <c r="A621" s="9"/>
      <c r="B621" s="8"/>
      <c r="C621" s="8"/>
      <c r="D621" s="8"/>
    </row>
    <row r="622" spans="1:4">
      <c r="A622" s="9"/>
      <c r="B622" s="8"/>
      <c r="C622" s="8"/>
      <c r="D622" s="8"/>
    </row>
    <row r="623" spans="1:4">
      <c r="A623" s="9"/>
      <c r="B623" s="8"/>
      <c r="C623" s="8"/>
      <c r="D623" s="8"/>
    </row>
    <row r="624" spans="1:4">
      <c r="A624" s="9"/>
      <c r="B624" s="8"/>
      <c r="C624" s="8"/>
      <c r="D624" s="8"/>
    </row>
    <row r="625" spans="1:4">
      <c r="A625" s="9"/>
      <c r="B625" s="8"/>
      <c r="C625" s="8"/>
      <c r="D625" s="8"/>
    </row>
    <row r="626" spans="1:4">
      <c r="A626" s="9"/>
      <c r="B626" s="8"/>
      <c r="C626" s="8"/>
      <c r="D626" s="8"/>
    </row>
    <row r="627" spans="1:4">
      <c r="A627" s="9"/>
      <c r="B627" s="8"/>
      <c r="C627" s="8"/>
      <c r="D627" s="8"/>
    </row>
    <row r="628" spans="1:4">
      <c r="A628" s="9"/>
      <c r="B628" s="8"/>
      <c r="C628" s="8"/>
      <c r="D628" s="8"/>
    </row>
    <row r="629" spans="1:4">
      <c r="A629" s="9"/>
      <c r="B629" s="8"/>
      <c r="C629" s="8"/>
      <c r="D629" s="8"/>
    </row>
    <row r="630" spans="1:4">
      <c r="A630" s="9"/>
      <c r="B630" s="8"/>
      <c r="C630" s="8"/>
      <c r="D630" s="8"/>
    </row>
    <row r="631" spans="1:4">
      <c r="A631" s="9"/>
      <c r="B631" s="8"/>
      <c r="C631" s="8"/>
      <c r="D631" s="8"/>
    </row>
    <row r="632" spans="1:4">
      <c r="A632" s="9"/>
      <c r="B632" s="8"/>
      <c r="C632" s="8"/>
      <c r="D632" s="8"/>
    </row>
    <row r="633" spans="1:4">
      <c r="A633" s="9"/>
      <c r="B633" s="8"/>
      <c r="C633" s="8"/>
      <c r="D633" s="8"/>
    </row>
    <row r="634" spans="1:4">
      <c r="A634" s="9"/>
      <c r="B634" s="8"/>
      <c r="C634" s="8"/>
      <c r="D634" s="8"/>
    </row>
    <row r="635" spans="1:4">
      <c r="A635" s="9"/>
      <c r="B635" s="8"/>
      <c r="C635" s="8"/>
      <c r="D635" s="8"/>
    </row>
    <row r="636" spans="1:4">
      <c r="A636" s="9"/>
      <c r="B636" s="8"/>
      <c r="C636" s="8"/>
      <c r="D636" s="8"/>
    </row>
    <row r="637" spans="1:4">
      <c r="A637" s="9"/>
      <c r="B637" s="8"/>
      <c r="C637" s="8"/>
      <c r="D637" s="8"/>
    </row>
    <row r="638" spans="1:4">
      <c r="A638" s="9"/>
      <c r="B638" s="8"/>
      <c r="C638" s="8"/>
      <c r="D638" s="8"/>
    </row>
    <row r="639" spans="1:4">
      <c r="A639" s="9"/>
      <c r="B639" s="8"/>
      <c r="C639" s="8"/>
      <c r="D639" s="8"/>
    </row>
    <row r="640" spans="1:4">
      <c r="A640" s="9"/>
      <c r="B640" s="8"/>
      <c r="C640" s="8"/>
      <c r="D640" s="8"/>
    </row>
    <row r="641" spans="1:4">
      <c r="A641" s="9"/>
      <c r="B641" s="8"/>
      <c r="C641" s="8"/>
      <c r="D641" s="8"/>
    </row>
    <row r="642" spans="1:4">
      <c r="A642" s="9"/>
      <c r="B642" s="8"/>
      <c r="C642" s="8"/>
      <c r="D642" s="8"/>
    </row>
    <row r="643" spans="1:4">
      <c r="A643" s="9"/>
      <c r="B643" s="8"/>
      <c r="C643" s="8"/>
      <c r="D643" s="8"/>
    </row>
    <row r="644" spans="1:4">
      <c r="A644" s="9"/>
      <c r="B644" s="8"/>
      <c r="C644" s="8"/>
      <c r="D644" s="8"/>
    </row>
    <row r="645" spans="1:4">
      <c r="A645" s="9"/>
      <c r="B645" s="8"/>
      <c r="C645" s="8"/>
      <c r="D645" s="8"/>
    </row>
    <row r="646" spans="1:4">
      <c r="A646" s="9"/>
      <c r="B646" s="8"/>
      <c r="C646" s="8"/>
      <c r="D646" s="8"/>
    </row>
    <row r="647" spans="1:4">
      <c r="A647" s="9"/>
      <c r="B647" s="8"/>
      <c r="C647" s="8"/>
      <c r="D647" s="8"/>
    </row>
    <row r="648" spans="1:4">
      <c r="A648" s="7"/>
      <c r="B648" s="8"/>
      <c r="C648" s="8"/>
      <c r="D648" s="8"/>
    </row>
    <row r="649" spans="1:4">
      <c r="A649" s="7"/>
      <c r="B649" s="8"/>
      <c r="C649" s="8"/>
      <c r="D649" s="8"/>
    </row>
    <row r="650" spans="1:4">
      <c r="A650" s="7"/>
      <c r="B650" s="8"/>
      <c r="C650" s="8"/>
      <c r="D650" s="8"/>
    </row>
    <row r="651" spans="1:4">
      <c r="A651" s="7"/>
      <c r="B651" s="8"/>
      <c r="C651" s="8"/>
      <c r="D651" s="8"/>
    </row>
    <row r="652" spans="1:4">
      <c r="A652" s="7"/>
      <c r="B652" s="8"/>
      <c r="C652" s="8"/>
      <c r="D652" s="8"/>
    </row>
    <row r="653" spans="1:4">
      <c r="A653" s="7"/>
      <c r="B653" s="8"/>
      <c r="C653" s="8"/>
      <c r="D653" s="8"/>
    </row>
    <row r="654" spans="1:4">
      <c r="A654" s="7"/>
      <c r="B654" s="8"/>
      <c r="C654" s="8"/>
      <c r="D654" s="8"/>
    </row>
    <row r="655" spans="1:4">
      <c r="A655" s="7"/>
      <c r="B655" s="8"/>
      <c r="C655" s="8"/>
      <c r="D655" s="8"/>
    </row>
    <row r="656" spans="1:4">
      <c r="A656" s="7"/>
      <c r="B656" s="8"/>
      <c r="C656" s="8"/>
      <c r="D656" s="8"/>
    </row>
    <row r="657" spans="1:4">
      <c r="A657" s="7"/>
      <c r="B657" s="8"/>
      <c r="C657" s="8"/>
      <c r="D657" s="8"/>
    </row>
    <row r="658" spans="1:4">
      <c r="A658" s="7"/>
      <c r="B658" s="8"/>
      <c r="C658" s="8"/>
      <c r="D658" s="8"/>
    </row>
    <row r="659" spans="1:4">
      <c r="A659" s="7"/>
      <c r="B659" s="8"/>
      <c r="C659" s="8"/>
      <c r="D659" s="8"/>
    </row>
    <row r="660" spans="1:4">
      <c r="A660" s="7"/>
      <c r="B660" s="8"/>
      <c r="C660" s="8"/>
      <c r="D660" s="8"/>
    </row>
    <row r="661" spans="1:4">
      <c r="A661" s="7"/>
      <c r="B661" s="8"/>
      <c r="C661" s="8"/>
      <c r="D661" s="8"/>
    </row>
    <row r="662" spans="1:4">
      <c r="A662" s="7"/>
      <c r="B662" s="8"/>
      <c r="C662" s="8"/>
    </row>
    <row r="663" spans="1:4">
      <c r="A663" s="7"/>
      <c r="B663" s="8"/>
      <c r="C663" s="8"/>
      <c r="D663" s="8"/>
    </row>
    <row r="664" spans="1:4">
      <c r="A664" s="7"/>
      <c r="B664" s="8"/>
      <c r="C664" s="8"/>
      <c r="D664" s="8"/>
    </row>
    <row r="665" spans="1:4">
      <c r="A665" s="7"/>
      <c r="B665" s="8"/>
      <c r="C665" s="8"/>
      <c r="D665" s="8"/>
    </row>
    <row r="1048576" spans="1:1">
      <c r="A1048576" s="7"/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B8" workbookViewId="0">
      <selection activeCell="I3" sqref="I3:I52"/>
    </sheetView>
  </sheetViews>
  <sheetFormatPr baseColWidth="10" defaultRowHeight="15" x14ac:dyDescent="0"/>
  <sheetData>
    <row r="1" spans="1:34" ht="21" thickBot="1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2"/>
      <c r="AA1" s="12"/>
    </row>
    <row r="2" spans="1:34" ht="106" thickTop="1">
      <c r="A2" s="13" t="s">
        <v>28</v>
      </c>
      <c r="B2" s="13" t="s">
        <v>4</v>
      </c>
      <c r="C2" s="5" t="s">
        <v>29</v>
      </c>
      <c r="D2" s="14" t="s">
        <v>30</v>
      </c>
      <c r="E2" s="13" t="s">
        <v>31</v>
      </c>
      <c r="F2" s="5" t="s">
        <v>32</v>
      </c>
      <c r="G2" s="5" t="s">
        <v>30</v>
      </c>
      <c r="H2" s="13" t="s">
        <v>33</v>
      </c>
      <c r="I2" s="5" t="s">
        <v>34</v>
      </c>
      <c r="J2" s="5" t="s">
        <v>30</v>
      </c>
      <c r="K2" s="13" t="s">
        <v>35</v>
      </c>
      <c r="L2" s="5" t="s">
        <v>36</v>
      </c>
      <c r="M2" s="15" t="s">
        <v>30</v>
      </c>
      <c r="N2" s="13" t="s">
        <v>37</v>
      </c>
      <c r="O2" s="5" t="s">
        <v>38</v>
      </c>
      <c r="P2" s="5" t="s">
        <v>30</v>
      </c>
      <c r="Q2" s="13" t="s">
        <v>39</v>
      </c>
      <c r="R2" s="5" t="s">
        <v>40</v>
      </c>
      <c r="S2" s="15" t="s">
        <v>30</v>
      </c>
      <c r="T2" s="13" t="s">
        <v>41</v>
      </c>
      <c r="U2" s="5" t="s">
        <v>42</v>
      </c>
      <c r="V2" s="5" t="s">
        <v>30</v>
      </c>
      <c r="W2" s="13" t="s">
        <v>43</v>
      </c>
      <c r="X2" s="13" t="s">
        <v>44</v>
      </c>
      <c r="Y2" s="13" t="s">
        <v>45</v>
      </c>
      <c r="Z2" s="13" t="s">
        <v>46</v>
      </c>
      <c r="AA2" s="13" t="s">
        <v>47</v>
      </c>
      <c r="AB2" s="13" t="s">
        <v>48</v>
      </c>
      <c r="AC2" s="13" t="s">
        <v>49</v>
      </c>
      <c r="AD2" s="13" t="s">
        <v>50</v>
      </c>
      <c r="AE2" s="13" t="s">
        <v>51</v>
      </c>
      <c r="AF2" s="16" t="s">
        <v>52</v>
      </c>
      <c r="AG2" s="16" t="s">
        <v>53</v>
      </c>
      <c r="AH2" s="16" t="s">
        <v>54</v>
      </c>
    </row>
    <row r="3" spans="1:34">
      <c r="A3" s="17" t="s">
        <v>55</v>
      </c>
      <c r="B3" s="18">
        <v>50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Measurements'!P52:P58)</f>
        <v>117.12175700000003</v>
      </c>
      <c r="S3" s="21"/>
      <c r="T3" s="18">
        <f>R3*4</f>
        <v>468.48702800000012</v>
      </c>
      <c r="U3" s="19"/>
      <c r="V3" s="21"/>
      <c r="W3" s="18">
        <f>U3*4</f>
        <v>0</v>
      </c>
      <c r="X3" s="18">
        <f>SUM(W3,T3,Q3,N3,K3,H3,E3)</f>
        <v>468.48702800000012</v>
      </c>
      <c r="Y3" s="22">
        <f>AVERAGE(X3:X7)</f>
        <v>276.02097151049435</v>
      </c>
      <c r="Z3" s="23">
        <f>E3+Q3</f>
        <v>0</v>
      </c>
      <c r="AA3" s="23">
        <f>W3+T3</f>
        <v>468.48702800000012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1970.7963748924917</v>
      </c>
    </row>
    <row r="4" spans="1:34">
      <c r="A4" s="24" t="s">
        <v>55</v>
      </c>
      <c r="B4" s="25">
        <v>44</v>
      </c>
      <c r="C4" s="26"/>
      <c r="D4" s="27"/>
      <c r="E4" s="18">
        <f t="shared" ref="E4:E52" si="0">C4*4</f>
        <v>0</v>
      </c>
      <c r="F4" s="26"/>
      <c r="G4" s="28"/>
      <c r="H4" s="18">
        <f t="shared" ref="H4:H7" si="1">F4*4</f>
        <v>0</v>
      </c>
      <c r="I4" s="26"/>
      <c r="J4" s="28"/>
      <c r="K4" s="18">
        <f t="shared" ref="K4:K52" si="2">I4*4</f>
        <v>0</v>
      </c>
      <c r="L4" s="26"/>
      <c r="M4" s="28"/>
      <c r="N4" s="18">
        <f t="shared" ref="N4:N52" si="3">L4*4</f>
        <v>0</v>
      </c>
      <c r="O4" s="26"/>
      <c r="P4" s="28"/>
      <c r="Q4" s="18">
        <f t="shared" ref="Q4:Q52" si="4">O4*4</f>
        <v>0</v>
      </c>
      <c r="R4" s="26">
        <f>SUM('Plant Measurements'!P59:P63)</f>
        <v>97.256177000000037</v>
      </c>
      <c r="S4" s="28"/>
      <c r="T4" s="18">
        <f t="shared" ref="T4:T52" si="5">R4*4</f>
        <v>389.02470800000015</v>
      </c>
      <c r="U4" s="26"/>
      <c r="V4" s="28"/>
      <c r="W4" s="18">
        <f t="shared" ref="W4:W52" si="6">U4*4</f>
        <v>0</v>
      </c>
      <c r="X4" s="25">
        <f t="shared" ref="X4:X52" si="7">SUM(W4,T4,Q4,N4,K4,H4,E4)</f>
        <v>389.02470800000015</v>
      </c>
      <c r="Y4" s="29"/>
      <c r="Z4" s="23">
        <f t="shared" ref="Z4:Z52" si="8">E4+Q4</f>
        <v>0</v>
      </c>
      <c r="AA4" s="23">
        <f t="shared" ref="AA4:AA52" si="9">W4+T4</f>
        <v>389.02470800000015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1636.5201989541749</v>
      </c>
    </row>
    <row r="5" spans="1:34">
      <c r="A5" s="24" t="s">
        <v>55</v>
      </c>
      <c r="B5" s="25">
        <v>39</v>
      </c>
      <c r="C5" s="26"/>
      <c r="D5" s="27"/>
      <c r="E5" s="18">
        <f t="shared" si="0"/>
        <v>0</v>
      </c>
      <c r="F5" s="26"/>
      <c r="G5" s="28"/>
      <c r="H5" s="18">
        <f t="shared" si="1"/>
        <v>0</v>
      </c>
      <c r="I5" s="26"/>
      <c r="J5" s="28"/>
      <c r="K5" s="18">
        <f t="shared" si="2"/>
        <v>0</v>
      </c>
      <c r="L5" s="26"/>
      <c r="M5" s="28"/>
      <c r="N5" s="18">
        <f t="shared" si="3"/>
        <v>0</v>
      </c>
      <c r="O5" s="26"/>
      <c r="P5" s="28"/>
      <c r="Q5" s="18">
        <f t="shared" si="4"/>
        <v>0</v>
      </c>
      <c r="R5" s="26">
        <f>SUM('Plant Measurements'!P64:P69)</f>
        <v>24.353666999999991</v>
      </c>
      <c r="S5" s="28"/>
      <c r="T5" s="18">
        <f t="shared" si="5"/>
        <v>97.414667999999963</v>
      </c>
      <c r="U5" s="26"/>
      <c r="V5" s="28"/>
      <c r="W5" s="18">
        <f t="shared" si="6"/>
        <v>0</v>
      </c>
      <c r="X5" s="25">
        <f t="shared" si="7"/>
        <v>97.414667999999963</v>
      </c>
      <c r="Y5" s="29"/>
      <c r="Z5" s="23">
        <f t="shared" si="8"/>
        <v>0</v>
      </c>
      <c r="AA5" s="23">
        <f t="shared" si="9"/>
        <v>97.414667999999963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409.79677788593006</v>
      </c>
    </row>
    <row r="6" spans="1:34">
      <c r="A6" s="24" t="s">
        <v>55</v>
      </c>
      <c r="B6" s="25">
        <v>33</v>
      </c>
      <c r="C6" s="26">
        <f>SUM('Plant Measurements'!O70,'Plant Measurements'!O70:O71,'Plant Measurements'!O73:O78)</f>
        <v>65.355698388117901</v>
      </c>
      <c r="D6" s="27"/>
      <c r="E6" s="18">
        <f t="shared" si="0"/>
        <v>261.4227935524716</v>
      </c>
      <c r="F6" s="26"/>
      <c r="G6" s="28"/>
      <c r="H6" s="18">
        <f t="shared" si="1"/>
        <v>0</v>
      </c>
      <c r="I6" s="26"/>
      <c r="J6" s="28"/>
      <c r="K6" s="18">
        <f t="shared" si="2"/>
        <v>0</v>
      </c>
      <c r="L6" s="26"/>
      <c r="M6" s="28"/>
      <c r="N6" s="18">
        <f t="shared" si="3"/>
        <v>0</v>
      </c>
      <c r="O6" s="26"/>
      <c r="P6" s="28"/>
      <c r="Q6" s="18">
        <f t="shared" si="4"/>
        <v>0</v>
      </c>
      <c r="R6" s="26">
        <f>SUM('Plant Measurements'!O72+'Plant Measurements'!P72)</f>
        <v>30.530295999999993</v>
      </c>
      <c r="S6" s="28"/>
      <c r="T6" s="18">
        <f t="shared" si="5"/>
        <v>122.12118399999997</v>
      </c>
      <c r="U6" s="26"/>
      <c r="V6" s="28"/>
      <c r="W6" s="18">
        <f t="shared" si="6"/>
        <v>0</v>
      </c>
      <c r="X6" s="25">
        <f t="shared" si="7"/>
        <v>383.54397755247157</v>
      </c>
      <c r="Y6" s="29"/>
      <c r="Z6" s="23">
        <f t="shared" si="8"/>
        <v>261.4227935524716</v>
      </c>
      <c r="AA6" s="23">
        <f t="shared" si="9"/>
        <v>122.12118399999997</v>
      </c>
      <c r="AB6">
        <f t="shared" si="10"/>
        <v>0.68159796230070402</v>
      </c>
      <c r="AC6">
        <f t="shared" si="11"/>
        <v>0</v>
      </c>
      <c r="AD6">
        <f t="shared" si="12"/>
        <v>0</v>
      </c>
      <c r="AE6">
        <f t="shared" si="13"/>
        <v>0.31840203769929593</v>
      </c>
      <c r="AF6">
        <f t="shared" si="14"/>
        <v>21033.62801</v>
      </c>
      <c r="AG6">
        <f>AF6/5</f>
        <v>4206.7256020000004</v>
      </c>
      <c r="AH6">
        <f t="shared" si="16"/>
        <v>1613.4642698628957</v>
      </c>
    </row>
    <row r="7" spans="1:34">
      <c r="A7" s="30" t="s">
        <v>55</v>
      </c>
      <c r="B7" s="31">
        <v>32</v>
      </c>
      <c r="C7" s="32"/>
      <c r="D7" s="33"/>
      <c r="E7" s="18">
        <f t="shared" si="0"/>
        <v>0</v>
      </c>
      <c r="F7" s="32"/>
      <c r="G7" s="34"/>
      <c r="H7" s="18">
        <f t="shared" si="1"/>
        <v>0</v>
      </c>
      <c r="I7" s="32"/>
      <c r="J7" s="34"/>
      <c r="K7" s="18">
        <f t="shared" si="2"/>
        <v>0</v>
      </c>
      <c r="L7" s="32"/>
      <c r="M7" s="34"/>
      <c r="N7" s="18">
        <f t="shared" si="3"/>
        <v>0</v>
      </c>
      <c r="O7" s="32"/>
      <c r="P7" s="34"/>
      <c r="Q7" s="18">
        <f t="shared" si="4"/>
        <v>0</v>
      </c>
      <c r="R7" s="32">
        <f>SUM('Plant Measurements'!P79:P81)</f>
        <v>10.408618999999995</v>
      </c>
      <c r="S7" s="34"/>
      <c r="T7" s="18">
        <f t="shared" si="5"/>
        <v>41.634475999999978</v>
      </c>
      <c r="U7" s="32"/>
      <c r="V7" s="34"/>
      <c r="W7" s="18">
        <f t="shared" si="6"/>
        <v>0</v>
      </c>
      <c r="X7" s="31">
        <f t="shared" si="7"/>
        <v>41.634475999999978</v>
      </c>
      <c r="Y7" s="35"/>
      <c r="Z7" s="23">
        <f t="shared" si="8"/>
        <v>0</v>
      </c>
      <c r="AA7" s="23">
        <f t="shared" si="9"/>
        <v>41.634475999999978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175.14481611505448</v>
      </c>
    </row>
    <row r="8" spans="1:34">
      <c r="A8" s="17" t="s">
        <v>21</v>
      </c>
      <c r="B8" s="18">
        <v>25</v>
      </c>
      <c r="C8" s="19"/>
      <c r="D8" s="20"/>
      <c r="E8" s="18">
        <f t="shared" si="0"/>
        <v>0</v>
      </c>
      <c r="F8" s="19"/>
      <c r="G8" s="21"/>
      <c r="H8" s="18"/>
      <c r="I8" s="19"/>
      <c r="J8" s="21"/>
      <c r="K8" s="18">
        <f t="shared" si="2"/>
        <v>0</v>
      </c>
      <c r="L8" s="19"/>
      <c r="M8" s="21"/>
      <c r="N8" s="18">
        <f t="shared" si="3"/>
        <v>0</v>
      </c>
      <c r="O8" s="19"/>
      <c r="P8" s="21"/>
      <c r="Q8" s="18">
        <f t="shared" si="4"/>
        <v>0</v>
      </c>
      <c r="R8" s="19">
        <f>SUM('Plant Measurements'!P163:P169)</f>
        <v>13.439242999999998</v>
      </c>
      <c r="S8" s="21"/>
      <c r="T8" s="18">
        <f>R8*4</f>
        <v>53.75697199999999</v>
      </c>
      <c r="U8" s="19"/>
      <c r="V8" s="21"/>
      <c r="W8" s="18">
        <f t="shared" si="6"/>
        <v>0</v>
      </c>
      <c r="X8" s="18">
        <f>SUM(W8,T8,Q8,N8,K8,H8,E8)</f>
        <v>53.75697199999999</v>
      </c>
      <c r="Y8" s="22">
        <f>AVERAGE(X8:X12)</f>
        <v>91.215308800000003</v>
      </c>
      <c r="Z8" s="23">
        <f t="shared" si="8"/>
        <v>0</v>
      </c>
      <c r="AA8" s="23">
        <f>W8+T8</f>
        <v>53.75697199999999</v>
      </c>
      <c r="AB8">
        <f t="shared" si="10"/>
        <v>0</v>
      </c>
      <c r="AC8">
        <f t="shared" si="11"/>
        <v>0</v>
      </c>
      <c r="AD8">
        <f t="shared" si="12"/>
        <v>0</v>
      </c>
      <c r="AE8">
        <f>IF(X8&gt;0,(W8+T8)/X8," ")</f>
        <v>1</v>
      </c>
      <c r="AF8">
        <f t="shared" si="14"/>
        <v>21033.62801</v>
      </c>
      <c r="AG8">
        <f t="shared" si="15"/>
        <v>4206.7256020000004</v>
      </c>
      <c r="AH8">
        <f t="shared" si="16"/>
        <v>226.1408303983971</v>
      </c>
    </row>
    <row r="9" spans="1:34">
      <c r="A9" s="24" t="s">
        <v>21</v>
      </c>
      <c r="B9" s="25">
        <v>22</v>
      </c>
      <c r="C9" s="26"/>
      <c r="D9" s="27"/>
      <c r="E9" s="18">
        <f t="shared" si="0"/>
        <v>0</v>
      </c>
      <c r="F9" s="26"/>
      <c r="G9" s="28"/>
      <c r="H9" s="25">
        <f>F9*4</f>
        <v>0</v>
      </c>
      <c r="I9" s="26"/>
      <c r="J9" s="28"/>
      <c r="K9" s="18">
        <f t="shared" si="2"/>
        <v>0</v>
      </c>
      <c r="L9" s="26"/>
      <c r="M9" s="28"/>
      <c r="N9" s="18">
        <f t="shared" si="3"/>
        <v>0</v>
      </c>
      <c r="O9" s="26"/>
      <c r="P9" s="28"/>
      <c r="Q9" s="18">
        <f t="shared" si="4"/>
        <v>0</v>
      </c>
      <c r="R9" s="26">
        <f>SUM('Plant Measurements'!P171)</f>
        <v>9.4616099999999967</v>
      </c>
      <c r="S9" s="28"/>
      <c r="T9" s="18">
        <f>R9*4</f>
        <v>37.846439999999987</v>
      </c>
      <c r="U9" s="26"/>
      <c r="V9" s="28"/>
      <c r="W9" s="18">
        <f t="shared" si="6"/>
        <v>0</v>
      </c>
      <c r="X9" s="25">
        <f>SUM(W9,T9,Q9,N9,K9,H9,E9)</f>
        <v>37.846439999999987</v>
      </c>
      <c r="Y9" s="29"/>
      <c r="Z9" s="23">
        <f t="shared" si="8"/>
        <v>0</v>
      </c>
      <c r="AA9" s="23">
        <f>W9+T9</f>
        <v>37.846439999999987</v>
      </c>
      <c r="AB9">
        <f t="shared" si="10"/>
        <v>0</v>
      </c>
      <c r="AC9">
        <f t="shared" si="11"/>
        <v>0</v>
      </c>
      <c r="AD9">
        <f t="shared" si="12"/>
        <v>0</v>
      </c>
      <c r="AE9">
        <f>IF(X9&gt;0,(W9+T9)/X9," ")</f>
        <v>1</v>
      </c>
      <c r="AF9">
        <f t="shared" si="14"/>
        <v>21033.62801</v>
      </c>
      <c r="AG9">
        <f t="shared" si="15"/>
        <v>4206.7256020000004</v>
      </c>
      <c r="AH9">
        <f t="shared" si="16"/>
        <v>159.20958809255683</v>
      </c>
    </row>
    <row r="10" spans="1:34">
      <c r="A10" s="24" t="s">
        <v>21</v>
      </c>
      <c r="B10" s="25">
        <v>9</v>
      </c>
      <c r="C10" s="26"/>
      <c r="D10" s="27"/>
      <c r="E10" s="18">
        <f t="shared" si="0"/>
        <v>0</v>
      </c>
      <c r="F10" s="26"/>
      <c r="G10" s="28"/>
      <c r="H10" s="25">
        <f t="shared" ref="H10:H42" si="17">F10*4</f>
        <v>0</v>
      </c>
      <c r="I10" s="26"/>
      <c r="J10" s="28"/>
      <c r="K10" s="18">
        <f t="shared" si="2"/>
        <v>0</v>
      </c>
      <c r="L10" s="26"/>
      <c r="M10" s="28"/>
      <c r="N10" s="18">
        <f t="shared" si="3"/>
        <v>0</v>
      </c>
      <c r="O10" s="26"/>
      <c r="P10" s="28"/>
      <c r="Q10" s="18">
        <f t="shared" si="4"/>
        <v>0</v>
      </c>
      <c r="R10" s="26">
        <f>SUM('Plant Measurements'!P172:P179)</f>
        <v>44.580126000000007</v>
      </c>
      <c r="S10" s="28"/>
      <c r="T10" s="18">
        <f>R10*4</f>
        <v>178.32050400000003</v>
      </c>
      <c r="U10" s="26"/>
      <c r="V10" s="28"/>
      <c r="W10" s="18">
        <f t="shared" si="6"/>
        <v>0</v>
      </c>
      <c r="X10" s="25">
        <f>SUM(W10,T10,Q10,N10,K10,H10,E10)</f>
        <v>178.32050400000003</v>
      </c>
      <c r="Y10" s="29"/>
      <c r="Z10" s="23">
        <f t="shared" si="8"/>
        <v>0</v>
      </c>
      <c r="AA10" s="23">
        <f>W10+T10</f>
        <v>178.32050400000003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>IF(X10&gt;0,(W10+T10)/X10," ")</f>
        <v>1</v>
      </c>
      <c r="AF10">
        <f t="shared" si="14"/>
        <v>21033.62801</v>
      </c>
      <c r="AG10">
        <f t="shared" si="15"/>
        <v>4206.7256020000004</v>
      </c>
      <c r="AH10">
        <f t="shared" si="16"/>
        <v>750.14542953834359</v>
      </c>
    </row>
    <row r="11" spans="1:34">
      <c r="A11" s="24" t="s">
        <v>21</v>
      </c>
      <c r="B11" s="25">
        <v>34</v>
      </c>
      <c r="C11" s="26">
        <f>SUM('Plant Measurements'!P486:P493)</f>
        <v>40.912669999999999</v>
      </c>
      <c r="D11" s="27"/>
      <c r="E11" s="18">
        <f t="shared" si="0"/>
        <v>163.65067999999999</v>
      </c>
      <c r="F11" s="26"/>
      <c r="G11" s="28"/>
      <c r="H11" s="25">
        <f t="shared" si="17"/>
        <v>0</v>
      </c>
      <c r="I11" s="26"/>
      <c r="J11" s="28"/>
      <c r="K11" s="18">
        <f t="shared" si="2"/>
        <v>0</v>
      </c>
      <c r="L11" s="26"/>
      <c r="M11" s="28"/>
      <c r="N11" s="18">
        <f t="shared" si="3"/>
        <v>0</v>
      </c>
      <c r="O11" s="26"/>
      <c r="P11" s="28"/>
      <c r="Q11" s="18">
        <f t="shared" si="4"/>
        <v>0</v>
      </c>
      <c r="R11" s="26">
        <f>SUM('Plant Measurements'!P485)</f>
        <v>5.6254870000000032</v>
      </c>
      <c r="S11" s="28"/>
      <c r="T11" s="18">
        <f>R11*4</f>
        <v>22.501948000000013</v>
      </c>
      <c r="U11" s="26"/>
      <c r="V11" s="28"/>
      <c r="W11" s="18">
        <f t="shared" si="6"/>
        <v>0</v>
      </c>
      <c r="X11" s="25">
        <f>SUM(W11,T11,Q11,N11,K11,H11,E11)</f>
        <v>186.15262799999999</v>
      </c>
      <c r="Y11" s="29"/>
      <c r="Z11" s="23">
        <f t="shared" si="8"/>
        <v>163.65067999999999</v>
      </c>
      <c r="AA11" s="23">
        <f>W11+T11</f>
        <v>22.501948000000013</v>
      </c>
      <c r="AB11">
        <f t="shared" si="10"/>
        <v>0.87912097593379124</v>
      </c>
      <c r="AC11">
        <f t="shared" si="11"/>
        <v>0</v>
      </c>
      <c r="AD11">
        <f t="shared" si="12"/>
        <v>0</v>
      </c>
      <c r="AE11">
        <f>IF(X11&gt;0,(W11+T11)/X11," ")</f>
        <v>0.1208790240662088</v>
      </c>
      <c r="AF11">
        <f t="shared" si="14"/>
        <v>21033.62801</v>
      </c>
      <c r="AG11">
        <f t="shared" si="15"/>
        <v>4206.7256020000004</v>
      </c>
      <c r="AH11">
        <f t="shared" si="16"/>
        <v>783.09302608718212</v>
      </c>
    </row>
    <row r="12" spans="1:34">
      <c r="A12" s="30" t="s">
        <v>21</v>
      </c>
      <c r="B12" s="31">
        <v>6</v>
      </c>
      <c r="C12" s="32"/>
      <c r="D12" s="33"/>
      <c r="E12" s="18">
        <f t="shared" si="0"/>
        <v>0</v>
      </c>
      <c r="F12" s="32"/>
      <c r="G12" s="34"/>
      <c r="H12" s="25">
        <f t="shared" si="17"/>
        <v>0</v>
      </c>
      <c r="I12" s="32"/>
      <c r="J12" s="34"/>
      <c r="K12" s="18">
        <f t="shared" si="2"/>
        <v>0</v>
      </c>
      <c r="L12" s="32"/>
      <c r="M12" s="34"/>
      <c r="N12" s="18">
        <f t="shared" si="3"/>
        <v>0</v>
      </c>
      <c r="O12" s="32"/>
      <c r="P12" s="34"/>
      <c r="Q12" s="18">
        <f t="shared" si="4"/>
        <v>0</v>
      </c>
      <c r="R12" s="32"/>
      <c r="S12" s="34"/>
      <c r="T12" s="18">
        <f t="shared" si="5"/>
        <v>0</v>
      </c>
      <c r="U12" s="32"/>
      <c r="V12" s="34"/>
      <c r="W12" s="18">
        <f t="shared" si="6"/>
        <v>0</v>
      </c>
      <c r="X12" s="31">
        <f t="shared" si="7"/>
        <v>0</v>
      </c>
      <c r="Y12" s="35"/>
      <c r="Z12" s="23">
        <f t="shared" si="8"/>
        <v>0</v>
      </c>
      <c r="AA12" s="23">
        <f t="shared" si="9"/>
        <v>0</v>
      </c>
      <c r="AB12" t="str">
        <f t="shared" si="10"/>
        <v xml:space="preserve"> </v>
      </c>
      <c r="AC12" t="str">
        <f t="shared" si="11"/>
        <v xml:space="preserve"> </v>
      </c>
      <c r="AD12" t="str">
        <f t="shared" si="12"/>
        <v xml:space="preserve"> </v>
      </c>
      <c r="AE12" t="str">
        <f t="shared" si="13"/>
        <v xml:space="preserve"> </v>
      </c>
      <c r="AF12">
        <f t="shared" si="14"/>
        <v>21033.62801</v>
      </c>
      <c r="AG12">
        <f t="shared" si="15"/>
        <v>4206.7256020000004</v>
      </c>
      <c r="AH12">
        <f t="shared" si="16"/>
        <v>0</v>
      </c>
    </row>
    <row r="13" spans="1:34">
      <c r="A13" s="36" t="s">
        <v>19</v>
      </c>
      <c r="B13" s="37">
        <v>29</v>
      </c>
      <c r="C13" s="19"/>
      <c r="D13" s="20"/>
      <c r="E13" s="18">
        <f t="shared" si="0"/>
        <v>0</v>
      </c>
      <c r="F13" s="19"/>
      <c r="G13" s="21"/>
      <c r="H13" s="25">
        <f t="shared" si="17"/>
        <v>0</v>
      </c>
      <c r="I13" s="19"/>
      <c r="J13" s="21"/>
      <c r="K13" s="18">
        <f t="shared" si="2"/>
        <v>0</v>
      </c>
      <c r="L13" s="19"/>
      <c r="M13" s="21"/>
      <c r="N13" s="18">
        <f t="shared" si="3"/>
        <v>0</v>
      </c>
      <c r="O13" s="19"/>
      <c r="P13" s="21"/>
      <c r="Q13" s="18">
        <f t="shared" si="4"/>
        <v>0</v>
      </c>
      <c r="R13" s="19">
        <f>SUM('Plant Measurements'!P4:P6)</f>
        <v>11.570620999999999</v>
      </c>
      <c r="S13" s="21"/>
      <c r="T13" s="18">
        <f t="shared" si="5"/>
        <v>46.282483999999997</v>
      </c>
      <c r="U13" s="19"/>
      <c r="V13" s="21"/>
      <c r="W13" s="18">
        <f t="shared" si="6"/>
        <v>0</v>
      </c>
      <c r="X13" s="18">
        <f t="shared" si="7"/>
        <v>46.282483999999997</v>
      </c>
      <c r="Y13" s="22">
        <f>AVERAGE(X13:X17)</f>
        <v>134.69753280000003</v>
      </c>
      <c r="Z13" s="23">
        <f t="shared" si="8"/>
        <v>0</v>
      </c>
      <c r="AA13" s="23">
        <f t="shared" si="9"/>
        <v>46.282483999999997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194.69771036695536</v>
      </c>
    </row>
    <row r="14" spans="1:34">
      <c r="A14" s="24" t="s">
        <v>19</v>
      </c>
      <c r="B14" s="25">
        <v>26</v>
      </c>
      <c r="C14" s="26"/>
      <c r="D14" s="27"/>
      <c r="E14" s="18">
        <f t="shared" si="0"/>
        <v>0</v>
      </c>
      <c r="F14" s="26"/>
      <c r="G14" s="28"/>
      <c r="H14" s="25">
        <f t="shared" si="17"/>
        <v>0</v>
      </c>
      <c r="I14" s="26"/>
      <c r="J14" s="28"/>
      <c r="K14" s="18">
        <f t="shared" si="2"/>
        <v>0</v>
      </c>
      <c r="L14" s="26"/>
      <c r="M14" s="28"/>
      <c r="N14" s="18">
        <f t="shared" si="3"/>
        <v>0</v>
      </c>
      <c r="O14" s="26"/>
      <c r="P14" s="28"/>
      <c r="Q14" s="18">
        <f t="shared" si="4"/>
        <v>0</v>
      </c>
      <c r="R14" s="26">
        <f>SUM('Plant Measurements'!P7)</f>
        <v>0</v>
      </c>
      <c r="S14" s="28"/>
      <c r="T14" s="18">
        <f t="shared" si="5"/>
        <v>0</v>
      </c>
      <c r="U14" s="26"/>
      <c r="V14" s="28"/>
      <c r="W14" s="18">
        <f t="shared" si="6"/>
        <v>0</v>
      </c>
      <c r="X14" s="25">
        <f t="shared" si="7"/>
        <v>0</v>
      </c>
      <c r="Y14" s="29"/>
      <c r="Z14" s="23">
        <f t="shared" si="8"/>
        <v>0</v>
      </c>
      <c r="AA14" s="23">
        <f t="shared" si="9"/>
        <v>0</v>
      </c>
      <c r="AB14" t="str">
        <f t="shared" si="10"/>
        <v xml:space="preserve"> </v>
      </c>
      <c r="AC14" t="str">
        <f t="shared" si="11"/>
        <v xml:space="preserve"> </v>
      </c>
      <c r="AD14" t="str">
        <f t="shared" si="12"/>
        <v xml:space="preserve"> </v>
      </c>
      <c r="AE14" t="str">
        <f t="shared" si="13"/>
        <v xml:space="preserve"> </v>
      </c>
      <c r="AF14">
        <f t="shared" si="14"/>
        <v>21033.62801</v>
      </c>
      <c r="AG14">
        <f t="shared" si="15"/>
        <v>4206.7256020000004</v>
      </c>
      <c r="AH14">
        <f t="shared" si="16"/>
        <v>0</v>
      </c>
    </row>
    <row r="15" spans="1:34">
      <c r="A15" s="24" t="s">
        <v>19</v>
      </c>
      <c r="B15" s="25">
        <v>20</v>
      </c>
      <c r="C15" s="26"/>
      <c r="D15" s="27"/>
      <c r="E15" s="18">
        <f t="shared" si="0"/>
        <v>0</v>
      </c>
      <c r="F15" s="26"/>
      <c r="G15" s="28"/>
      <c r="H15" s="25">
        <f t="shared" si="17"/>
        <v>0</v>
      </c>
      <c r="I15" s="26"/>
      <c r="J15" s="28"/>
      <c r="K15" s="18">
        <f t="shared" si="2"/>
        <v>0</v>
      </c>
      <c r="L15" s="26"/>
      <c r="M15" s="28"/>
      <c r="N15" s="18">
        <f t="shared" si="3"/>
        <v>0</v>
      </c>
      <c r="O15" s="26"/>
      <c r="P15" s="28"/>
      <c r="Q15" s="18">
        <f t="shared" si="4"/>
        <v>0</v>
      </c>
      <c r="R15" s="26">
        <f>SUM('Plant Measurements'!P8:P10)</f>
        <v>66.434735000000018</v>
      </c>
      <c r="S15" s="28"/>
      <c r="T15" s="18">
        <f t="shared" si="5"/>
        <v>265.73894000000007</v>
      </c>
      <c r="U15" s="26"/>
      <c r="V15" s="28"/>
      <c r="W15" s="18">
        <f t="shared" si="6"/>
        <v>0</v>
      </c>
      <c r="X15" s="25">
        <f t="shared" si="7"/>
        <v>265.73894000000007</v>
      </c>
      <c r="Y15" s="29"/>
      <c r="Z15" s="23">
        <f t="shared" si="8"/>
        <v>0</v>
      </c>
      <c r="AA15" s="23">
        <f t="shared" si="9"/>
        <v>265.73894000000007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1117.8908023463423</v>
      </c>
    </row>
    <row r="16" spans="1:34">
      <c r="A16" s="24" t="s">
        <v>19</v>
      </c>
      <c r="B16" s="25">
        <v>10</v>
      </c>
      <c r="C16" s="26"/>
      <c r="D16" s="27"/>
      <c r="E16" s="18">
        <f t="shared" si="0"/>
        <v>0</v>
      </c>
      <c r="F16" s="26"/>
      <c r="G16" s="28"/>
      <c r="H16" s="25">
        <f t="shared" si="17"/>
        <v>0</v>
      </c>
      <c r="I16" s="26">
        <f>SUM('Plant Measurements'!P11:P16)</f>
        <v>11.328360000000002</v>
      </c>
      <c r="J16" s="28"/>
      <c r="K16" s="18">
        <f t="shared" si="2"/>
        <v>45.313440000000007</v>
      </c>
      <c r="L16" s="26"/>
      <c r="M16" s="28"/>
      <c r="N16" s="18">
        <f t="shared" si="3"/>
        <v>0</v>
      </c>
      <c r="O16" s="26"/>
      <c r="P16" s="28"/>
      <c r="Q16" s="18">
        <f t="shared" si="4"/>
        <v>0</v>
      </c>
      <c r="R16" s="26"/>
      <c r="S16" s="28"/>
      <c r="T16" s="18">
        <f t="shared" si="5"/>
        <v>0</v>
      </c>
      <c r="U16" s="26"/>
      <c r="V16" s="28"/>
      <c r="W16" s="18">
        <f t="shared" si="6"/>
        <v>0</v>
      </c>
      <c r="X16" s="25">
        <f t="shared" si="7"/>
        <v>45.313440000000007</v>
      </c>
      <c r="Y16" s="29"/>
      <c r="Z16" s="23">
        <f t="shared" si="8"/>
        <v>0</v>
      </c>
      <c r="AA16" s="23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1</v>
      </c>
      <c r="AE16">
        <f t="shared" si="13"/>
        <v>0</v>
      </c>
      <c r="AF16">
        <f t="shared" si="14"/>
        <v>21033.62801</v>
      </c>
      <c r="AG16">
        <f t="shared" si="15"/>
        <v>4206.7256020000004</v>
      </c>
      <c r="AH16">
        <f t="shared" si="16"/>
        <v>190.62120816269092</v>
      </c>
    </row>
    <row r="17" spans="1:34">
      <c r="A17" s="30" t="s">
        <v>19</v>
      </c>
      <c r="B17" s="31">
        <v>5</v>
      </c>
      <c r="C17" s="32"/>
      <c r="D17" s="33"/>
      <c r="E17" s="18">
        <f t="shared" si="0"/>
        <v>0</v>
      </c>
      <c r="F17" s="32"/>
      <c r="G17" s="34"/>
      <c r="H17" s="25">
        <f t="shared" si="17"/>
        <v>0</v>
      </c>
      <c r="I17" s="32"/>
      <c r="J17" s="34"/>
      <c r="K17" s="18">
        <f t="shared" si="2"/>
        <v>0</v>
      </c>
      <c r="L17" s="32"/>
      <c r="M17" s="34"/>
      <c r="N17" s="18">
        <f t="shared" si="3"/>
        <v>0</v>
      </c>
      <c r="O17" s="32"/>
      <c r="P17" s="34"/>
      <c r="Q17" s="18">
        <f t="shared" si="4"/>
        <v>0</v>
      </c>
      <c r="R17" s="32">
        <f>SUM('Plant Measurements'!P17:P20)</f>
        <v>79.038200000000018</v>
      </c>
      <c r="S17" s="34"/>
      <c r="T17" s="18">
        <f t="shared" si="5"/>
        <v>316.15280000000007</v>
      </c>
      <c r="U17" s="32"/>
      <c r="V17" s="34"/>
      <c r="W17" s="18">
        <f t="shared" si="6"/>
        <v>0</v>
      </c>
      <c r="X17" s="31">
        <f t="shared" si="7"/>
        <v>316.15280000000007</v>
      </c>
      <c r="Y17" s="35"/>
      <c r="Z17" s="23">
        <f t="shared" si="8"/>
        <v>0</v>
      </c>
      <c r="AA17" s="23">
        <f t="shared" si="9"/>
        <v>316.15280000000007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1329.9680779039859</v>
      </c>
    </row>
    <row r="18" spans="1:34">
      <c r="A18" s="17" t="s">
        <v>56</v>
      </c>
      <c r="B18" s="18">
        <v>48</v>
      </c>
      <c r="C18" s="19"/>
      <c r="D18" s="20"/>
      <c r="E18" s="18">
        <f t="shared" si="0"/>
        <v>0</v>
      </c>
      <c r="F18" s="19"/>
      <c r="G18" s="21"/>
      <c r="H18" s="25">
        <f t="shared" si="17"/>
        <v>0</v>
      </c>
      <c r="I18" s="19"/>
      <c r="J18" s="21"/>
      <c r="K18" s="18">
        <f t="shared" si="2"/>
        <v>0</v>
      </c>
      <c r="L18" s="19"/>
      <c r="M18" s="21"/>
      <c r="N18" s="18">
        <f t="shared" si="3"/>
        <v>0</v>
      </c>
      <c r="O18" s="19"/>
      <c r="P18" s="21"/>
      <c r="Q18" s="18">
        <f t="shared" si="4"/>
        <v>0</v>
      </c>
      <c r="R18" s="19">
        <f>SUM('Plant Measurements'!P21:P31)</f>
        <v>179.00216900000004</v>
      </c>
      <c r="S18" s="21"/>
      <c r="T18" s="18">
        <f t="shared" si="5"/>
        <v>716.00867600000015</v>
      </c>
      <c r="U18" s="19"/>
      <c r="V18" s="21"/>
      <c r="W18" s="18">
        <f t="shared" si="6"/>
        <v>0</v>
      </c>
      <c r="X18" s="18">
        <f t="shared" si="7"/>
        <v>716.00867600000015</v>
      </c>
      <c r="Y18" s="22">
        <f>AVERAGE(X18:X22)</f>
        <v>356.63157920000009</v>
      </c>
      <c r="Z18" s="23">
        <f t="shared" si="8"/>
        <v>0</v>
      </c>
      <c r="AA18" s="23">
        <f t="shared" si="9"/>
        <v>716.00867600000015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3012.052028583324</v>
      </c>
    </row>
    <row r="19" spans="1:34">
      <c r="A19" s="24" t="s">
        <v>56</v>
      </c>
      <c r="B19" s="38">
        <v>42</v>
      </c>
      <c r="C19" s="26"/>
      <c r="D19" s="27"/>
      <c r="E19" s="18">
        <f t="shared" si="0"/>
        <v>0</v>
      </c>
      <c r="F19" s="26"/>
      <c r="G19" s="28"/>
      <c r="H19" s="25">
        <f t="shared" si="17"/>
        <v>0</v>
      </c>
      <c r="I19" s="26"/>
      <c r="J19" s="28"/>
      <c r="K19" s="18">
        <f t="shared" si="2"/>
        <v>0</v>
      </c>
      <c r="L19" s="26"/>
      <c r="M19" s="28"/>
      <c r="N19" s="18">
        <f t="shared" si="3"/>
        <v>0</v>
      </c>
      <c r="O19" s="26"/>
      <c r="P19" s="28"/>
      <c r="Q19" s="18">
        <f t="shared" si="4"/>
        <v>0</v>
      </c>
      <c r="R19" s="26">
        <f>SUM('Plant Measurements'!P32)</f>
        <v>0</v>
      </c>
      <c r="S19" s="28"/>
      <c r="T19" s="18">
        <f t="shared" si="5"/>
        <v>0</v>
      </c>
      <c r="U19" s="26"/>
      <c r="V19" s="28"/>
      <c r="W19" s="18">
        <f t="shared" si="6"/>
        <v>0</v>
      </c>
      <c r="X19" s="25">
        <f t="shared" si="7"/>
        <v>0</v>
      </c>
      <c r="Y19" s="29"/>
      <c r="Z19" s="23">
        <f t="shared" si="8"/>
        <v>0</v>
      </c>
      <c r="AA19" s="23">
        <f t="shared" si="9"/>
        <v>0</v>
      </c>
      <c r="AB19" t="str">
        <f t="shared" si="10"/>
        <v xml:space="preserve"> </v>
      </c>
      <c r="AC19" t="str">
        <f t="shared" si="11"/>
        <v xml:space="preserve"> </v>
      </c>
      <c r="AD19" t="str">
        <f t="shared" si="12"/>
        <v xml:space="preserve"> </v>
      </c>
      <c r="AE19" t="str">
        <f t="shared" si="13"/>
        <v xml:space="preserve"> </v>
      </c>
      <c r="AF19">
        <f t="shared" si="14"/>
        <v>21033.62801</v>
      </c>
      <c r="AG19">
        <f t="shared" si="15"/>
        <v>4206.7256020000004</v>
      </c>
      <c r="AH19">
        <f t="shared" si="16"/>
        <v>0</v>
      </c>
    </row>
    <row r="20" spans="1:34">
      <c r="A20" s="24" t="s">
        <v>56</v>
      </c>
      <c r="B20" s="25">
        <v>41</v>
      </c>
      <c r="C20" s="26"/>
      <c r="D20" s="27"/>
      <c r="E20" s="18">
        <f t="shared" si="0"/>
        <v>0</v>
      </c>
      <c r="F20" s="26"/>
      <c r="G20" s="28"/>
      <c r="H20" s="25">
        <f t="shared" si="17"/>
        <v>0</v>
      </c>
      <c r="I20" s="26"/>
      <c r="J20" s="28"/>
      <c r="K20" s="18">
        <f t="shared" si="2"/>
        <v>0</v>
      </c>
      <c r="L20" s="26"/>
      <c r="M20" s="28"/>
      <c r="N20" s="18">
        <f t="shared" si="3"/>
        <v>0</v>
      </c>
      <c r="O20" s="26"/>
      <c r="P20" s="28"/>
      <c r="Q20" s="18">
        <f t="shared" si="4"/>
        <v>0</v>
      </c>
      <c r="R20" s="26">
        <f>SUM('Plant Measurements'!P33:P39)</f>
        <v>143.58007500000002</v>
      </c>
      <c r="S20" s="28"/>
      <c r="T20" s="18">
        <f t="shared" si="5"/>
        <v>574.32030000000009</v>
      </c>
      <c r="U20" s="26"/>
      <c r="V20" s="28"/>
      <c r="W20" s="18">
        <f t="shared" si="6"/>
        <v>0</v>
      </c>
      <c r="X20" s="25">
        <f t="shared" si="7"/>
        <v>574.32030000000009</v>
      </c>
      <c r="Y20" s="29"/>
      <c r="Z20" s="23">
        <f t="shared" si="8"/>
        <v>0</v>
      </c>
      <c r="AA20" s="23">
        <f t="shared" si="9"/>
        <v>574.32030000000009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2416.0079097583211</v>
      </c>
    </row>
    <row r="21" spans="1:34">
      <c r="A21" s="24" t="s">
        <v>56</v>
      </c>
      <c r="B21" s="25">
        <v>38</v>
      </c>
      <c r="C21" s="26"/>
      <c r="D21" s="27"/>
      <c r="E21" s="18">
        <f t="shared" si="0"/>
        <v>0</v>
      </c>
      <c r="F21" s="26"/>
      <c r="G21" s="28"/>
      <c r="H21" s="25">
        <f t="shared" si="17"/>
        <v>0</v>
      </c>
      <c r="I21" s="26"/>
      <c r="J21" s="28"/>
      <c r="K21" s="18">
        <f t="shared" si="2"/>
        <v>0</v>
      </c>
      <c r="L21" s="26"/>
      <c r="M21" s="28"/>
      <c r="N21" s="18">
        <f t="shared" si="3"/>
        <v>0</v>
      </c>
      <c r="O21" s="26"/>
      <c r="P21" s="28"/>
      <c r="Q21" s="18">
        <f t="shared" si="4"/>
        <v>0</v>
      </c>
      <c r="R21" s="26">
        <f>SUM('Plant Measurements'!P40:P50)</f>
        <v>123.20723000000004</v>
      </c>
      <c r="S21" s="28"/>
      <c r="T21" s="18">
        <f t="shared" si="5"/>
        <v>492.82892000000015</v>
      </c>
      <c r="U21" s="26"/>
      <c r="V21" s="28"/>
      <c r="W21" s="18">
        <f t="shared" si="6"/>
        <v>0</v>
      </c>
      <c r="X21" s="25">
        <f t="shared" si="7"/>
        <v>492.82892000000015</v>
      </c>
      <c r="Y21" s="29"/>
      <c r="Z21" s="23">
        <f t="shared" si="8"/>
        <v>0</v>
      </c>
      <c r="AA21" s="23">
        <f t="shared" si="9"/>
        <v>492.82892000000015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2073.1960351700109</v>
      </c>
    </row>
    <row r="22" spans="1:34">
      <c r="A22" s="30" t="s">
        <v>56</v>
      </c>
      <c r="B22" s="25">
        <v>9</v>
      </c>
      <c r="C22" s="32"/>
      <c r="D22" s="33"/>
      <c r="E22" s="18">
        <f t="shared" si="0"/>
        <v>0</v>
      </c>
      <c r="F22" s="32"/>
      <c r="G22" s="34"/>
      <c r="H22" s="25">
        <f t="shared" si="17"/>
        <v>0</v>
      </c>
      <c r="I22" s="32"/>
      <c r="J22" s="34"/>
      <c r="K22" s="18">
        <f t="shared" si="2"/>
        <v>0</v>
      </c>
      <c r="L22" s="32"/>
      <c r="M22" s="34"/>
      <c r="N22" s="18">
        <f t="shared" si="3"/>
        <v>0</v>
      </c>
      <c r="O22" s="32"/>
      <c r="P22" s="34"/>
      <c r="Q22" s="18">
        <f t="shared" si="4"/>
        <v>0</v>
      </c>
      <c r="R22" s="32">
        <f>SUM('Plant Measurements'!P51)</f>
        <v>0</v>
      </c>
      <c r="S22" s="34"/>
      <c r="T22" s="18">
        <f t="shared" si="5"/>
        <v>0</v>
      </c>
      <c r="U22" s="32"/>
      <c r="V22" s="34"/>
      <c r="W22" s="18">
        <f t="shared" si="6"/>
        <v>0</v>
      </c>
      <c r="X22" s="31">
        <f t="shared" si="7"/>
        <v>0</v>
      </c>
      <c r="Y22" s="35"/>
      <c r="Z22" s="23">
        <f t="shared" si="8"/>
        <v>0</v>
      </c>
      <c r="AA22" s="23">
        <f t="shared" si="9"/>
        <v>0</v>
      </c>
      <c r="AB22" t="str">
        <f t="shared" si="10"/>
        <v xml:space="preserve"> </v>
      </c>
      <c r="AC22" t="str">
        <f t="shared" si="11"/>
        <v xml:space="preserve"> </v>
      </c>
      <c r="AD22" t="str">
        <f t="shared" si="12"/>
        <v xml:space="preserve"> </v>
      </c>
      <c r="AE22" t="str">
        <f t="shared" si="13"/>
        <v xml:space="preserve"> </v>
      </c>
      <c r="AF22">
        <f t="shared" si="14"/>
        <v>21033.62801</v>
      </c>
      <c r="AG22">
        <f t="shared" si="15"/>
        <v>4206.7256020000004</v>
      </c>
      <c r="AH22">
        <f t="shared" si="16"/>
        <v>0</v>
      </c>
    </row>
    <row r="23" spans="1:34">
      <c r="A23" s="17" t="s">
        <v>20</v>
      </c>
      <c r="B23" s="18">
        <v>47</v>
      </c>
      <c r="C23" s="19"/>
      <c r="D23" s="20"/>
      <c r="E23" s="18">
        <f t="shared" si="0"/>
        <v>0</v>
      </c>
      <c r="F23" s="19"/>
      <c r="G23" s="21"/>
      <c r="H23" s="25">
        <f t="shared" si="17"/>
        <v>0</v>
      </c>
      <c r="I23" s="19"/>
      <c r="J23" s="21"/>
      <c r="K23" s="18">
        <f t="shared" si="2"/>
        <v>0</v>
      </c>
      <c r="L23" s="19"/>
      <c r="M23" s="21"/>
      <c r="N23" s="18">
        <f t="shared" si="3"/>
        <v>0</v>
      </c>
      <c r="O23" s="19"/>
      <c r="P23" s="21"/>
      <c r="Q23" s="18">
        <f t="shared" si="4"/>
        <v>0</v>
      </c>
      <c r="R23" s="19">
        <f>SUM('Plant Measurements'!P82:P88)</f>
        <v>73.732783000000026</v>
      </c>
      <c r="S23" s="21"/>
      <c r="T23" s="18">
        <f t="shared" si="5"/>
        <v>294.9311320000001</v>
      </c>
      <c r="U23" s="19"/>
      <c r="V23" s="21"/>
      <c r="W23" s="18">
        <f t="shared" si="6"/>
        <v>0</v>
      </c>
      <c r="X23" s="18">
        <f t="shared" si="7"/>
        <v>294.9311320000001</v>
      </c>
      <c r="Y23" s="22">
        <f>AVERAGE(X23:X27)</f>
        <v>494.45940719999999</v>
      </c>
      <c r="Z23" s="23">
        <f t="shared" si="8"/>
        <v>0</v>
      </c>
      <c r="AA23" s="23">
        <f t="shared" si="9"/>
        <v>294.9311320000001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1</v>
      </c>
      <c r="AF23">
        <f t="shared" si="14"/>
        <v>21033.62801</v>
      </c>
      <c r="AG23">
        <f t="shared" si="15"/>
        <v>4206.7256020000004</v>
      </c>
      <c r="AH23">
        <f t="shared" si="16"/>
        <v>1240.6943438112421</v>
      </c>
    </row>
    <row r="24" spans="1:34">
      <c r="A24" s="24" t="s">
        <v>20</v>
      </c>
      <c r="B24" s="25">
        <v>46</v>
      </c>
      <c r="C24" s="26"/>
      <c r="D24" s="27"/>
      <c r="E24" s="18">
        <f t="shared" si="0"/>
        <v>0</v>
      </c>
      <c r="F24" s="26"/>
      <c r="G24" s="28"/>
      <c r="H24" s="25">
        <f t="shared" si="17"/>
        <v>0</v>
      </c>
      <c r="I24" s="26"/>
      <c r="J24" s="28"/>
      <c r="K24" s="18">
        <f t="shared" si="2"/>
        <v>0</v>
      </c>
      <c r="L24" s="26"/>
      <c r="M24" s="28"/>
      <c r="N24" s="18">
        <f t="shared" si="3"/>
        <v>0</v>
      </c>
      <c r="O24" s="26"/>
      <c r="P24" s="28"/>
      <c r="Q24" s="18">
        <f t="shared" si="4"/>
        <v>0</v>
      </c>
      <c r="R24" s="26">
        <f>SUM('Plant Measurements'!P90:P109)</f>
        <v>105.401747</v>
      </c>
      <c r="S24" s="28"/>
      <c r="T24" s="18">
        <f t="shared" si="5"/>
        <v>421.606988</v>
      </c>
      <c r="U24" s="26"/>
      <c r="V24" s="28"/>
      <c r="W24" s="18">
        <f t="shared" si="6"/>
        <v>0</v>
      </c>
      <c r="X24" s="25">
        <f t="shared" si="7"/>
        <v>421.606988</v>
      </c>
      <c r="Y24" s="29"/>
      <c r="Z24" s="23">
        <f t="shared" si="8"/>
        <v>0</v>
      </c>
      <c r="AA24" s="23">
        <f t="shared" si="9"/>
        <v>421.606988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1773.584910401707</v>
      </c>
    </row>
    <row r="25" spans="1:34">
      <c r="A25" s="24" t="s">
        <v>20</v>
      </c>
      <c r="B25" s="25">
        <v>27</v>
      </c>
      <c r="C25" s="26">
        <f>SUM('Plant Measurements'!P110:P115)</f>
        <v>42.491312999999998</v>
      </c>
      <c r="D25" s="27"/>
      <c r="E25" s="18">
        <f t="shared" si="0"/>
        <v>169.96525199999999</v>
      </c>
      <c r="F25" s="26"/>
      <c r="G25" s="28"/>
      <c r="H25" s="25">
        <f t="shared" si="17"/>
        <v>0</v>
      </c>
      <c r="I25" s="26"/>
      <c r="J25" s="28"/>
      <c r="K25" s="18">
        <f t="shared" si="2"/>
        <v>0</v>
      </c>
      <c r="L25" s="26"/>
      <c r="M25" s="28"/>
      <c r="N25" s="18">
        <f t="shared" si="3"/>
        <v>0</v>
      </c>
      <c r="O25" s="26"/>
      <c r="P25" s="28"/>
      <c r="Q25" s="18">
        <f t="shared" si="4"/>
        <v>0</v>
      </c>
      <c r="R25" s="26">
        <f>SUM('Plant Measurements'!P116:P120)</f>
        <v>51.550665000000002</v>
      </c>
      <c r="S25" s="28"/>
      <c r="T25" s="18">
        <f t="shared" si="5"/>
        <v>206.20266000000001</v>
      </c>
      <c r="U25" s="26"/>
      <c r="V25" s="28"/>
      <c r="W25" s="18">
        <f t="shared" si="6"/>
        <v>0</v>
      </c>
      <c r="X25" s="25">
        <f t="shared" si="7"/>
        <v>376.167912</v>
      </c>
      <c r="Y25" s="29"/>
      <c r="Z25" s="23">
        <f t="shared" si="8"/>
        <v>169.96525199999999</v>
      </c>
      <c r="AA25" s="23">
        <f t="shared" si="9"/>
        <v>206.20266000000001</v>
      </c>
      <c r="AB25">
        <f t="shared" si="10"/>
        <v>0.45183346739048807</v>
      </c>
      <c r="AC25">
        <f t="shared" si="11"/>
        <v>0</v>
      </c>
      <c r="AD25">
        <f t="shared" si="12"/>
        <v>0</v>
      </c>
      <c r="AE25">
        <f t="shared" si="13"/>
        <v>0.54816653260951187</v>
      </c>
      <c r="AF25">
        <f t="shared" si="14"/>
        <v>21033.62801</v>
      </c>
      <c r="AG25">
        <f t="shared" si="15"/>
        <v>4206.7256020000004</v>
      </c>
      <c r="AH25">
        <f t="shared" si="16"/>
        <v>1582.435186061283</v>
      </c>
    </row>
    <row r="26" spans="1:34">
      <c r="A26" s="24" t="s">
        <v>20</v>
      </c>
      <c r="B26" s="25">
        <v>6</v>
      </c>
      <c r="C26" s="26"/>
      <c r="D26" s="27"/>
      <c r="E26" s="18">
        <f t="shared" si="0"/>
        <v>0</v>
      </c>
      <c r="F26" s="26"/>
      <c r="G26" s="28"/>
      <c r="H26" s="25">
        <f t="shared" si="17"/>
        <v>0</v>
      </c>
      <c r="I26" s="26"/>
      <c r="J26" s="28"/>
      <c r="K26" s="18">
        <f t="shared" si="2"/>
        <v>0</v>
      </c>
      <c r="L26" s="26"/>
      <c r="M26" s="28"/>
      <c r="N26" s="18">
        <f t="shared" si="3"/>
        <v>0</v>
      </c>
      <c r="O26" s="26"/>
      <c r="P26" s="28"/>
      <c r="Q26" s="18">
        <f t="shared" si="4"/>
        <v>0</v>
      </c>
      <c r="R26" s="26">
        <f>SUM('Plant Measurements'!P121:P122)</f>
        <v>86.029115000000019</v>
      </c>
      <c r="S26" s="28"/>
      <c r="T26" s="18">
        <f t="shared" si="5"/>
        <v>344.11646000000007</v>
      </c>
      <c r="U26" s="26"/>
      <c r="V26" s="28"/>
      <c r="W26" s="18">
        <f t="shared" si="6"/>
        <v>0</v>
      </c>
      <c r="X26" s="25">
        <f t="shared" si="7"/>
        <v>344.11646000000007</v>
      </c>
      <c r="Y26" s="29"/>
      <c r="Z26" s="23">
        <f t="shared" si="8"/>
        <v>0</v>
      </c>
      <c r="AA26" s="23">
        <f t="shared" si="9"/>
        <v>344.11646000000007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1447.6035223516094</v>
      </c>
    </row>
    <row r="27" spans="1:34">
      <c r="A27" s="30" t="s">
        <v>20</v>
      </c>
      <c r="B27" s="31">
        <v>3</v>
      </c>
      <c r="C27" s="32"/>
      <c r="D27" s="33"/>
      <c r="E27" s="18">
        <f t="shared" si="0"/>
        <v>0</v>
      </c>
      <c r="F27" s="32"/>
      <c r="G27" s="34"/>
      <c r="H27" s="25">
        <f t="shared" si="17"/>
        <v>0</v>
      </c>
      <c r="I27" s="32">
        <f>SUM('Plant Measurements'!P124:P162)</f>
        <v>258.86863599999998</v>
      </c>
      <c r="J27" s="34"/>
      <c r="K27" s="18">
        <f t="shared" si="2"/>
        <v>1035.4745439999999</v>
      </c>
      <c r="L27" s="32"/>
      <c r="M27" s="34"/>
      <c r="N27" s="18">
        <f t="shared" si="3"/>
        <v>0</v>
      </c>
      <c r="O27" s="32"/>
      <c r="P27" s="34"/>
      <c r="Q27" s="18">
        <f t="shared" si="4"/>
        <v>0</v>
      </c>
      <c r="R27" s="32"/>
      <c r="S27" s="34"/>
      <c r="T27" s="18">
        <f t="shared" si="5"/>
        <v>0</v>
      </c>
      <c r="U27" s="32"/>
      <c r="V27" s="34"/>
      <c r="W27" s="18">
        <f t="shared" si="6"/>
        <v>0</v>
      </c>
      <c r="X27" s="31">
        <f t="shared" si="7"/>
        <v>1035.4745439999999</v>
      </c>
      <c r="Y27" s="35"/>
      <c r="Z27" s="23">
        <f t="shared" si="8"/>
        <v>0</v>
      </c>
      <c r="AA27" s="23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1</v>
      </c>
      <c r="AE27">
        <f t="shared" si="13"/>
        <v>0</v>
      </c>
      <c r="AF27">
        <f t="shared" si="14"/>
        <v>21033.62801</v>
      </c>
      <c r="AG27">
        <f t="shared" si="15"/>
        <v>4206.7256020000004</v>
      </c>
      <c r="AH27">
        <f t="shared" si="16"/>
        <v>4355.9572744640755</v>
      </c>
    </row>
    <row r="28" spans="1:34">
      <c r="A28" s="17" t="s">
        <v>22</v>
      </c>
      <c r="B28" s="37">
        <v>29</v>
      </c>
      <c r="C28" s="19"/>
      <c r="D28" s="20"/>
      <c r="E28" s="18">
        <f t="shared" si="0"/>
        <v>0</v>
      </c>
      <c r="F28" s="19"/>
      <c r="G28" s="21"/>
      <c r="H28" s="25">
        <f t="shared" si="17"/>
        <v>0</v>
      </c>
      <c r="I28" s="19"/>
      <c r="J28" s="21"/>
      <c r="K28" s="18">
        <f t="shared" si="2"/>
        <v>0</v>
      </c>
      <c r="L28" s="19"/>
      <c r="M28" s="21"/>
      <c r="N28" s="18">
        <f t="shared" si="3"/>
        <v>0</v>
      </c>
      <c r="O28" s="19"/>
      <c r="P28" s="21"/>
      <c r="Q28" s="18">
        <f t="shared" si="4"/>
        <v>0</v>
      </c>
      <c r="R28" s="19">
        <f>SUM('Plant Measurements'!P180)</f>
        <v>4.3804400000000001</v>
      </c>
      <c r="S28" s="21"/>
      <c r="T28" s="18">
        <f t="shared" si="5"/>
        <v>17.52176</v>
      </c>
      <c r="U28" s="19"/>
      <c r="V28" s="21"/>
      <c r="W28" s="18">
        <f t="shared" si="6"/>
        <v>0</v>
      </c>
      <c r="X28" s="18">
        <f t="shared" si="7"/>
        <v>17.52176</v>
      </c>
      <c r="Y28" s="22">
        <f>AVERAGE(X28:X32)</f>
        <v>207.3775176</v>
      </c>
      <c r="Z28" s="23">
        <f t="shared" si="8"/>
        <v>0</v>
      </c>
      <c r="AA28" s="23">
        <f t="shared" si="9"/>
        <v>17.52176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1</v>
      </c>
      <c r="AF28">
        <f t="shared" si="14"/>
        <v>21033.62801</v>
      </c>
      <c r="AG28">
        <f t="shared" si="15"/>
        <v>4206.7256020000004</v>
      </c>
      <c r="AH28">
        <f t="shared" si="16"/>
        <v>73.709236384099526</v>
      </c>
    </row>
    <row r="29" spans="1:34">
      <c r="A29" s="24" t="s">
        <v>22</v>
      </c>
      <c r="B29" s="25">
        <v>25</v>
      </c>
      <c r="C29" s="26"/>
      <c r="D29" s="27"/>
      <c r="E29" s="18">
        <f t="shared" si="0"/>
        <v>0</v>
      </c>
      <c r="F29" s="26"/>
      <c r="G29" s="28"/>
      <c r="H29" s="25">
        <f t="shared" si="17"/>
        <v>0</v>
      </c>
      <c r="I29" s="26"/>
      <c r="J29" s="28"/>
      <c r="K29" s="18">
        <f t="shared" si="2"/>
        <v>0</v>
      </c>
      <c r="L29" s="26"/>
      <c r="M29" s="28"/>
      <c r="N29" s="18">
        <f t="shared" si="3"/>
        <v>0</v>
      </c>
      <c r="O29" s="26"/>
      <c r="P29" s="28"/>
      <c r="Q29" s="18">
        <f t="shared" si="4"/>
        <v>0</v>
      </c>
      <c r="R29" s="26">
        <f>SUM('Plant Measurements'!P182:P184)</f>
        <v>26.958871000000009</v>
      </c>
      <c r="S29" s="28"/>
      <c r="T29" s="18">
        <f t="shared" si="5"/>
        <v>107.83548400000004</v>
      </c>
      <c r="U29" s="26"/>
      <c r="V29" s="28"/>
      <c r="W29" s="18">
        <f t="shared" si="6"/>
        <v>0</v>
      </c>
      <c r="X29" s="25">
        <f t="shared" si="7"/>
        <v>107.83548400000004</v>
      </c>
      <c r="Y29" s="29"/>
      <c r="Z29" s="23">
        <f t="shared" si="8"/>
        <v>0</v>
      </c>
      <c r="AA29" s="23">
        <f t="shared" si="9"/>
        <v>107.83548400000004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453.63429134686157</v>
      </c>
    </row>
    <row r="30" spans="1:34">
      <c r="A30" s="24" t="s">
        <v>22</v>
      </c>
      <c r="B30" s="38">
        <v>5</v>
      </c>
      <c r="C30" s="26"/>
      <c r="D30" s="27"/>
      <c r="E30" s="18">
        <f t="shared" si="0"/>
        <v>0</v>
      </c>
      <c r="F30" s="26"/>
      <c r="G30" s="28"/>
      <c r="H30" s="25">
        <f t="shared" si="17"/>
        <v>0</v>
      </c>
      <c r="I30" s="26">
        <f>SUM('Plant Measurements'!P185:P216)</f>
        <v>147.57310699999999</v>
      </c>
      <c r="J30" s="28"/>
      <c r="K30" s="18">
        <f t="shared" si="2"/>
        <v>590.29242799999997</v>
      </c>
      <c r="L30" s="26"/>
      <c r="M30" s="28"/>
      <c r="N30" s="18">
        <f t="shared" si="3"/>
        <v>0</v>
      </c>
      <c r="O30" s="26"/>
      <c r="P30" s="28"/>
      <c r="Q30" s="18">
        <f t="shared" si="4"/>
        <v>0</v>
      </c>
      <c r="R30" s="26"/>
      <c r="S30" s="28"/>
      <c r="T30" s="18">
        <f t="shared" si="5"/>
        <v>0</v>
      </c>
      <c r="U30" s="26"/>
      <c r="V30" s="28"/>
      <c r="W30" s="18">
        <f t="shared" si="6"/>
        <v>0</v>
      </c>
      <c r="X30" s="25">
        <f t="shared" si="7"/>
        <v>590.29242799999997</v>
      </c>
      <c r="Y30" s="29"/>
      <c r="Z30" s="23">
        <f t="shared" si="8"/>
        <v>0</v>
      </c>
      <c r="AA30" s="23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1</v>
      </c>
      <c r="AE30">
        <f t="shared" si="13"/>
        <v>0</v>
      </c>
      <c r="AF30">
        <f t="shared" si="14"/>
        <v>21033.62801</v>
      </c>
      <c r="AG30">
        <f t="shared" si="15"/>
        <v>4206.7256020000004</v>
      </c>
      <c r="AH30">
        <f t="shared" si="16"/>
        <v>2483.1982695343422</v>
      </c>
    </row>
    <row r="31" spans="1:34">
      <c r="A31" s="24" t="s">
        <v>22</v>
      </c>
      <c r="B31" s="25">
        <v>39</v>
      </c>
      <c r="C31" s="26"/>
      <c r="D31" s="27"/>
      <c r="E31" s="18">
        <f t="shared" si="0"/>
        <v>0</v>
      </c>
      <c r="F31" s="26"/>
      <c r="G31" s="28"/>
      <c r="H31" s="25">
        <f t="shared" si="17"/>
        <v>0</v>
      </c>
      <c r="I31" s="26"/>
      <c r="J31" s="28"/>
      <c r="K31" s="18">
        <f t="shared" si="2"/>
        <v>0</v>
      </c>
      <c r="L31" s="26"/>
      <c r="M31" s="28"/>
      <c r="N31" s="18">
        <f t="shared" si="3"/>
        <v>0</v>
      </c>
      <c r="O31" s="26"/>
      <c r="P31" s="28"/>
      <c r="Q31" s="18">
        <f t="shared" si="4"/>
        <v>0</v>
      </c>
      <c r="R31" s="26">
        <f>SUM('Plant Measurements'!P495:P500)</f>
        <v>79.989683999999997</v>
      </c>
      <c r="S31" s="28"/>
      <c r="T31" s="18">
        <f t="shared" si="5"/>
        <v>319.95873599999999</v>
      </c>
      <c r="U31" s="26"/>
      <c r="V31" s="28"/>
      <c r="W31" s="18">
        <f t="shared" si="6"/>
        <v>0</v>
      </c>
      <c r="X31" s="25">
        <f t="shared" si="7"/>
        <v>319.95873599999999</v>
      </c>
      <c r="Y31" s="29"/>
      <c r="Z31" s="23">
        <f t="shared" si="8"/>
        <v>0</v>
      </c>
      <c r="AA31" s="23">
        <f t="shared" si="9"/>
        <v>319.95873599999999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1</v>
      </c>
      <c r="AF31">
        <f t="shared" si="14"/>
        <v>21033.62801</v>
      </c>
      <c r="AG31">
        <f t="shared" si="15"/>
        <v>4206.7256020000004</v>
      </c>
      <c r="AH31">
        <f t="shared" si="16"/>
        <v>1345.9786063147592</v>
      </c>
    </row>
    <row r="32" spans="1:34">
      <c r="A32" s="30" t="s">
        <v>22</v>
      </c>
      <c r="B32" s="25">
        <v>17</v>
      </c>
      <c r="C32" s="32"/>
      <c r="D32" s="33"/>
      <c r="E32" s="18">
        <f t="shared" si="0"/>
        <v>0</v>
      </c>
      <c r="F32" s="32"/>
      <c r="G32" s="34"/>
      <c r="H32" s="25">
        <f t="shared" si="17"/>
        <v>0</v>
      </c>
      <c r="I32" s="32"/>
      <c r="J32" s="34"/>
      <c r="K32" s="18">
        <f t="shared" si="2"/>
        <v>0</v>
      </c>
      <c r="L32" s="32"/>
      <c r="M32" s="34"/>
      <c r="N32" s="18">
        <f t="shared" si="3"/>
        <v>0</v>
      </c>
      <c r="O32" s="32"/>
      <c r="P32" s="34"/>
      <c r="Q32" s="18">
        <f t="shared" si="4"/>
        <v>0</v>
      </c>
      <c r="R32" s="32">
        <f>SUM('Plant Measurements'!P501)</f>
        <v>0.31979499999999916</v>
      </c>
      <c r="S32" s="34"/>
      <c r="T32" s="18">
        <f t="shared" si="5"/>
        <v>1.2791799999999967</v>
      </c>
      <c r="U32" s="32"/>
      <c r="V32" s="34"/>
      <c r="W32" s="18">
        <f t="shared" si="6"/>
        <v>0</v>
      </c>
      <c r="X32" s="31">
        <f t="shared" si="7"/>
        <v>1.2791799999999967</v>
      </c>
      <c r="Y32" s="35"/>
      <c r="Z32" s="23">
        <f t="shared" si="8"/>
        <v>0</v>
      </c>
      <c r="AA32" s="23">
        <f t="shared" si="9"/>
        <v>1.2791799999999967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1</v>
      </c>
      <c r="AF32">
        <f t="shared" si="14"/>
        <v>21033.62801</v>
      </c>
      <c r="AG32">
        <f t="shared" si="15"/>
        <v>4206.7256020000004</v>
      </c>
      <c r="AH32">
        <f t="shared" si="16"/>
        <v>5.3811592555663461</v>
      </c>
    </row>
    <row r="33" spans="1:34">
      <c r="A33" s="17" t="s">
        <v>23</v>
      </c>
      <c r="B33" s="18">
        <v>24</v>
      </c>
      <c r="C33" s="19"/>
      <c r="D33" s="39"/>
      <c r="E33" s="18">
        <f t="shared" si="0"/>
        <v>0</v>
      </c>
      <c r="F33" s="19"/>
      <c r="G33" s="21"/>
      <c r="H33" s="25">
        <f t="shared" si="17"/>
        <v>0</v>
      </c>
      <c r="I33" s="19"/>
      <c r="J33" s="21"/>
      <c r="K33" s="18">
        <f t="shared" si="2"/>
        <v>0</v>
      </c>
      <c r="L33" s="19"/>
      <c r="M33" s="21"/>
      <c r="N33" s="18">
        <f t="shared" si="3"/>
        <v>0</v>
      </c>
      <c r="O33" s="19"/>
      <c r="P33" s="21"/>
      <c r="Q33" s="18">
        <f t="shared" si="4"/>
        <v>0</v>
      </c>
      <c r="R33" s="19">
        <f>SUM('Plant Measurements'!P244:P248)</f>
        <v>56.022858999999997</v>
      </c>
      <c r="S33" s="21"/>
      <c r="T33" s="18">
        <f t="shared" si="5"/>
        <v>224.09143599999999</v>
      </c>
      <c r="U33" s="19"/>
      <c r="V33" s="21"/>
      <c r="W33" s="18">
        <f t="shared" si="6"/>
        <v>0</v>
      </c>
      <c r="X33" s="18">
        <f t="shared" si="7"/>
        <v>224.09143599999999</v>
      </c>
      <c r="Y33" s="22">
        <f>AVERAGE(X33:X37)</f>
        <v>387.90134679461562</v>
      </c>
      <c r="Z33" s="23">
        <f t="shared" si="8"/>
        <v>0</v>
      </c>
      <c r="AA33" s="23">
        <f t="shared" si="9"/>
        <v>224.09143599999999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942.69118101014453</v>
      </c>
    </row>
    <row r="34" spans="1:34">
      <c r="A34" s="24" t="s">
        <v>23</v>
      </c>
      <c r="B34" s="25">
        <v>20</v>
      </c>
      <c r="C34" s="26"/>
      <c r="D34" s="27"/>
      <c r="E34" s="18">
        <f t="shared" si="0"/>
        <v>0</v>
      </c>
      <c r="F34" s="26"/>
      <c r="G34" s="28"/>
      <c r="H34" s="25">
        <f t="shared" si="17"/>
        <v>0</v>
      </c>
      <c r="I34" s="26"/>
      <c r="J34" s="28"/>
      <c r="K34" s="18">
        <f t="shared" si="2"/>
        <v>0</v>
      </c>
      <c r="L34" s="26"/>
      <c r="M34" s="28"/>
      <c r="N34" s="18">
        <f t="shared" si="3"/>
        <v>0</v>
      </c>
      <c r="O34" s="26"/>
      <c r="P34" s="28"/>
      <c r="Q34" s="18">
        <f t="shared" si="4"/>
        <v>0</v>
      </c>
      <c r="R34" s="26">
        <f>SUM('Plant Measurements'!P249:P254)</f>
        <v>246.0485900000001</v>
      </c>
      <c r="S34" s="28"/>
      <c r="T34" s="18">
        <f t="shared" si="5"/>
        <v>984.19436000000042</v>
      </c>
      <c r="U34" s="26"/>
      <c r="V34" s="28"/>
      <c r="W34" s="18">
        <f t="shared" si="6"/>
        <v>0</v>
      </c>
      <c r="X34" s="25">
        <f t="shared" si="7"/>
        <v>984.19436000000042</v>
      </c>
      <c r="Y34" s="29"/>
      <c r="Z34" s="23">
        <f t="shared" si="8"/>
        <v>0</v>
      </c>
      <c r="AA34" s="23">
        <f t="shared" si="9"/>
        <v>984.19436000000042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4140.2356115560069</v>
      </c>
    </row>
    <row r="35" spans="1:34">
      <c r="A35" s="24" t="s">
        <v>23</v>
      </c>
      <c r="B35" s="25">
        <v>8</v>
      </c>
      <c r="C35" s="26">
        <f>SUM('Plant Measurements'!P255:P315)</f>
        <v>129.87013472842349</v>
      </c>
      <c r="D35" s="27"/>
      <c r="E35" s="18">
        <f t="shared" si="0"/>
        <v>519.48053891369398</v>
      </c>
      <c r="F35" s="26"/>
      <c r="G35" s="28"/>
      <c r="H35" s="25">
        <f t="shared" si="17"/>
        <v>0</v>
      </c>
      <c r="I35" s="26"/>
      <c r="J35" s="28"/>
      <c r="K35" s="18">
        <f t="shared" si="2"/>
        <v>0</v>
      </c>
      <c r="L35" s="26"/>
      <c r="M35" s="28"/>
      <c r="N35" s="18">
        <f t="shared" si="3"/>
        <v>0</v>
      </c>
      <c r="O35" s="26"/>
      <c r="P35" s="28"/>
      <c r="Q35" s="18">
        <f t="shared" si="4"/>
        <v>0</v>
      </c>
      <c r="R35" s="26"/>
      <c r="S35" s="28"/>
      <c r="T35" s="18">
        <f t="shared" si="5"/>
        <v>0</v>
      </c>
      <c r="U35" s="26"/>
      <c r="V35" s="28"/>
      <c r="W35" s="18">
        <f t="shared" si="6"/>
        <v>0</v>
      </c>
      <c r="X35" s="25">
        <f t="shared" si="7"/>
        <v>519.48053891369398</v>
      </c>
      <c r="Y35" s="29"/>
      <c r="Z35" s="23">
        <f t="shared" si="8"/>
        <v>519.48053891369398</v>
      </c>
      <c r="AA35" s="23">
        <f t="shared" si="9"/>
        <v>0</v>
      </c>
      <c r="AB35">
        <f t="shared" si="10"/>
        <v>1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21033.62801</v>
      </c>
      <c r="AG35">
        <f t="shared" si="15"/>
        <v>4206.7256020000004</v>
      </c>
      <c r="AH35">
        <f t="shared" si="16"/>
        <v>2185.3120827889938</v>
      </c>
    </row>
    <row r="36" spans="1:34">
      <c r="A36" s="24" t="s">
        <v>23</v>
      </c>
      <c r="B36" s="25">
        <v>5</v>
      </c>
      <c r="C36" s="26">
        <f>SUM('Plant Measurements'!P316)</f>
        <v>0</v>
      </c>
      <c r="D36" s="27"/>
      <c r="E36" s="18">
        <f t="shared" si="0"/>
        <v>0</v>
      </c>
      <c r="F36" s="26"/>
      <c r="G36" s="28"/>
      <c r="H36" s="25">
        <f t="shared" si="17"/>
        <v>0</v>
      </c>
      <c r="I36" s="26"/>
      <c r="J36" s="28"/>
      <c r="K36" s="18">
        <f t="shared" si="2"/>
        <v>0</v>
      </c>
      <c r="L36" s="26"/>
      <c r="M36" s="28"/>
      <c r="N36" s="18">
        <f t="shared" si="3"/>
        <v>0</v>
      </c>
      <c r="O36" s="26"/>
      <c r="P36" s="28"/>
      <c r="Q36" s="18">
        <f t="shared" si="4"/>
        <v>0</v>
      </c>
      <c r="R36" s="26"/>
      <c r="S36" s="28"/>
      <c r="T36" s="18">
        <f t="shared" si="5"/>
        <v>0</v>
      </c>
      <c r="U36" s="26"/>
      <c r="V36" s="28"/>
      <c r="W36" s="18">
        <f t="shared" si="6"/>
        <v>0</v>
      </c>
      <c r="X36" s="25">
        <f t="shared" si="7"/>
        <v>0</v>
      </c>
      <c r="Y36" s="29"/>
      <c r="Z36" s="23">
        <f t="shared" si="8"/>
        <v>0</v>
      </c>
      <c r="AA36" s="23">
        <f t="shared" si="9"/>
        <v>0</v>
      </c>
      <c r="AB36" t="str">
        <f t="shared" si="10"/>
        <v xml:space="preserve"> </v>
      </c>
      <c r="AC36" t="str">
        <f t="shared" si="11"/>
        <v xml:space="preserve"> </v>
      </c>
      <c r="AD36" t="str">
        <f t="shared" si="12"/>
        <v xml:space="preserve"> </v>
      </c>
      <c r="AE36" t="str">
        <f t="shared" si="13"/>
        <v xml:space="preserve"> </v>
      </c>
      <c r="AF36">
        <f t="shared" si="14"/>
        <v>21033.62801</v>
      </c>
      <c r="AG36">
        <f t="shared" si="15"/>
        <v>4206.7256020000004</v>
      </c>
      <c r="AH36">
        <f t="shared" si="16"/>
        <v>0</v>
      </c>
    </row>
    <row r="37" spans="1:34">
      <c r="A37" s="30" t="s">
        <v>23</v>
      </c>
      <c r="B37" s="31">
        <v>3</v>
      </c>
      <c r="C37" s="32">
        <f>SUM('Plant Measurements'!P319:P328)</f>
        <v>23.783024764845948</v>
      </c>
      <c r="D37" s="33"/>
      <c r="E37" s="18">
        <f t="shared" si="0"/>
        <v>95.132099059383791</v>
      </c>
      <c r="F37" s="32"/>
      <c r="G37" s="34"/>
      <c r="H37" s="25">
        <f t="shared" si="17"/>
        <v>0</v>
      </c>
      <c r="I37" s="32"/>
      <c r="J37" s="34"/>
      <c r="K37" s="18">
        <f t="shared" si="2"/>
        <v>0</v>
      </c>
      <c r="L37" s="32"/>
      <c r="M37" s="34"/>
      <c r="N37" s="18">
        <f t="shared" si="3"/>
        <v>0</v>
      </c>
      <c r="O37" s="32"/>
      <c r="P37" s="34"/>
      <c r="Q37" s="18">
        <f t="shared" si="4"/>
        <v>0</v>
      </c>
      <c r="R37" s="32">
        <f>SUM('Plant Measurements'!P317:P318)</f>
        <v>29.152075000000004</v>
      </c>
      <c r="S37" s="34"/>
      <c r="T37" s="18">
        <f t="shared" si="5"/>
        <v>116.60830000000001</v>
      </c>
      <c r="U37" s="32"/>
      <c r="V37" s="34"/>
      <c r="W37" s="18">
        <f t="shared" si="6"/>
        <v>0</v>
      </c>
      <c r="X37" s="31">
        <f t="shared" si="7"/>
        <v>211.7403990593838</v>
      </c>
      <c r="Y37" s="35"/>
      <c r="Z37" s="23">
        <f t="shared" si="8"/>
        <v>95.132099059383791</v>
      </c>
      <c r="AA37" s="23">
        <f t="shared" si="9"/>
        <v>116.60830000000001</v>
      </c>
      <c r="AB37">
        <f t="shared" si="10"/>
        <v>0.44928648232453483</v>
      </c>
      <c r="AC37">
        <f t="shared" si="11"/>
        <v>0</v>
      </c>
      <c r="AD37">
        <f t="shared" si="12"/>
        <v>0</v>
      </c>
      <c r="AE37">
        <f t="shared" si="13"/>
        <v>0.55071351767546517</v>
      </c>
      <c r="AF37">
        <f t="shared" si="14"/>
        <v>21033.62801</v>
      </c>
      <c r="AG37">
        <f t="shared" si="15"/>
        <v>4206.7256020000004</v>
      </c>
      <c r="AH37">
        <f t="shared" si="16"/>
        <v>890.73375770080668</v>
      </c>
    </row>
    <row r="38" spans="1:34">
      <c r="A38" s="17" t="s">
        <v>24</v>
      </c>
      <c r="B38" s="18">
        <v>38</v>
      </c>
      <c r="C38" s="19"/>
      <c r="D38" s="20"/>
      <c r="E38" s="18">
        <f t="shared" si="0"/>
        <v>0</v>
      </c>
      <c r="F38" s="19"/>
      <c r="G38" s="21"/>
      <c r="H38" s="25">
        <f t="shared" si="17"/>
        <v>0</v>
      </c>
      <c r="I38" s="19"/>
      <c r="J38" s="21"/>
      <c r="K38" s="18">
        <f t="shared" si="2"/>
        <v>0</v>
      </c>
      <c r="L38" s="19"/>
      <c r="M38" s="21"/>
      <c r="N38" s="18">
        <f t="shared" si="3"/>
        <v>0</v>
      </c>
      <c r="O38" s="19"/>
      <c r="P38" s="21"/>
      <c r="Q38" s="18">
        <f t="shared" si="4"/>
        <v>0</v>
      </c>
      <c r="R38" s="19">
        <f>SUM('Plant Measurements'!P329:P335)</f>
        <v>62.538029999999992</v>
      </c>
      <c r="S38" s="21"/>
      <c r="T38" s="18">
        <f t="shared" si="5"/>
        <v>250.15211999999997</v>
      </c>
      <c r="U38" s="19"/>
      <c r="V38" s="21"/>
      <c r="W38" s="18">
        <f t="shared" si="6"/>
        <v>0</v>
      </c>
      <c r="X38" s="18">
        <f t="shared" si="7"/>
        <v>250.15211999999997</v>
      </c>
      <c r="Y38" s="22">
        <f>AVERAGE(X38:X42)</f>
        <v>635.04646651502958</v>
      </c>
      <c r="Z38" s="23">
        <f t="shared" si="8"/>
        <v>0</v>
      </c>
      <c r="AA38" s="23">
        <f t="shared" si="9"/>
        <v>250.15211999999997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1052.3213275985761</v>
      </c>
    </row>
    <row r="39" spans="1:34">
      <c r="A39" s="24" t="s">
        <v>24</v>
      </c>
      <c r="B39" s="25">
        <v>26</v>
      </c>
      <c r="C39" s="26">
        <f>SUM('Plant Measurements'!P340:P349)</f>
        <v>87.433740000000014</v>
      </c>
      <c r="D39" s="27"/>
      <c r="E39" s="18">
        <f t="shared" si="0"/>
        <v>349.73496000000006</v>
      </c>
      <c r="F39" s="26"/>
      <c r="G39" s="28"/>
      <c r="H39" s="25">
        <f t="shared" si="17"/>
        <v>0</v>
      </c>
      <c r="I39" s="26"/>
      <c r="J39" s="28"/>
      <c r="K39" s="18">
        <f t="shared" si="2"/>
        <v>0</v>
      </c>
      <c r="L39" s="26"/>
      <c r="M39" s="28"/>
      <c r="N39" s="18">
        <f t="shared" si="3"/>
        <v>0</v>
      </c>
      <c r="O39" s="26"/>
      <c r="P39" s="28"/>
      <c r="Q39" s="18">
        <f t="shared" si="4"/>
        <v>0</v>
      </c>
      <c r="R39" s="26">
        <f>SUM('Plant Measurements'!P336:P339)</f>
        <v>44.02722</v>
      </c>
      <c r="S39" s="28"/>
      <c r="T39" s="18">
        <f t="shared" si="5"/>
        <v>176.10888</v>
      </c>
      <c r="U39" s="26"/>
      <c r="V39" s="28"/>
      <c r="W39" s="18">
        <f t="shared" si="6"/>
        <v>0</v>
      </c>
      <c r="X39" s="25">
        <f t="shared" si="7"/>
        <v>525.84384</v>
      </c>
      <c r="Y39" s="29"/>
      <c r="Z39" s="23">
        <f t="shared" si="8"/>
        <v>349.73496000000006</v>
      </c>
      <c r="AA39" s="23">
        <f t="shared" si="9"/>
        <v>176.10888</v>
      </c>
      <c r="AB39">
        <f t="shared" si="10"/>
        <v>0.66509281538792975</v>
      </c>
      <c r="AC39">
        <f t="shared" si="11"/>
        <v>0</v>
      </c>
      <c r="AD39">
        <f t="shared" si="12"/>
        <v>0</v>
      </c>
      <c r="AE39">
        <f t="shared" si="13"/>
        <v>0.33490718461207036</v>
      </c>
      <c r="AF39">
        <f t="shared" si="14"/>
        <v>21033.62801</v>
      </c>
      <c r="AG39">
        <f t="shared" si="15"/>
        <v>4206.7256020000004</v>
      </c>
      <c r="AH39">
        <f t="shared" si="16"/>
        <v>2212.0807443819917</v>
      </c>
    </row>
    <row r="40" spans="1:34">
      <c r="A40" s="24" t="s">
        <v>24</v>
      </c>
      <c r="B40" s="25">
        <v>15</v>
      </c>
      <c r="C40" s="26"/>
      <c r="D40" s="27"/>
      <c r="E40" s="18">
        <f t="shared" si="0"/>
        <v>0</v>
      </c>
      <c r="F40" s="26"/>
      <c r="G40" s="28"/>
      <c r="H40" s="25">
        <f t="shared" si="17"/>
        <v>0</v>
      </c>
      <c r="I40" s="26"/>
      <c r="J40" s="28"/>
      <c r="K40" s="18">
        <f t="shared" si="2"/>
        <v>0</v>
      </c>
      <c r="L40" s="26"/>
      <c r="M40" s="28"/>
      <c r="N40" s="18">
        <f t="shared" si="3"/>
        <v>0</v>
      </c>
      <c r="O40" s="26"/>
      <c r="P40" s="28"/>
      <c r="Q40" s="18">
        <f t="shared" si="4"/>
        <v>0</v>
      </c>
      <c r="R40" s="26">
        <f>SUM('Plant Measurements'!P351:P364)</f>
        <v>175.21220400000004</v>
      </c>
      <c r="S40" s="28"/>
      <c r="T40" s="18">
        <f t="shared" si="5"/>
        <v>700.84881600000017</v>
      </c>
      <c r="U40" s="26"/>
      <c r="V40" s="28"/>
      <c r="W40" s="18">
        <f t="shared" si="6"/>
        <v>0</v>
      </c>
      <c r="X40" s="25">
        <f t="shared" si="7"/>
        <v>700.84881600000017</v>
      </c>
      <c r="Y40" s="29"/>
      <c r="Z40" s="23">
        <f t="shared" si="8"/>
        <v>0</v>
      </c>
      <c r="AA40" s="23">
        <f t="shared" si="9"/>
        <v>700.84881600000017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2948.2786573985882</v>
      </c>
    </row>
    <row r="41" spans="1:34">
      <c r="A41" s="24" t="s">
        <v>24</v>
      </c>
      <c r="B41" s="25">
        <v>6</v>
      </c>
      <c r="C41" s="26"/>
      <c r="D41" s="27"/>
      <c r="E41" s="18">
        <f t="shared" si="0"/>
        <v>0</v>
      </c>
      <c r="F41" s="26"/>
      <c r="G41" s="28"/>
      <c r="H41" s="25">
        <f t="shared" si="17"/>
        <v>0</v>
      </c>
      <c r="I41" s="26">
        <f>SUM('Plant Measurements'!P365:P465)</f>
        <v>424.59688914378688</v>
      </c>
      <c r="J41" s="28"/>
      <c r="K41" s="18">
        <f t="shared" si="2"/>
        <v>1698.3875565751475</v>
      </c>
      <c r="L41" s="26"/>
      <c r="M41" s="28"/>
      <c r="N41" s="18">
        <f t="shared" si="3"/>
        <v>0</v>
      </c>
      <c r="O41" s="26"/>
      <c r="P41" s="28"/>
      <c r="Q41" s="18">
        <f t="shared" si="4"/>
        <v>0</v>
      </c>
      <c r="R41" s="26"/>
      <c r="S41" s="28"/>
      <c r="T41" s="18">
        <f t="shared" si="5"/>
        <v>0</v>
      </c>
      <c r="U41" s="26"/>
      <c r="V41" s="28"/>
      <c r="W41" s="18">
        <f t="shared" si="6"/>
        <v>0</v>
      </c>
      <c r="X41" s="25">
        <f t="shared" si="7"/>
        <v>1698.3875565751475</v>
      </c>
      <c r="Y41" s="29"/>
      <c r="Z41" s="23">
        <f t="shared" si="8"/>
        <v>0</v>
      </c>
      <c r="AA41" s="23">
        <f t="shared" si="9"/>
        <v>0</v>
      </c>
      <c r="AB41">
        <f t="shared" si="10"/>
        <v>0</v>
      </c>
      <c r="AC41">
        <f t="shared" si="11"/>
        <v>0</v>
      </c>
      <c r="AD41">
        <f t="shared" si="12"/>
        <v>1</v>
      </c>
      <c r="AE41">
        <f t="shared" si="13"/>
        <v>0</v>
      </c>
      <c r="AF41">
        <f t="shared" si="14"/>
        <v>21033.62801</v>
      </c>
      <c r="AG41">
        <f t="shared" si="15"/>
        <v>4206.7256020000004</v>
      </c>
      <c r="AH41">
        <f t="shared" si="16"/>
        <v>7144.6504163628979</v>
      </c>
    </row>
    <row r="42" spans="1:34">
      <c r="A42" s="30" t="s">
        <v>24</v>
      </c>
      <c r="B42" s="31">
        <v>4</v>
      </c>
      <c r="C42" s="32"/>
      <c r="D42" s="33"/>
      <c r="E42" s="18">
        <f>C42*4</f>
        <v>0</v>
      </c>
      <c r="F42" s="32"/>
      <c r="G42" s="34"/>
      <c r="H42" s="25">
        <f t="shared" si="17"/>
        <v>0</v>
      </c>
      <c r="I42" s="32"/>
      <c r="J42" s="34"/>
      <c r="K42" s="18">
        <f t="shared" si="2"/>
        <v>0</v>
      </c>
      <c r="L42" s="32"/>
      <c r="M42" s="34"/>
      <c r="N42" s="18">
        <f t="shared" si="3"/>
        <v>0</v>
      </c>
      <c r="O42" s="32"/>
      <c r="P42" s="34"/>
      <c r="Q42" s="18">
        <f t="shared" si="4"/>
        <v>0</v>
      </c>
      <c r="R42" s="32"/>
      <c r="S42" s="34"/>
      <c r="T42" s="18">
        <f t="shared" si="5"/>
        <v>0</v>
      </c>
      <c r="U42" s="32"/>
      <c r="V42" s="34"/>
      <c r="W42" s="18">
        <f t="shared" si="6"/>
        <v>0</v>
      </c>
      <c r="X42" s="31">
        <f t="shared" si="7"/>
        <v>0</v>
      </c>
      <c r="Y42" s="35"/>
      <c r="Z42" s="23">
        <f t="shared" si="8"/>
        <v>0</v>
      </c>
      <c r="AA42" s="23">
        <f t="shared" si="9"/>
        <v>0</v>
      </c>
      <c r="AB42" t="str">
        <f t="shared" si="10"/>
        <v xml:space="preserve"> </v>
      </c>
      <c r="AC42" t="str">
        <f t="shared" si="11"/>
        <v xml:space="preserve"> </v>
      </c>
      <c r="AD42" t="str">
        <f t="shared" si="12"/>
        <v xml:space="preserve"> </v>
      </c>
      <c r="AE42" t="str">
        <f t="shared" si="13"/>
        <v xml:space="preserve"> </v>
      </c>
      <c r="AF42">
        <f t="shared" si="14"/>
        <v>21033.62801</v>
      </c>
      <c r="AG42">
        <f t="shared" si="15"/>
        <v>4206.7256020000004</v>
      </c>
      <c r="AH42">
        <f t="shared" si="16"/>
        <v>0</v>
      </c>
    </row>
    <row r="43" spans="1:34">
      <c r="A43" s="17" t="s">
        <v>57</v>
      </c>
      <c r="B43" s="18">
        <v>36</v>
      </c>
      <c r="C43" s="19"/>
      <c r="D43" s="40"/>
      <c r="E43" s="18">
        <f>C43*4</f>
        <v>0</v>
      </c>
      <c r="F43" s="19"/>
      <c r="G43" s="21"/>
      <c r="H43" s="25">
        <f t="shared" ref="H43:H52" si="18">F43*4</f>
        <v>0</v>
      </c>
      <c r="I43" s="19"/>
      <c r="J43" s="21"/>
      <c r="K43" s="18">
        <f t="shared" si="2"/>
        <v>0</v>
      </c>
      <c r="L43" s="19"/>
      <c r="M43" s="21"/>
      <c r="N43" s="18">
        <f t="shared" si="3"/>
        <v>0</v>
      </c>
      <c r="O43" s="19"/>
      <c r="P43" s="21"/>
      <c r="Q43" s="18">
        <f t="shared" si="4"/>
        <v>0</v>
      </c>
      <c r="R43" s="19">
        <f>SUM('Plant Measurements'!P217)</f>
        <v>23.787940999999996</v>
      </c>
      <c r="S43" s="21"/>
      <c r="T43" s="18">
        <f t="shared" si="5"/>
        <v>95.151763999999986</v>
      </c>
      <c r="U43" s="19"/>
      <c r="V43" s="20"/>
      <c r="W43" s="18">
        <f t="shared" si="6"/>
        <v>0</v>
      </c>
      <c r="X43" s="18">
        <f t="shared" si="7"/>
        <v>95.151763999999986</v>
      </c>
      <c r="Y43" s="22">
        <f>AVERAGE(X43:X47)</f>
        <v>298.66000640000004</v>
      </c>
      <c r="Z43" s="23">
        <f t="shared" si="8"/>
        <v>0</v>
      </c>
      <c r="AA43" s="23">
        <f t="shared" si="9"/>
        <v>95.151763999999986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400.27736169426191</v>
      </c>
    </row>
    <row r="44" spans="1:34">
      <c r="A44" s="24" t="s">
        <v>57</v>
      </c>
      <c r="B44" s="25">
        <v>32</v>
      </c>
      <c r="C44" s="26"/>
      <c r="D44" s="27"/>
      <c r="E44" s="18">
        <f>C44*4</f>
        <v>0</v>
      </c>
      <c r="F44" s="26"/>
      <c r="G44" s="28"/>
      <c r="H44" s="25">
        <f t="shared" si="18"/>
        <v>0</v>
      </c>
      <c r="I44" s="26"/>
      <c r="J44" s="28"/>
      <c r="K44" s="18">
        <f t="shared" si="2"/>
        <v>0</v>
      </c>
      <c r="L44" s="26"/>
      <c r="M44" s="28"/>
      <c r="N44" s="18">
        <f t="shared" si="3"/>
        <v>0</v>
      </c>
      <c r="O44" s="26"/>
      <c r="P44" s="28"/>
      <c r="Q44" s="18">
        <f t="shared" si="4"/>
        <v>0</v>
      </c>
      <c r="R44" s="26">
        <f>SUM('Plant Measurements'!P218:P222)</f>
        <v>96.321384000000023</v>
      </c>
      <c r="S44" s="28"/>
      <c r="T44" s="18">
        <f t="shared" si="5"/>
        <v>385.28553600000009</v>
      </c>
      <c r="U44" s="26"/>
      <c r="V44" s="28"/>
      <c r="W44" s="18">
        <f t="shared" si="6"/>
        <v>0</v>
      </c>
      <c r="X44" s="25">
        <f t="shared" si="7"/>
        <v>385.28553600000009</v>
      </c>
      <c r="Y44" s="29"/>
      <c r="Z44" s="23">
        <f t="shared" si="8"/>
        <v>0</v>
      </c>
      <c r="AA44" s="23">
        <f t="shared" si="9"/>
        <v>385.28553600000009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1620.7905283714933</v>
      </c>
    </row>
    <row r="45" spans="1:34">
      <c r="A45" s="24" t="s">
        <v>57</v>
      </c>
      <c r="B45" s="25">
        <v>9</v>
      </c>
      <c r="C45" s="26"/>
      <c r="D45" s="27"/>
      <c r="E45" s="18">
        <f>C45*4</f>
        <v>0</v>
      </c>
      <c r="F45" s="26"/>
      <c r="G45" s="28"/>
      <c r="H45" s="25">
        <f t="shared" si="18"/>
        <v>0</v>
      </c>
      <c r="I45" s="26"/>
      <c r="J45" s="28"/>
      <c r="K45" s="18">
        <f t="shared" si="2"/>
        <v>0</v>
      </c>
      <c r="L45" s="26"/>
      <c r="M45" s="28"/>
      <c r="N45" s="18">
        <f t="shared" si="3"/>
        <v>0</v>
      </c>
      <c r="O45" s="26"/>
      <c r="P45" s="28"/>
      <c r="Q45" s="18">
        <f t="shared" si="4"/>
        <v>0</v>
      </c>
      <c r="R45" s="26"/>
      <c r="S45" s="28"/>
      <c r="T45" s="18">
        <f t="shared" si="5"/>
        <v>0</v>
      </c>
      <c r="U45" s="26"/>
      <c r="V45" s="28"/>
      <c r="W45" s="18">
        <f t="shared" si="6"/>
        <v>0</v>
      </c>
      <c r="X45" s="25">
        <f t="shared" si="7"/>
        <v>0</v>
      </c>
      <c r="Y45" s="29"/>
      <c r="Z45" s="23">
        <f t="shared" si="8"/>
        <v>0</v>
      </c>
      <c r="AA45" s="23">
        <f t="shared" si="9"/>
        <v>0</v>
      </c>
      <c r="AB45" t="str">
        <f t="shared" si="10"/>
        <v xml:space="preserve"> </v>
      </c>
      <c r="AC45" t="str">
        <f t="shared" si="11"/>
        <v xml:space="preserve"> </v>
      </c>
      <c r="AD45" t="str">
        <f t="shared" si="12"/>
        <v xml:space="preserve"> </v>
      </c>
      <c r="AE45" t="str">
        <f t="shared" si="13"/>
        <v xml:space="preserve"> </v>
      </c>
      <c r="AF45">
        <f t="shared" si="14"/>
        <v>21033.62801</v>
      </c>
      <c r="AG45">
        <f t="shared" si="15"/>
        <v>4206.7256020000004</v>
      </c>
      <c r="AH45">
        <f t="shared" si="16"/>
        <v>0</v>
      </c>
    </row>
    <row r="46" spans="1:34">
      <c r="A46" s="24" t="s">
        <v>57</v>
      </c>
      <c r="B46" s="25">
        <v>4</v>
      </c>
      <c r="C46" s="26"/>
      <c r="D46" s="27"/>
      <c r="E46" s="18">
        <f>C46*4</f>
        <v>0</v>
      </c>
      <c r="F46" s="26"/>
      <c r="G46" s="28"/>
      <c r="H46" s="25">
        <f t="shared" si="18"/>
        <v>0</v>
      </c>
      <c r="I46" s="26">
        <f>SUM('Plant Measurements'!P224:P241)</f>
        <v>155.33939600000002</v>
      </c>
      <c r="J46" s="28"/>
      <c r="K46" s="18">
        <f t="shared" si="2"/>
        <v>621.35758400000009</v>
      </c>
      <c r="L46" s="26"/>
      <c r="M46" s="28"/>
      <c r="N46" s="18">
        <f t="shared" si="3"/>
        <v>0</v>
      </c>
      <c r="O46" s="26"/>
      <c r="P46" s="28"/>
      <c r="Q46" s="18">
        <f t="shared" si="4"/>
        <v>0</v>
      </c>
      <c r="R46" s="26"/>
      <c r="S46" s="28"/>
      <c r="T46" s="18">
        <f t="shared" si="5"/>
        <v>0</v>
      </c>
      <c r="U46" s="26"/>
      <c r="V46" s="28"/>
      <c r="W46" s="18">
        <f t="shared" si="6"/>
        <v>0</v>
      </c>
      <c r="X46" s="25">
        <f t="shared" si="7"/>
        <v>621.35758400000009</v>
      </c>
      <c r="Y46" s="29"/>
      <c r="Z46" s="23">
        <f t="shared" si="8"/>
        <v>0</v>
      </c>
      <c r="AA46" s="23">
        <f t="shared" si="9"/>
        <v>0</v>
      </c>
      <c r="AB46">
        <f t="shared" si="10"/>
        <v>0</v>
      </c>
      <c r="AC46">
        <f t="shared" si="11"/>
        <v>0</v>
      </c>
      <c r="AD46">
        <f t="shared" si="12"/>
        <v>1</v>
      </c>
      <c r="AE46">
        <f t="shared" si="13"/>
        <v>0</v>
      </c>
      <c r="AF46">
        <f t="shared" si="14"/>
        <v>21033.62801</v>
      </c>
      <c r="AG46">
        <f t="shared" si="15"/>
        <v>4206.7256020000004</v>
      </c>
      <c r="AH46">
        <f t="shared" si="16"/>
        <v>2613.8808566096664</v>
      </c>
    </row>
    <row r="47" spans="1:34">
      <c r="A47" s="30" t="s">
        <v>57</v>
      </c>
      <c r="B47" s="31">
        <v>41</v>
      </c>
      <c r="C47" s="32"/>
      <c r="D47" s="33"/>
      <c r="E47" s="18">
        <f t="shared" si="0"/>
        <v>0</v>
      </c>
      <c r="F47" s="32"/>
      <c r="G47" s="34"/>
      <c r="H47" s="25">
        <f t="shared" si="18"/>
        <v>0</v>
      </c>
      <c r="I47" s="32"/>
      <c r="J47" s="34"/>
      <c r="K47" s="18">
        <f t="shared" si="2"/>
        <v>0</v>
      </c>
      <c r="L47" s="32"/>
      <c r="M47" s="34"/>
      <c r="N47" s="18">
        <f t="shared" si="3"/>
        <v>0</v>
      </c>
      <c r="O47" s="32"/>
      <c r="P47" s="34"/>
      <c r="Q47" s="18">
        <f t="shared" si="4"/>
        <v>0</v>
      </c>
      <c r="R47" s="32">
        <f>SUM('Plant Measurements'!P502:P513)</f>
        <v>97.876287000000019</v>
      </c>
      <c r="S47" s="34"/>
      <c r="T47" s="18">
        <f t="shared" si="5"/>
        <v>391.50514800000008</v>
      </c>
      <c r="U47" s="32"/>
      <c r="V47" s="34"/>
      <c r="W47" s="18">
        <f t="shared" si="6"/>
        <v>0</v>
      </c>
      <c r="X47" s="31">
        <f t="shared" si="7"/>
        <v>391.50514800000008</v>
      </c>
      <c r="Y47" s="35"/>
      <c r="Z47" s="23">
        <f t="shared" si="8"/>
        <v>0</v>
      </c>
      <c r="AA47" s="23">
        <f t="shared" si="9"/>
        <v>391.50514800000008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1</v>
      </c>
      <c r="AF47">
        <f t="shared" si="14"/>
        <v>21033.62801</v>
      </c>
      <c r="AG47">
        <f t="shared" si="15"/>
        <v>4206.7256020000004</v>
      </c>
      <c r="AH47">
        <f t="shared" si="16"/>
        <v>1646.9547294063996</v>
      </c>
    </row>
    <row r="48" spans="1:34">
      <c r="A48" s="17" t="s">
        <v>25</v>
      </c>
      <c r="B48" s="18">
        <v>49</v>
      </c>
      <c r="C48" s="19"/>
      <c r="D48" s="20"/>
      <c r="E48" s="18">
        <f t="shared" si="0"/>
        <v>0</v>
      </c>
      <c r="F48" s="19"/>
      <c r="G48" s="21"/>
      <c r="H48" s="25">
        <f t="shared" si="18"/>
        <v>0</v>
      </c>
      <c r="I48" s="19"/>
      <c r="J48" s="21"/>
      <c r="K48" s="18">
        <f t="shared" si="2"/>
        <v>0</v>
      </c>
      <c r="L48" s="19"/>
      <c r="M48" s="21"/>
      <c r="N48" s="18">
        <f t="shared" si="3"/>
        <v>0</v>
      </c>
      <c r="O48" s="19"/>
      <c r="P48" s="21"/>
      <c r="Q48" s="18">
        <f t="shared" si="4"/>
        <v>0</v>
      </c>
      <c r="R48" s="19">
        <f>SUM('Plant Measurements'!P467:P471)</f>
        <v>21.231921999999997</v>
      </c>
      <c r="S48" s="21"/>
      <c r="T48" s="18">
        <f t="shared" si="5"/>
        <v>84.927687999999989</v>
      </c>
      <c r="U48" s="19"/>
      <c r="V48" s="21"/>
      <c r="W48" s="18">
        <f t="shared" si="6"/>
        <v>0</v>
      </c>
      <c r="X48" s="18">
        <f t="shared" si="7"/>
        <v>84.927687999999989</v>
      </c>
      <c r="Y48" s="22">
        <f>AVERAGE(X48:X52)</f>
        <v>78.164419199999998</v>
      </c>
      <c r="Z48" s="23">
        <f>E48+Q48</f>
        <v>0</v>
      </c>
      <c r="AA48" s="23">
        <f t="shared" si="9"/>
        <v>84.927687999999989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357.26747942826813</v>
      </c>
    </row>
    <row r="49" spans="1:34">
      <c r="A49" s="24" t="s">
        <v>25</v>
      </c>
      <c r="B49" s="25">
        <v>47</v>
      </c>
      <c r="C49" s="26"/>
      <c r="D49" s="27"/>
      <c r="E49" s="18">
        <f t="shared" si="0"/>
        <v>0</v>
      </c>
      <c r="F49" s="26"/>
      <c r="G49" s="28"/>
      <c r="H49" s="25">
        <f t="shared" si="18"/>
        <v>0</v>
      </c>
      <c r="I49" s="26"/>
      <c r="J49" s="28"/>
      <c r="K49" s="18">
        <f t="shared" si="2"/>
        <v>0</v>
      </c>
      <c r="L49" s="26"/>
      <c r="M49" s="28"/>
      <c r="N49" s="18">
        <f t="shared" si="3"/>
        <v>0</v>
      </c>
      <c r="O49" s="26"/>
      <c r="P49" s="28"/>
      <c r="Q49" s="18">
        <f t="shared" si="4"/>
        <v>0</v>
      </c>
      <c r="R49" s="26">
        <f>SUM('Plant Measurements'!P472:P477)</f>
        <v>54.402630999999992</v>
      </c>
      <c r="S49" s="28"/>
      <c r="T49" s="18">
        <f t="shared" si="5"/>
        <v>217.61052399999997</v>
      </c>
      <c r="U49" s="26"/>
      <c r="V49" s="28"/>
      <c r="W49" s="18">
        <f t="shared" si="6"/>
        <v>0</v>
      </c>
      <c r="X49" s="25">
        <f t="shared" si="7"/>
        <v>217.61052399999997</v>
      </c>
      <c r="Y49" s="29"/>
      <c r="Z49" s="23">
        <f t="shared" si="8"/>
        <v>0</v>
      </c>
      <c r="AA49" s="23">
        <f t="shared" si="9"/>
        <v>217.61052399999997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915.42776257543551</v>
      </c>
    </row>
    <row r="50" spans="1:34">
      <c r="A50" s="24" t="s">
        <v>25</v>
      </c>
      <c r="B50" s="25">
        <v>19</v>
      </c>
      <c r="C50" s="26"/>
      <c r="D50" s="27"/>
      <c r="E50" s="18">
        <f t="shared" si="0"/>
        <v>0</v>
      </c>
      <c r="F50" s="26"/>
      <c r="G50" s="28"/>
      <c r="H50" s="25">
        <f t="shared" si="18"/>
        <v>0</v>
      </c>
      <c r="I50" s="26"/>
      <c r="J50" s="28"/>
      <c r="K50" s="18">
        <f t="shared" si="2"/>
        <v>0</v>
      </c>
      <c r="L50" s="26"/>
      <c r="M50" s="28"/>
      <c r="N50" s="18">
        <f t="shared" si="3"/>
        <v>0</v>
      </c>
      <c r="O50" s="26"/>
      <c r="P50" s="28"/>
      <c r="Q50" s="18">
        <f t="shared" si="4"/>
        <v>0</v>
      </c>
      <c r="R50" s="26">
        <f>SUM('Plant Measurements'!P478:P482)</f>
        <v>19.471913000000001</v>
      </c>
      <c r="S50" s="28"/>
      <c r="T50" s="18">
        <f t="shared" si="5"/>
        <v>77.887652000000003</v>
      </c>
      <c r="U50" s="26"/>
      <c r="V50" s="28"/>
      <c r="W50" s="18">
        <f t="shared" si="6"/>
        <v>0</v>
      </c>
      <c r="X50" s="25">
        <f t="shared" si="7"/>
        <v>77.887652000000003</v>
      </c>
      <c r="Y50" s="29"/>
      <c r="Z50" s="23">
        <f t="shared" si="8"/>
        <v>0</v>
      </c>
      <c r="AA50" s="23">
        <f t="shared" si="9"/>
        <v>77.887652000000003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327.65197974806659</v>
      </c>
    </row>
    <row r="51" spans="1:34">
      <c r="A51" s="24" t="s">
        <v>25</v>
      </c>
      <c r="B51" s="25">
        <v>13</v>
      </c>
      <c r="C51" s="26"/>
      <c r="D51" s="27"/>
      <c r="E51" s="18">
        <f t="shared" si="0"/>
        <v>0</v>
      </c>
      <c r="F51" s="26"/>
      <c r="G51" s="28"/>
      <c r="H51" s="25">
        <f t="shared" si="18"/>
        <v>0</v>
      </c>
      <c r="I51" s="26"/>
      <c r="J51" s="28"/>
      <c r="K51" s="18">
        <f t="shared" si="2"/>
        <v>0</v>
      </c>
      <c r="L51" s="26"/>
      <c r="M51" s="28"/>
      <c r="N51" s="18">
        <f t="shared" si="3"/>
        <v>0</v>
      </c>
      <c r="O51" s="26"/>
      <c r="P51" s="28"/>
      <c r="Q51" s="18">
        <f t="shared" si="4"/>
        <v>0</v>
      </c>
      <c r="R51" s="26">
        <f>SUM('Plant Measurements'!P483)</f>
        <v>2.5990580000000065</v>
      </c>
      <c r="S51" s="28"/>
      <c r="T51" s="18">
        <f t="shared" si="5"/>
        <v>10.396232000000026</v>
      </c>
      <c r="U51" s="26"/>
      <c r="V51" s="28"/>
      <c r="W51" s="18">
        <f t="shared" si="6"/>
        <v>0</v>
      </c>
      <c r="X51" s="25">
        <f t="shared" si="7"/>
        <v>10.396232000000026</v>
      </c>
      <c r="Y51" s="29"/>
      <c r="Z51" s="23">
        <f t="shared" si="8"/>
        <v>0</v>
      </c>
      <c r="AA51" s="23">
        <f t="shared" si="9"/>
        <v>10.396232000000026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43.734095318731782</v>
      </c>
    </row>
    <row r="52" spans="1:34">
      <c r="A52" s="30" t="s">
        <v>25</v>
      </c>
      <c r="B52" s="31">
        <v>6</v>
      </c>
      <c r="C52" s="32"/>
      <c r="D52" s="33"/>
      <c r="E52" s="18">
        <f t="shared" si="0"/>
        <v>0</v>
      </c>
      <c r="F52" s="32"/>
      <c r="G52" s="34"/>
      <c r="H52" s="25">
        <f t="shared" si="18"/>
        <v>0</v>
      </c>
      <c r="I52" s="32"/>
      <c r="J52" s="34"/>
      <c r="K52" s="18">
        <f t="shared" si="2"/>
        <v>0</v>
      </c>
      <c r="L52" s="32"/>
      <c r="M52" s="34"/>
      <c r="N52" s="18">
        <f t="shared" si="3"/>
        <v>0</v>
      </c>
      <c r="O52" s="32"/>
      <c r="P52" s="34"/>
      <c r="Q52" s="18">
        <f t="shared" si="4"/>
        <v>0</v>
      </c>
      <c r="R52" s="32"/>
      <c r="S52" s="34"/>
      <c r="T52" s="18">
        <f t="shared" si="5"/>
        <v>0</v>
      </c>
      <c r="U52" s="32"/>
      <c r="V52" s="34"/>
      <c r="W52" s="18">
        <f t="shared" si="6"/>
        <v>0</v>
      </c>
      <c r="X52" s="31">
        <f t="shared" si="7"/>
        <v>0</v>
      </c>
      <c r="Y52" s="35"/>
      <c r="Z52" s="23">
        <f t="shared" si="8"/>
        <v>0</v>
      </c>
      <c r="AA52" s="23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>
      <c r="Y53" t="s">
        <v>58</v>
      </c>
      <c r="AB53">
        <f>AVERAGE(AB3:AB52)</f>
        <v>9.8260278650891611E-2</v>
      </c>
      <c r="AC53">
        <f t="shared" ref="AC53:AE53" si="19">AVERAGE(AC3:AC52)</f>
        <v>0</v>
      </c>
      <c r="AD53">
        <f t="shared" si="19"/>
        <v>0.11904761904761904</v>
      </c>
      <c r="AE53">
        <f t="shared" si="19"/>
        <v>0.78269210230148933</v>
      </c>
      <c r="AG53" t="s">
        <v>59</v>
      </c>
      <c r="AH53">
        <f>SUM(AH3:AH52)</f>
        <v>62263.210455994529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2015-06-18T17:11:46Z</dcterms:created>
  <dcterms:modified xsi:type="dcterms:W3CDTF">2017-05-11T19:49:30Z</dcterms:modified>
</cp:coreProperties>
</file>