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40240" windowHeight="26580" tabRatio="784" activeTab="1"/>
  </bookViews>
  <sheets>
    <sheet name="Plant Measurements" sheetId="1" r:id="rId1"/>
    <sheet name="Quadrat Totals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R52" i="2" l="1"/>
  <c r="U49" i="2"/>
  <c r="R47" i="2"/>
  <c r="I47" i="2"/>
  <c r="U45" i="2"/>
  <c r="R43" i="2"/>
  <c r="R42" i="2"/>
  <c r="U41" i="2"/>
  <c r="U40" i="2"/>
  <c r="R39" i="2"/>
  <c r="R38" i="2"/>
  <c r="R36" i="2"/>
  <c r="I36" i="2"/>
  <c r="R35" i="2"/>
  <c r="U34" i="2"/>
  <c r="U33" i="2"/>
  <c r="S343" i="1"/>
  <c r="S297" i="1"/>
  <c r="S295" i="1"/>
  <c r="S293" i="1"/>
  <c r="S294" i="1"/>
  <c r="S296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297" i="1"/>
  <c r="P297" i="1"/>
  <c r="O295" i="1"/>
  <c r="P295" i="1"/>
  <c r="O293" i="1"/>
  <c r="P293" i="1"/>
  <c r="O294" i="1"/>
  <c r="P294" i="1"/>
  <c r="O296" i="1"/>
  <c r="P296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96" i="1"/>
  <c r="J295" i="1"/>
  <c r="J342" i="1"/>
  <c r="S342" i="1"/>
  <c r="J341" i="1"/>
  <c r="S341" i="1"/>
  <c r="J340" i="1"/>
  <c r="S340" i="1"/>
  <c r="J339" i="1"/>
  <c r="S339" i="1"/>
  <c r="J338" i="1"/>
  <c r="S338" i="1"/>
  <c r="O375" i="1"/>
  <c r="P375" i="1"/>
  <c r="O376" i="1"/>
  <c r="P376" i="1"/>
  <c r="O377" i="1"/>
  <c r="P377" i="1"/>
  <c r="O361" i="1"/>
  <c r="O362" i="1"/>
  <c r="O351" i="1"/>
  <c r="O352" i="1"/>
  <c r="O353" i="1"/>
  <c r="O354" i="1"/>
  <c r="O355" i="1"/>
  <c r="O356" i="1"/>
  <c r="O357" i="1"/>
  <c r="O358" i="1"/>
  <c r="O359" i="1"/>
  <c r="O360" i="1"/>
  <c r="O363" i="1"/>
  <c r="O350" i="1"/>
  <c r="O344" i="1"/>
  <c r="O345" i="1"/>
  <c r="O346" i="1"/>
  <c r="O347" i="1"/>
  <c r="O348" i="1"/>
  <c r="O349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S350" i="1"/>
  <c r="S344" i="1"/>
  <c r="S345" i="1"/>
  <c r="S346" i="1"/>
  <c r="S347" i="1"/>
  <c r="S348" i="1"/>
  <c r="S349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P347" i="1"/>
  <c r="P348" i="1"/>
  <c r="P349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O391" i="1"/>
  <c r="P391" i="1"/>
  <c r="P361" i="1"/>
  <c r="P362" i="1"/>
  <c r="P351" i="1"/>
  <c r="P352" i="1"/>
  <c r="P353" i="1"/>
  <c r="P354" i="1"/>
  <c r="P355" i="1"/>
  <c r="P356" i="1"/>
  <c r="P357" i="1"/>
  <c r="P358" i="1"/>
  <c r="P359" i="1"/>
  <c r="P360" i="1"/>
  <c r="P363" i="1"/>
  <c r="P350" i="1"/>
  <c r="P344" i="1"/>
  <c r="P345" i="1"/>
  <c r="P346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349" i="1"/>
  <c r="J348" i="1"/>
  <c r="J347" i="1"/>
  <c r="J345" i="1"/>
  <c r="J344" i="1"/>
  <c r="J363" i="1"/>
  <c r="S363" i="1"/>
  <c r="S360" i="1"/>
  <c r="S359" i="1"/>
  <c r="S358" i="1"/>
  <c r="S357" i="1"/>
  <c r="S356" i="1"/>
  <c r="S355" i="1"/>
  <c r="S354" i="1"/>
  <c r="S353" i="1"/>
  <c r="S352" i="1"/>
  <c r="S351" i="1"/>
  <c r="J362" i="1"/>
  <c r="S362" i="1"/>
  <c r="J361" i="1"/>
  <c r="S361" i="1"/>
  <c r="O323" i="1"/>
  <c r="P323" i="1"/>
  <c r="O324" i="1"/>
  <c r="P324" i="1"/>
  <c r="O325" i="1"/>
  <c r="P325" i="1"/>
  <c r="R51" i="2"/>
  <c r="O320" i="1"/>
  <c r="P320" i="1"/>
  <c r="O321" i="1"/>
  <c r="P321" i="1"/>
  <c r="O322" i="1"/>
  <c r="P322" i="1"/>
  <c r="R50" i="2"/>
  <c r="O310" i="1"/>
  <c r="P310" i="1"/>
  <c r="O312" i="1"/>
  <c r="P312" i="1"/>
  <c r="O313" i="1"/>
  <c r="P313" i="1"/>
  <c r="O314" i="1"/>
  <c r="P314" i="1"/>
  <c r="O318" i="1"/>
  <c r="P318" i="1"/>
  <c r="O319" i="1"/>
  <c r="P319" i="1"/>
  <c r="O304" i="1"/>
  <c r="P304" i="1"/>
  <c r="O305" i="1"/>
  <c r="P305" i="1"/>
  <c r="O307" i="1"/>
  <c r="P307" i="1"/>
  <c r="O308" i="1"/>
  <c r="P308" i="1"/>
  <c r="O309" i="1"/>
  <c r="P309" i="1"/>
  <c r="R48" i="2"/>
  <c r="O299" i="1"/>
  <c r="P299" i="1"/>
  <c r="O300" i="1"/>
  <c r="P300" i="1"/>
  <c r="O302" i="1"/>
  <c r="P302" i="1"/>
  <c r="O303" i="1"/>
  <c r="P303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R31" i="2"/>
  <c r="O217" i="1"/>
  <c r="P217" i="1"/>
  <c r="O218" i="1"/>
  <c r="P218" i="1"/>
  <c r="O219" i="1"/>
  <c r="P219" i="1"/>
  <c r="O220" i="1"/>
  <c r="P220" i="1"/>
  <c r="O221" i="1"/>
  <c r="P221" i="1"/>
  <c r="O222" i="1"/>
  <c r="P222" i="1"/>
  <c r="R29" i="2"/>
  <c r="O208" i="1"/>
  <c r="P208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R28" i="2"/>
  <c r="O207" i="1"/>
  <c r="P207" i="1"/>
  <c r="R27" i="2"/>
  <c r="O181" i="1"/>
  <c r="P181" i="1"/>
  <c r="O190" i="1"/>
  <c r="P190" i="1"/>
  <c r="O200" i="1"/>
  <c r="P200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R26" i="2"/>
  <c r="O163" i="1"/>
  <c r="P163" i="1"/>
  <c r="O164" i="1"/>
  <c r="P164" i="1"/>
  <c r="O165" i="1"/>
  <c r="P165" i="1"/>
  <c r="O167" i="1"/>
  <c r="P167" i="1"/>
  <c r="O168" i="1"/>
  <c r="P168" i="1"/>
  <c r="O169" i="1"/>
  <c r="P169" i="1"/>
  <c r="O171" i="1"/>
  <c r="P171" i="1"/>
  <c r="R25" i="2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R24" i="2"/>
  <c r="O141" i="1"/>
  <c r="P141" i="1"/>
  <c r="O142" i="1"/>
  <c r="P142" i="1"/>
  <c r="O143" i="1"/>
  <c r="P143" i="1"/>
  <c r="O144" i="1"/>
  <c r="P144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R23" i="2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R21" i="2"/>
  <c r="O25" i="1"/>
  <c r="P25" i="1"/>
  <c r="O34" i="1"/>
  <c r="P34" i="1"/>
  <c r="O36" i="1"/>
  <c r="P36" i="1"/>
  <c r="O44" i="1"/>
  <c r="P44" i="1"/>
  <c r="O45" i="1"/>
  <c r="P45" i="1"/>
  <c r="O49" i="1"/>
  <c r="P49" i="1"/>
  <c r="O50" i="1"/>
  <c r="P50" i="1"/>
  <c r="O51" i="1"/>
  <c r="P51" i="1"/>
  <c r="O48" i="1"/>
  <c r="P48" i="1"/>
  <c r="O120" i="1"/>
  <c r="P120" i="1"/>
  <c r="O121" i="1"/>
  <c r="P121" i="1"/>
  <c r="O123" i="1"/>
  <c r="P123" i="1"/>
  <c r="O125" i="1"/>
  <c r="P125" i="1"/>
  <c r="O126" i="1"/>
  <c r="P126" i="1"/>
  <c r="O129" i="1"/>
  <c r="P129" i="1"/>
  <c r="O130" i="1"/>
  <c r="P130" i="1"/>
  <c r="O131" i="1"/>
  <c r="P131" i="1"/>
  <c r="O128" i="1"/>
  <c r="P128" i="1"/>
  <c r="R20" i="2"/>
  <c r="O9" i="1"/>
  <c r="P9" i="1"/>
  <c r="O10" i="1"/>
  <c r="P10" i="1"/>
  <c r="O11" i="1"/>
  <c r="P11" i="1"/>
  <c r="O12" i="1"/>
  <c r="P12" i="1"/>
  <c r="O13" i="1"/>
  <c r="P13" i="1"/>
  <c r="O14" i="1"/>
  <c r="P14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R19" i="2"/>
  <c r="O326" i="1"/>
  <c r="P326" i="1"/>
  <c r="O327" i="1"/>
  <c r="P327" i="1"/>
  <c r="O370" i="1"/>
  <c r="P370" i="1"/>
  <c r="O371" i="1"/>
  <c r="P371" i="1"/>
  <c r="O372" i="1"/>
  <c r="P372" i="1"/>
  <c r="O373" i="1"/>
  <c r="P373" i="1"/>
  <c r="O374" i="1"/>
  <c r="P374" i="1"/>
  <c r="O378" i="1"/>
  <c r="P378" i="1"/>
  <c r="O379" i="1"/>
  <c r="P379" i="1"/>
  <c r="O4" i="1"/>
  <c r="P4" i="1"/>
  <c r="O5" i="1"/>
  <c r="P5" i="1"/>
  <c r="O6" i="1"/>
  <c r="P6" i="1"/>
  <c r="O7" i="1"/>
  <c r="P7" i="1"/>
  <c r="O8" i="1"/>
  <c r="P8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R18" i="2"/>
  <c r="O81" i="1"/>
  <c r="P81" i="1"/>
  <c r="O82" i="1"/>
  <c r="P82" i="1"/>
  <c r="O83" i="1"/>
  <c r="P83" i="1"/>
  <c r="O84" i="1"/>
  <c r="P84" i="1"/>
  <c r="O85" i="1"/>
  <c r="P85" i="1"/>
  <c r="R16" i="2"/>
  <c r="O256" i="1"/>
  <c r="P256" i="1"/>
  <c r="O257" i="1"/>
  <c r="P257" i="1"/>
  <c r="O259" i="1"/>
  <c r="P259" i="1"/>
  <c r="O260" i="1"/>
  <c r="P260" i="1"/>
  <c r="O261" i="1"/>
  <c r="P261" i="1"/>
  <c r="O262" i="1"/>
  <c r="P262" i="1"/>
  <c r="O72" i="1"/>
  <c r="P72" i="1"/>
  <c r="O73" i="1"/>
  <c r="P73" i="1"/>
  <c r="O75" i="1"/>
  <c r="P75" i="1"/>
  <c r="O76" i="1"/>
  <c r="P76" i="1"/>
  <c r="O77" i="1"/>
  <c r="P77" i="1"/>
  <c r="O78" i="1"/>
  <c r="P78" i="1"/>
  <c r="O79" i="1"/>
  <c r="P79" i="1"/>
  <c r="O80" i="1"/>
  <c r="P80" i="1"/>
  <c r="R15" i="2"/>
  <c r="O248" i="1"/>
  <c r="P248" i="1"/>
  <c r="O249" i="1"/>
  <c r="P249" i="1"/>
  <c r="O252" i="1"/>
  <c r="P252" i="1"/>
  <c r="O253" i="1"/>
  <c r="P253" i="1"/>
  <c r="O254" i="1"/>
  <c r="P254" i="1"/>
  <c r="O255" i="1"/>
  <c r="P255" i="1"/>
  <c r="O64" i="1"/>
  <c r="P64" i="1"/>
  <c r="O65" i="1"/>
  <c r="P65" i="1"/>
  <c r="O68" i="1"/>
  <c r="P68" i="1"/>
  <c r="O69" i="1"/>
  <c r="P69" i="1"/>
  <c r="O70" i="1"/>
  <c r="P70" i="1"/>
  <c r="O71" i="1"/>
  <c r="P71" i="1"/>
  <c r="R14" i="2"/>
  <c r="O242" i="1"/>
  <c r="P242" i="1"/>
  <c r="O243" i="1"/>
  <c r="P243" i="1"/>
  <c r="O244" i="1"/>
  <c r="P244" i="1"/>
  <c r="O245" i="1"/>
  <c r="P245" i="1"/>
  <c r="O246" i="1"/>
  <c r="P246" i="1"/>
  <c r="O60" i="1"/>
  <c r="P60" i="1"/>
  <c r="O61" i="1"/>
  <c r="P61" i="1"/>
  <c r="O62" i="1"/>
  <c r="P62" i="1"/>
  <c r="R13" i="2"/>
  <c r="O226" i="1"/>
  <c r="P226" i="1"/>
  <c r="O228" i="1"/>
  <c r="P228" i="1"/>
  <c r="O229" i="1"/>
  <c r="P229" i="1"/>
  <c r="O230" i="1"/>
  <c r="P230" i="1"/>
  <c r="O238" i="1"/>
  <c r="P238" i="1"/>
  <c r="O239" i="1"/>
  <c r="P239" i="1"/>
  <c r="O240" i="1"/>
  <c r="P240" i="1"/>
  <c r="O241" i="1"/>
  <c r="P241" i="1"/>
  <c r="R12" i="2"/>
  <c r="O205" i="1"/>
  <c r="P205" i="1"/>
  <c r="O206" i="1"/>
  <c r="P206" i="1"/>
  <c r="O223" i="1"/>
  <c r="P223" i="1"/>
  <c r="O43" i="1"/>
  <c r="P43" i="1"/>
  <c r="R11" i="2"/>
  <c r="O196" i="1"/>
  <c r="P196" i="1"/>
  <c r="O197" i="1"/>
  <c r="P197" i="1"/>
  <c r="O198" i="1"/>
  <c r="P198" i="1"/>
  <c r="O35" i="1"/>
  <c r="P35" i="1"/>
  <c r="R8" i="2"/>
  <c r="O184" i="1"/>
  <c r="P184" i="1"/>
  <c r="O185" i="1"/>
  <c r="P185" i="1"/>
  <c r="O186" i="1"/>
  <c r="P186" i="1"/>
  <c r="R7" i="2"/>
  <c r="O180" i="1"/>
  <c r="P180" i="1"/>
  <c r="O182" i="1"/>
  <c r="P182" i="1"/>
  <c r="O183" i="1"/>
  <c r="P183" i="1"/>
  <c r="R6" i="2"/>
  <c r="O28" i="1"/>
  <c r="P28" i="1"/>
  <c r="O30" i="1"/>
  <c r="P30" i="1"/>
  <c r="O31" i="1"/>
  <c r="P31" i="1"/>
  <c r="O15" i="1"/>
  <c r="P15" i="1"/>
  <c r="R4" i="2"/>
  <c r="O37" i="1"/>
  <c r="P37" i="1"/>
  <c r="O38" i="1"/>
  <c r="P38" i="1"/>
  <c r="O39" i="1"/>
  <c r="P39" i="1"/>
  <c r="O40" i="1"/>
  <c r="P40" i="1"/>
  <c r="O41" i="1"/>
  <c r="P41" i="1"/>
  <c r="O47" i="1"/>
  <c r="P47" i="1"/>
  <c r="O27" i="1"/>
  <c r="P27" i="1"/>
  <c r="R3" i="2"/>
  <c r="O387" i="1"/>
  <c r="P387" i="1"/>
  <c r="O388" i="1"/>
  <c r="P388" i="1"/>
  <c r="O389" i="1"/>
  <c r="P389" i="1"/>
  <c r="O390" i="1"/>
  <c r="P390" i="1"/>
  <c r="O42" i="1"/>
  <c r="P42" i="1"/>
  <c r="O386" i="1"/>
  <c r="P386" i="1"/>
  <c r="O384" i="1"/>
  <c r="P384" i="1"/>
  <c r="O385" i="1"/>
  <c r="P385" i="1"/>
  <c r="O383" i="1"/>
  <c r="P383" i="1"/>
  <c r="O381" i="1"/>
  <c r="P381" i="1"/>
  <c r="O382" i="1"/>
  <c r="P382" i="1"/>
  <c r="O380" i="1"/>
  <c r="P380" i="1"/>
  <c r="O335" i="1"/>
  <c r="P335" i="1"/>
  <c r="O337" i="1"/>
  <c r="P337" i="1"/>
  <c r="O364" i="1"/>
  <c r="P364" i="1"/>
  <c r="O365" i="1"/>
  <c r="P365" i="1"/>
  <c r="O369" i="1"/>
  <c r="P369" i="1"/>
  <c r="O329" i="1"/>
  <c r="P329" i="1"/>
  <c r="O330" i="1"/>
  <c r="P330" i="1"/>
  <c r="O332" i="1"/>
  <c r="P332" i="1"/>
  <c r="O333" i="1"/>
  <c r="P333" i="1"/>
  <c r="O334" i="1"/>
  <c r="P334" i="1"/>
  <c r="O367" i="1"/>
  <c r="P367" i="1"/>
  <c r="O368" i="1"/>
  <c r="P368" i="1"/>
  <c r="O311" i="1"/>
  <c r="P311" i="1"/>
  <c r="O315" i="1"/>
  <c r="P315" i="1"/>
  <c r="O317" i="1"/>
  <c r="P317" i="1"/>
  <c r="O328" i="1"/>
  <c r="P328" i="1"/>
  <c r="O336" i="1"/>
  <c r="P336" i="1"/>
  <c r="O306" i="1"/>
  <c r="P306" i="1"/>
  <c r="O301" i="1"/>
  <c r="P301" i="1"/>
  <c r="O298" i="1"/>
  <c r="P298" i="1"/>
  <c r="O263" i="1"/>
  <c r="P263" i="1"/>
  <c r="R32" i="2"/>
  <c r="O140" i="1"/>
  <c r="P14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22" i="1"/>
  <c r="J321" i="1"/>
  <c r="J320" i="1"/>
  <c r="J319" i="1"/>
  <c r="J318" i="1"/>
  <c r="J327" i="1"/>
  <c r="J326" i="1"/>
  <c r="J325" i="1"/>
  <c r="J324" i="1"/>
  <c r="J323" i="1"/>
  <c r="J337" i="1"/>
  <c r="J336" i="1"/>
  <c r="J335" i="1"/>
  <c r="J334" i="1"/>
  <c r="J333" i="1"/>
  <c r="J332" i="1"/>
  <c r="J331" i="1"/>
  <c r="J330" i="1"/>
  <c r="J329" i="1"/>
  <c r="J328" i="1"/>
  <c r="J263" i="1"/>
  <c r="J236" i="1"/>
  <c r="J235" i="1"/>
  <c r="J234" i="1"/>
  <c r="J233" i="1"/>
  <c r="J232" i="1"/>
  <c r="J231" i="1"/>
  <c r="J222" i="1"/>
  <c r="J221" i="1"/>
  <c r="J220" i="1"/>
  <c r="J219" i="1"/>
  <c r="J218" i="1"/>
  <c r="J217" i="1"/>
  <c r="J382" i="1"/>
  <c r="J381" i="1"/>
  <c r="J380" i="1"/>
  <c r="J385" i="1"/>
  <c r="J384" i="1"/>
  <c r="J383" i="1"/>
  <c r="J391" i="1"/>
  <c r="J390" i="1"/>
  <c r="J389" i="1"/>
  <c r="J388" i="1"/>
  <c r="J387" i="1"/>
  <c r="J386" i="1"/>
  <c r="J300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4" i="1"/>
  <c r="J303" i="1"/>
  <c r="J302" i="1"/>
  <c r="J301" i="1"/>
  <c r="J299" i="1"/>
  <c r="J298" i="1"/>
  <c r="J215" i="1"/>
  <c r="J214" i="1"/>
  <c r="J213" i="1"/>
  <c r="J212" i="1"/>
  <c r="J210" i="1"/>
  <c r="J209" i="1"/>
  <c r="J208" i="1"/>
  <c r="J57" i="1"/>
  <c r="J56" i="1"/>
  <c r="J55" i="1"/>
  <c r="J54" i="1"/>
  <c r="J53" i="1"/>
  <c r="J52" i="1"/>
  <c r="J51" i="1"/>
  <c r="J47" i="1"/>
  <c r="J50" i="1"/>
  <c r="J49" i="1"/>
  <c r="J48" i="1"/>
  <c r="J46" i="1"/>
  <c r="J45" i="1"/>
  <c r="J44" i="1"/>
  <c r="J43" i="1"/>
  <c r="J35" i="1"/>
  <c r="J34" i="1"/>
  <c r="J207" i="1"/>
  <c r="J179" i="1"/>
  <c r="J178" i="1"/>
  <c r="J175" i="1"/>
  <c r="J174" i="1"/>
  <c r="J173" i="1"/>
  <c r="J172" i="1"/>
  <c r="J171" i="1"/>
  <c r="J170" i="1"/>
  <c r="J169" i="1"/>
  <c r="J168" i="1"/>
  <c r="J167" i="1"/>
  <c r="J166" i="1"/>
  <c r="J165" i="1"/>
  <c r="J161" i="1"/>
  <c r="J160" i="1"/>
  <c r="J159" i="1"/>
  <c r="J158" i="1"/>
  <c r="J157" i="1"/>
  <c r="J156" i="1"/>
  <c r="J154" i="1"/>
  <c r="J152" i="1"/>
  <c r="J151" i="1"/>
  <c r="J150" i="1"/>
  <c r="J149" i="1"/>
  <c r="J148" i="1"/>
  <c r="J147" i="1"/>
  <c r="J145" i="1"/>
  <c r="J144" i="1"/>
  <c r="J142" i="1"/>
  <c r="J141" i="1"/>
  <c r="O95" i="1"/>
  <c r="O86" i="1"/>
  <c r="O66" i="1"/>
  <c r="O67" i="1"/>
  <c r="O63" i="1"/>
  <c r="O33" i="1"/>
  <c r="O46" i="1"/>
  <c r="O29" i="1"/>
  <c r="O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U31" i="2"/>
  <c r="U30" i="2"/>
  <c r="U29" i="2"/>
  <c r="O366" i="1"/>
  <c r="P366" i="1"/>
  <c r="O316" i="1"/>
  <c r="P316" i="1"/>
  <c r="U27" i="2"/>
  <c r="O331" i="1"/>
  <c r="P331" i="1"/>
  <c r="O247" i="1"/>
  <c r="P247" i="1"/>
  <c r="O250" i="1"/>
  <c r="P250" i="1"/>
  <c r="O251" i="1"/>
  <c r="P251" i="1"/>
  <c r="O258" i="1"/>
  <c r="P258" i="1"/>
  <c r="O209" i="1"/>
  <c r="P209" i="1"/>
  <c r="O224" i="1"/>
  <c r="P224" i="1"/>
  <c r="O225" i="1"/>
  <c r="P225" i="1"/>
  <c r="O227" i="1"/>
  <c r="P227" i="1"/>
  <c r="O237" i="1"/>
  <c r="P237" i="1"/>
  <c r="O202" i="1"/>
  <c r="P202" i="1"/>
  <c r="O203" i="1"/>
  <c r="P203" i="1"/>
  <c r="O204" i="1"/>
  <c r="P204" i="1"/>
  <c r="O122" i="1"/>
  <c r="P122" i="1"/>
  <c r="O124" i="1"/>
  <c r="P124" i="1"/>
  <c r="O127" i="1"/>
  <c r="P127" i="1"/>
  <c r="O145" i="1"/>
  <c r="P145" i="1"/>
  <c r="O166" i="1"/>
  <c r="P166" i="1"/>
  <c r="O170" i="1"/>
  <c r="P170" i="1"/>
  <c r="O193" i="1"/>
  <c r="P193" i="1"/>
  <c r="O194" i="1"/>
  <c r="P194" i="1"/>
  <c r="O195" i="1"/>
  <c r="P195" i="1"/>
  <c r="P46" i="1"/>
  <c r="O199" i="1"/>
  <c r="P199" i="1"/>
  <c r="O201" i="1"/>
  <c r="P201" i="1"/>
  <c r="O32" i="1"/>
  <c r="P32" i="1"/>
  <c r="P33" i="1"/>
  <c r="O187" i="1"/>
  <c r="P187" i="1"/>
  <c r="O188" i="1"/>
  <c r="P188" i="1"/>
  <c r="O189" i="1"/>
  <c r="P189" i="1"/>
  <c r="O191" i="1"/>
  <c r="P191" i="1"/>
  <c r="O192" i="1"/>
  <c r="P192" i="1"/>
  <c r="O110" i="1"/>
  <c r="P110" i="1"/>
  <c r="P29" i="1"/>
  <c r="P26" i="1"/>
  <c r="P95" i="1"/>
  <c r="P86" i="1"/>
  <c r="P63" i="1"/>
  <c r="P66" i="1"/>
  <c r="P67" i="1"/>
  <c r="O74" i="1"/>
  <c r="P74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Q52" i="2"/>
  <c r="N52" i="2"/>
  <c r="K52" i="2"/>
  <c r="E5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Z52" i="2"/>
  <c r="AA51" i="2"/>
  <c r="Z51" i="2"/>
  <c r="AA50" i="2"/>
  <c r="Z50" i="2"/>
  <c r="AA49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22" i="1"/>
  <c r="S321" i="1"/>
  <c r="S320" i="1"/>
  <c r="S319" i="1"/>
  <c r="S318" i="1"/>
  <c r="S327" i="1"/>
  <c r="S326" i="1"/>
  <c r="S325" i="1"/>
  <c r="S324" i="1"/>
  <c r="S323" i="1"/>
  <c r="S337" i="1"/>
  <c r="S336" i="1"/>
  <c r="S335" i="1"/>
  <c r="S334" i="1"/>
  <c r="S82" i="1"/>
  <c r="S87" i="1"/>
  <c r="S86" i="1"/>
  <c r="S81" i="1"/>
  <c r="S85" i="1"/>
  <c r="S84" i="1"/>
  <c r="S79" i="1"/>
  <c r="S78" i="1"/>
  <c r="S77" i="1"/>
  <c r="S76" i="1"/>
  <c r="S75" i="1"/>
  <c r="S74" i="1"/>
  <c r="S73" i="1"/>
  <c r="S72" i="1"/>
  <c r="S71" i="1"/>
  <c r="S70" i="1"/>
  <c r="S66" i="1"/>
  <c r="S69" i="1"/>
  <c r="S68" i="1"/>
  <c r="S67" i="1"/>
  <c r="S65" i="1"/>
  <c r="S64" i="1"/>
  <c r="S63" i="1"/>
  <c r="S80" i="1"/>
  <c r="S58" i="1"/>
  <c r="S62" i="1"/>
  <c r="S61" i="1"/>
  <c r="S60" i="1"/>
  <c r="S59" i="1"/>
  <c r="S205" i="1"/>
  <c r="S204" i="1"/>
  <c r="S203" i="1"/>
  <c r="S202" i="1"/>
  <c r="S201" i="1"/>
  <c r="S200" i="1"/>
  <c r="S199" i="1"/>
  <c r="S198" i="1"/>
  <c r="S197" i="1"/>
  <c r="S193" i="1"/>
  <c r="S191" i="1"/>
  <c r="S207" i="1"/>
  <c r="S190" i="1"/>
  <c r="S196" i="1"/>
  <c r="S189" i="1"/>
  <c r="S192" i="1"/>
  <c r="S188" i="1"/>
  <c r="S195" i="1"/>
  <c r="S194" i="1"/>
  <c r="S19" i="1"/>
  <c r="S13" i="1"/>
  <c r="S12" i="1"/>
  <c r="S11" i="1"/>
  <c r="S10" i="1"/>
  <c r="S9" i="1"/>
  <c r="S8" i="1"/>
  <c r="S7" i="1"/>
  <c r="S6" i="1"/>
  <c r="S5" i="1"/>
  <c r="S18" i="1"/>
  <c r="S17" i="1"/>
  <c r="S20" i="1"/>
  <c r="S138" i="1"/>
  <c r="S4" i="1"/>
  <c r="S140" i="1"/>
  <c r="S16" i="1"/>
  <c r="S139" i="1"/>
  <c r="S137" i="1"/>
  <c r="S136" i="1"/>
  <c r="S15" i="1"/>
  <c r="S135" i="1"/>
  <c r="S14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6" i="1"/>
  <c r="S115" i="1"/>
  <c r="S114" i="1"/>
  <c r="S113" i="1"/>
  <c r="S119" i="1"/>
  <c r="S112" i="1"/>
  <c r="S111" i="1"/>
  <c r="S110" i="1"/>
  <c r="S118" i="1"/>
  <c r="S117" i="1"/>
  <c r="S333" i="1"/>
  <c r="S260" i="1"/>
  <c r="S259" i="1"/>
  <c r="S258" i="1"/>
  <c r="S257" i="1"/>
  <c r="S256" i="1"/>
  <c r="S255" i="1"/>
  <c r="S263" i="1"/>
  <c r="S254" i="1"/>
  <c r="S253" i="1"/>
  <c r="S331" i="1"/>
  <c r="S330" i="1"/>
  <c r="S252" i="1"/>
  <c r="S251" i="1"/>
  <c r="S329" i="1"/>
  <c r="S332" i="1"/>
  <c r="S250" i="1"/>
  <c r="S249" i="1"/>
  <c r="S248" i="1"/>
  <c r="S328" i="1"/>
  <c r="S247" i="1"/>
  <c r="S246" i="1"/>
  <c r="S245" i="1"/>
  <c r="S262" i="1"/>
  <c r="S244" i="1"/>
  <c r="S261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22" i="1"/>
  <c r="S221" i="1"/>
  <c r="S220" i="1"/>
  <c r="S219" i="1"/>
  <c r="S218" i="1"/>
  <c r="S217" i="1"/>
  <c r="S382" i="1"/>
  <c r="S381" i="1"/>
  <c r="S380" i="1"/>
  <c r="S385" i="1"/>
  <c r="S384" i="1"/>
  <c r="S383" i="1"/>
  <c r="S391" i="1"/>
  <c r="S390" i="1"/>
  <c r="S389" i="1"/>
  <c r="S388" i="1"/>
  <c r="S387" i="1"/>
  <c r="S315" i="1"/>
  <c r="S314" i="1"/>
  <c r="S313" i="1"/>
  <c r="S312" i="1"/>
  <c r="S386" i="1"/>
  <c r="S317" i="1"/>
  <c r="S311" i="1"/>
  <c r="S316" i="1"/>
  <c r="S310" i="1"/>
  <c r="S309" i="1"/>
  <c r="S308" i="1"/>
  <c r="S307" i="1"/>
  <c r="S306" i="1"/>
  <c r="S305" i="1"/>
  <c r="S304" i="1"/>
  <c r="S303" i="1"/>
  <c r="S301" i="1"/>
  <c r="S300" i="1"/>
  <c r="S299" i="1"/>
  <c r="S298" i="1"/>
  <c r="S302" i="1"/>
  <c r="S187" i="1"/>
  <c r="S183" i="1"/>
  <c r="S182" i="1"/>
  <c r="S186" i="1"/>
  <c r="S181" i="1"/>
  <c r="S185" i="1"/>
  <c r="S184" i="1"/>
  <c r="S180" i="1"/>
  <c r="S179" i="1"/>
  <c r="S178" i="1"/>
  <c r="S177" i="1"/>
  <c r="S176" i="1"/>
  <c r="S175" i="1"/>
  <c r="S174" i="1"/>
  <c r="S173" i="1"/>
  <c r="S172" i="1"/>
  <c r="S169" i="1"/>
  <c r="S168" i="1"/>
  <c r="S171" i="1"/>
  <c r="S167" i="1"/>
  <c r="S166" i="1"/>
  <c r="S161" i="1"/>
  <c r="S170" i="1"/>
  <c r="S165" i="1"/>
  <c r="S160" i="1"/>
  <c r="S164" i="1"/>
  <c r="S159" i="1"/>
  <c r="S163" i="1"/>
  <c r="S162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58" i="1"/>
  <c r="S21" i="1"/>
  <c r="S25" i="1"/>
  <c r="S24" i="1"/>
  <c r="S23" i="1"/>
  <c r="S22" i="1"/>
  <c r="S230" i="1"/>
  <c r="S229" i="1"/>
  <c r="S228" i="1"/>
  <c r="S227" i="1"/>
  <c r="S226" i="1"/>
  <c r="S225" i="1"/>
  <c r="S224" i="1"/>
  <c r="S223" i="1"/>
  <c r="S216" i="1"/>
  <c r="S215" i="1"/>
  <c r="S214" i="1"/>
  <c r="S213" i="1"/>
  <c r="S212" i="1"/>
  <c r="S210" i="1"/>
  <c r="S209" i="1"/>
  <c r="S208" i="1"/>
  <c r="S57" i="1"/>
  <c r="S211" i="1"/>
  <c r="S56" i="1"/>
  <c r="S55" i="1"/>
  <c r="S51" i="1"/>
  <c r="S47" i="1"/>
  <c r="S54" i="1"/>
  <c r="S50" i="1"/>
  <c r="S53" i="1"/>
  <c r="S52" i="1"/>
  <c r="S49" i="1"/>
  <c r="S48" i="1"/>
  <c r="S46" i="1"/>
  <c r="S42" i="1"/>
  <c r="S41" i="1"/>
  <c r="S40" i="1"/>
  <c r="S39" i="1"/>
  <c r="S45" i="1"/>
  <c r="S44" i="1"/>
  <c r="S33" i="1"/>
  <c r="S32" i="1"/>
  <c r="S38" i="1"/>
  <c r="S43" i="1"/>
  <c r="S36" i="1"/>
  <c r="S35" i="1"/>
  <c r="S37" i="1"/>
  <c r="S31" i="1"/>
  <c r="S30" i="1"/>
  <c r="S29" i="1"/>
  <c r="S34" i="1"/>
  <c r="S27" i="1"/>
  <c r="S26" i="1"/>
  <c r="S28" i="1"/>
  <c r="S206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3" i="1"/>
  <c r="S88" i="1"/>
  <c r="T52" i="2"/>
  <c r="X52" i="2"/>
  <c r="AH52" i="2"/>
  <c r="AH53" i="2"/>
  <c r="AE52" i="2"/>
  <c r="AE53" i="2"/>
  <c r="AD52" i="2"/>
  <c r="AD53" i="2"/>
  <c r="AC52" i="2"/>
  <c r="AC53" i="2"/>
  <c r="AB52" i="2"/>
  <c r="AB53" i="2"/>
  <c r="AA52" i="2"/>
  <c r="Y48" i="2"/>
</calcChain>
</file>

<file path=xl/sharedStrings.xml><?xml version="1.0" encoding="utf-8"?>
<sst xmlns="http://schemas.openxmlformats.org/spreadsheetml/2006/main" count="890" uniqueCount="68">
  <si>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</si>
  <si>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</si>
  <si>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</si>
  <si>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</si>
  <si>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</si>
  <si>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</si>
  <si>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</si>
  <si>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</si>
  <si>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</si>
  <si>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</si>
  <si>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</si>
  <si>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</si>
  <si>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</si>
  <si>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</si>
  <si>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>data book</t>
  </si>
  <si>
    <t>Data book entry order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</si>
  <si>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</si>
  <si>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</si>
  <si>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</si>
  <si>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</si>
  <si>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</si>
  <si>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</si>
  <si>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</si>
  <si>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</si>
  <si>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</si>
  <si>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</si>
  <si>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</si>
  <si>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</si>
  <si>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</si>
  <si>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</si>
  <si>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</si>
  <si>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</si>
  <si>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</si>
  <si>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</si>
  <si>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</si>
  <si>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</si>
  <si>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</si>
  <si>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</si>
  <si>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</si>
  <si>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</si>
  <si>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</si>
  <si>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</si>
  <si>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</si>
  <si>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</si>
  <si>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</si>
  <si>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</si>
  <si>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</si>
  <si>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</si>
  <si>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</si>
  <si>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</si>
  <si>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</si>
  <si>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</si>
  <si>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</si>
  <si>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</si>
  <si>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</si>
  <si>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</si>
  <si>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</si>
  <si>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 xml:space="preserve">Calculated Volume (if neceS. acutusary) cm^3 </t>
  </si>
  <si>
    <t>Calculated BiomaS. acutus (g)</t>
  </si>
  <si>
    <t>Clean biomaS. acutus (g) (only values)</t>
  </si>
  <si>
    <t>T. Latifolia</t>
  </si>
  <si>
    <t>OPEN WATER</t>
  </si>
  <si>
    <t>ALL PLANTS DEAD/THATCHED</t>
  </si>
  <si>
    <t>MOSTLY THATCHED</t>
  </si>
  <si>
    <t>S. californicus</t>
  </si>
  <si>
    <t>THATCHED</t>
  </si>
  <si>
    <t>S. acutus</t>
  </si>
  <si>
    <t>T. domingensis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</si>
</sst>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09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  <xf numFmtId="0" fontId="7" fillId="2" borderId="2" xfId="53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541" applyBorder="1" applyAlignment="1">
      <alignment wrapText="1"/>
    </xf>
    <xf numFmtId="0" fontId="7" fillId="2" borderId="3" xfId="534" applyBorder="1"/>
    <xf numFmtId="0" fontId="7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534" applyBorder="1"/>
    <xf numFmtId="0" fontId="7" fillId="2" borderId="0" xfId="534" applyBorder="1"/>
    <xf numFmtId="0" fontId="7" fillId="2" borderId="8" xfId="534" applyBorder="1"/>
    <xf numFmtId="0" fontId="7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534" applyBorder="1"/>
    <xf numFmtId="0" fontId="7" fillId="2" borderId="11" xfId="534" applyBorder="1"/>
    <xf numFmtId="0" fontId="7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534" applyBorder="1"/>
    <xf numFmtId="0" fontId="7" fillId="0" borderId="3" xfId="534" applyFill="1" applyBorder="1"/>
    <xf numFmtId="0" fontId="7" fillId="0" borderId="4" xfId="534" applyFill="1" applyBorder="1"/>
    <xf numFmtId="0" fontId="7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5" fillId="0" borderId="0" xfId="0" quotePrefix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</cellXfs>
  <cellStyles count="10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topLeftCell="A386" zoomScale="125" zoomScaleNormal="125" zoomScalePageLayoutView="125" workbookViewId="0">
      <selection activeCell="F350" sqref="F350"/>
    </sheetView>
  </sheetViews>
  <sheetFormatPr baseColWidth="10" defaultRowHeight="15" x14ac:dyDescent="0.75"/>
  <cols>
    <col min="4" max="4" width="13.1640625" bestFit="1" customWidth="1"/>
  </cols>
  <sheetData>
    <row r="1" spans="1:19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0"/>
      <c r="Q1" s="1"/>
      <c r="R1" s="1"/>
    </row>
    <row r="2" spans="1:19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11"/>
      <c r="Q2" s="2"/>
      <c r="R2" s="2"/>
    </row>
    <row r="3" spans="1:19" ht="75">
      <c r="A3" t="s">
        <v>1</v>
      </c>
      <c r="B3" s="3" t="s">
        <v>2</v>
      </c>
      <c r="C3" t="s">
        <v>3</v>
      </c>
      <c r="D3" s="4" t="s">
        <v>4</v>
      </c>
      <c r="E3" s="5" t="s">
        <v>5</v>
      </c>
      <c r="F3" s="6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57</v>
      </c>
      <c r="O3" s="5" t="s">
        <v>58</v>
      </c>
      <c r="P3" s="5" t="s">
        <v>59</v>
      </c>
      <c r="Q3" s="5" t="s">
        <v>14</v>
      </c>
      <c r="R3" s="5" t="s">
        <v>15</v>
      </c>
      <c r="S3" s="5" t="s">
        <v>23</v>
      </c>
    </row>
    <row r="4" spans="1:19">
      <c r="A4" s="9">
        <v>42753</v>
      </c>
      <c r="B4" s="8" t="s">
        <v>52</v>
      </c>
      <c r="C4" s="8">
        <v>43</v>
      </c>
      <c r="D4" s="8" t="s">
        <v>60</v>
      </c>
      <c r="F4" s="8">
        <v>0.89</v>
      </c>
      <c r="J4">
        <f>30+43+55</f>
        <v>128</v>
      </c>
      <c r="K4">
        <v>3</v>
      </c>
      <c r="L4">
        <v>55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7.4020899999999976</v>
      </c>
      <c r="P4">
        <f>IF(O4&lt;0," ",O4)</f>
        <v>7.4020899999999976</v>
      </c>
      <c r="S4">
        <f>3.14159*((F4/2)^2)</f>
        <v>0.62211335975000004</v>
      </c>
    </row>
    <row r="5" spans="1:19">
      <c r="A5" s="9">
        <v>42753</v>
      </c>
      <c r="B5" s="8" t="s">
        <v>52</v>
      </c>
      <c r="C5" s="8">
        <v>43</v>
      </c>
      <c r="D5" s="8" t="s">
        <v>60</v>
      </c>
      <c r="F5" s="8">
        <v>0.79</v>
      </c>
      <c r="J5">
        <f>18+18+31</f>
        <v>67</v>
      </c>
      <c r="K5">
        <v>3</v>
      </c>
      <c r="L5">
        <v>31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8.9129149999999981</v>
      </c>
      <c r="P5">
        <f>IF(O5&lt;0," ",O5)</f>
        <v>8.9129149999999981</v>
      </c>
      <c r="S5">
        <f>3.14159*((F5/2)^2)</f>
        <v>0.49016657975000005</v>
      </c>
    </row>
    <row r="6" spans="1:19">
      <c r="A6" s="9">
        <v>42753</v>
      </c>
      <c r="B6" s="8" t="s">
        <v>52</v>
      </c>
      <c r="C6" s="8">
        <v>43</v>
      </c>
      <c r="D6" s="8" t="s">
        <v>60</v>
      </c>
      <c r="F6" s="8">
        <v>0.62</v>
      </c>
      <c r="J6">
        <f>24+43+48</f>
        <v>115</v>
      </c>
      <c r="K6">
        <v>3</v>
      </c>
      <c r="L6">
        <v>48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8.2919899999999984</v>
      </c>
      <c r="P6">
        <f>IF(O6&lt;0," ",O6)</f>
        <v>8.2919899999999984</v>
      </c>
      <c r="S6">
        <f>3.14159*((F6/2)^2)</f>
        <v>0.301906799</v>
      </c>
    </row>
    <row r="7" spans="1:19">
      <c r="A7" s="9">
        <v>42753</v>
      </c>
      <c r="B7" s="8" t="s">
        <v>52</v>
      </c>
      <c r="C7" s="8">
        <v>43</v>
      </c>
      <c r="D7" s="8" t="s">
        <v>60</v>
      </c>
      <c r="F7" s="8">
        <v>0.81</v>
      </c>
      <c r="H7" s="8"/>
      <c r="J7">
        <f>12+12+13+14</f>
        <v>51</v>
      </c>
      <c r="K7">
        <v>4</v>
      </c>
      <c r="L7">
        <v>14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5.5116469999999964</v>
      </c>
      <c r="P7">
        <f>IF(O7&lt;0," ",O7)</f>
        <v>5.5116469999999964</v>
      </c>
      <c r="S7">
        <f>3.14159*((F7/2)^2)</f>
        <v>0.51529929975000011</v>
      </c>
    </row>
    <row r="8" spans="1:19">
      <c r="A8" s="9">
        <v>42753</v>
      </c>
      <c r="B8" s="8" t="s">
        <v>52</v>
      </c>
      <c r="C8" s="8">
        <v>43</v>
      </c>
      <c r="D8" s="8" t="s">
        <v>60</v>
      </c>
      <c r="F8" s="8">
        <v>0.73</v>
      </c>
      <c r="H8" s="8"/>
      <c r="J8">
        <f>23+25+31</f>
        <v>79</v>
      </c>
      <c r="K8">
        <v>3</v>
      </c>
      <c r="L8">
        <v>31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10.037974999999996</v>
      </c>
      <c r="P8">
        <f>IF(O8&lt;0," ",O8)</f>
        <v>10.037974999999996</v>
      </c>
      <c r="S8">
        <f>3.14159*((F8/2)^2)</f>
        <v>0.41853832774999994</v>
      </c>
    </row>
    <row r="9" spans="1:19">
      <c r="A9" s="9">
        <v>42753</v>
      </c>
      <c r="B9" s="8" t="s">
        <v>52</v>
      </c>
      <c r="C9" s="8">
        <v>43</v>
      </c>
      <c r="D9" s="8" t="s">
        <v>60</v>
      </c>
      <c r="F9" s="8">
        <v>0.81</v>
      </c>
      <c r="J9">
        <f>19+23+25</f>
        <v>67</v>
      </c>
      <c r="K9">
        <v>3</v>
      </c>
      <c r="L9">
        <v>25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10.720384999999997</v>
      </c>
      <c r="P9">
        <f>IF(O9&lt;0," ",O9)</f>
        <v>10.720384999999997</v>
      </c>
      <c r="S9">
        <f>3.14159*((F9/2)^2)</f>
        <v>0.51529929975000011</v>
      </c>
    </row>
    <row r="10" spans="1:19">
      <c r="A10" s="9">
        <v>42753</v>
      </c>
      <c r="B10" s="8" t="s">
        <v>52</v>
      </c>
      <c r="C10" s="8">
        <v>43</v>
      </c>
      <c r="D10" s="8" t="s">
        <v>60</v>
      </c>
      <c r="F10" s="8">
        <v>1.6</v>
      </c>
      <c r="H10" s="8"/>
      <c r="J10">
        <f>53+64+120+146</f>
        <v>383</v>
      </c>
      <c r="K10">
        <v>4</v>
      </c>
      <c r="L10">
        <v>146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-3.1260329999999996</v>
      </c>
      <c r="P10" t="str">
        <f>IF(O10&lt;0," ",O10)</f>
        <v xml:space="preserve"> </v>
      </c>
      <c r="S10">
        <f>3.14159*((F10/2)^2)</f>
        <v>2.0106176000000002</v>
      </c>
    </row>
    <row r="11" spans="1:19">
      <c r="A11" s="9">
        <v>42753</v>
      </c>
      <c r="B11" s="8" t="s">
        <v>52</v>
      </c>
      <c r="C11" s="8">
        <v>43</v>
      </c>
      <c r="D11" s="8" t="s">
        <v>60</v>
      </c>
      <c r="F11" s="8">
        <v>0.56999999999999995</v>
      </c>
      <c r="H11" s="8"/>
      <c r="J11">
        <f>12+15+19</f>
        <v>46</v>
      </c>
      <c r="K11">
        <v>3</v>
      </c>
      <c r="L11">
        <v>19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10.558999999999997</v>
      </c>
      <c r="P11">
        <f>IF(O11&lt;0," ",O11)</f>
        <v>10.558999999999997</v>
      </c>
      <c r="S11">
        <f>3.14159*((F11/2)^2)</f>
        <v>0.25517564774999996</v>
      </c>
    </row>
    <row r="12" spans="1:19">
      <c r="A12" s="9">
        <v>42753</v>
      </c>
      <c r="B12" s="8" t="s">
        <v>52</v>
      </c>
      <c r="C12" s="8">
        <v>40</v>
      </c>
      <c r="D12" s="8" t="s">
        <v>60</v>
      </c>
      <c r="F12" s="8">
        <v>2.63</v>
      </c>
      <c r="H12" s="8"/>
      <c r="J12">
        <f>144+150+173+192</f>
        <v>659</v>
      </c>
      <c r="K12">
        <v>4</v>
      </c>
      <c r="L12">
        <v>192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8.8930769999999981</v>
      </c>
      <c r="P12">
        <f>IF(O12&lt;0," ",O12)</f>
        <v>8.8930769999999981</v>
      </c>
      <c r="S12">
        <f>3.14159*((F12/2)^2)</f>
        <v>5.4325159677499988</v>
      </c>
    </row>
    <row r="13" spans="1:19">
      <c r="A13" s="9">
        <v>42753</v>
      </c>
      <c r="B13" s="8" t="s">
        <v>52</v>
      </c>
      <c r="C13" s="8">
        <v>40</v>
      </c>
      <c r="D13" s="8" t="s">
        <v>60</v>
      </c>
      <c r="F13" s="8">
        <v>0.65</v>
      </c>
      <c r="H13" s="8"/>
      <c r="J13">
        <f>25+27+31+30+166</f>
        <v>279</v>
      </c>
      <c r="K13">
        <v>5</v>
      </c>
      <c r="L13">
        <v>166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-25.923805999999999</v>
      </c>
      <c r="P13" t="str">
        <f>IF(O13&lt;0," ",O13)</f>
        <v xml:space="preserve"> </v>
      </c>
      <c r="S13">
        <f>3.14159*((F13/2)^2)</f>
        <v>0.33183044375000004</v>
      </c>
    </row>
    <row r="14" spans="1:19">
      <c r="A14" s="9">
        <v>42753</v>
      </c>
      <c r="B14" s="8" t="s">
        <v>52</v>
      </c>
      <c r="C14" s="8">
        <v>40</v>
      </c>
      <c r="D14" s="8" t="s">
        <v>60</v>
      </c>
      <c r="F14" s="8">
        <v>4.7</v>
      </c>
      <c r="J14">
        <f>112+141+186+186+192+207+222</f>
        <v>1246</v>
      </c>
      <c r="K14">
        <v>7</v>
      </c>
      <c r="L14">
        <v>222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33.822853000000002</v>
      </c>
      <c r="P14">
        <f>IF(O14&lt;0," ",O14)</f>
        <v>33.822853000000002</v>
      </c>
      <c r="S14">
        <f>3.14159*((F14/2)^2)</f>
        <v>17.349430775000002</v>
      </c>
    </row>
    <row r="15" spans="1:19">
      <c r="A15" s="9">
        <v>42753</v>
      </c>
      <c r="B15" s="8" t="s">
        <v>52</v>
      </c>
      <c r="C15" s="8">
        <v>40</v>
      </c>
      <c r="D15" s="8" t="s">
        <v>60</v>
      </c>
      <c r="F15" s="8">
        <v>2.27</v>
      </c>
      <c r="J15">
        <f>61+119+159+159+172+187</f>
        <v>857</v>
      </c>
      <c r="K15">
        <v>6</v>
      </c>
      <c r="L15">
        <v>187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14.91808600000001</v>
      </c>
      <c r="P15">
        <f>IF(O15&lt;0," ",O15)</f>
        <v>14.91808600000001</v>
      </c>
      <c r="S15">
        <f>3.14159*((F15/2)^2)</f>
        <v>4.0470747777499998</v>
      </c>
    </row>
    <row r="16" spans="1:19">
      <c r="A16" s="9">
        <v>42753</v>
      </c>
      <c r="B16" s="8" t="s">
        <v>52</v>
      </c>
      <c r="C16" s="8">
        <v>24</v>
      </c>
      <c r="D16" s="8" t="s">
        <v>60</v>
      </c>
      <c r="F16" s="8"/>
      <c r="M16" t="s">
        <v>62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0</v>
      </c>
      <c r="P16">
        <f>IF(O16&lt;0," ",O16)</f>
        <v>0</v>
      </c>
      <c r="S16">
        <f>3.14159*((F16/2)^2)</f>
        <v>0</v>
      </c>
    </row>
    <row r="17" spans="1:19">
      <c r="A17" s="9">
        <v>42753</v>
      </c>
      <c r="B17" s="8" t="s">
        <v>52</v>
      </c>
      <c r="C17" s="8">
        <v>12</v>
      </c>
      <c r="D17" s="8" t="s">
        <v>60</v>
      </c>
      <c r="F17" s="8">
        <v>2.14</v>
      </c>
      <c r="H17" s="8"/>
      <c r="J17">
        <f>80+80+60+64+69+221</f>
        <v>574</v>
      </c>
      <c r="K17">
        <v>6</v>
      </c>
      <c r="L17">
        <v>221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-21.856908999999995</v>
      </c>
      <c r="P17" t="str">
        <f>IF(O17&lt;0," ",O17)</f>
        <v xml:space="preserve"> </v>
      </c>
      <c r="S17">
        <f>3.14159*((F17/2)^2)</f>
        <v>3.5968063909999999</v>
      </c>
    </row>
    <row r="18" spans="1:19">
      <c r="A18" s="9">
        <v>42753</v>
      </c>
      <c r="B18" s="8" t="s">
        <v>52</v>
      </c>
      <c r="C18" s="8">
        <v>12</v>
      </c>
      <c r="D18" s="8" t="s">
        <v>60</v>
      </c>
      <c r="F18" s="8">
        <v>0.8</v>
      </c>
      <c r="J18">
        <f>19+21+26</f>
        <v>66</v>
      </c>
      <c r="K18">
        <v>3</v>
      </c>
      <c r="L18">
        <v>26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10.325384999999997</v>
      </c>
      <c r="P18">
        <f>IF(O18&lt;0," ",O18)</f>
        <v>10.325384999999997</v>
      </c>
      <c r="S18">
        <f>3.14159*((F18/2)^2)</f>
        <v>0.50265440000000006</v>
      </c>
    </row>
    <row r="19" spans="1:19">
      <c r="A19" s="9">
        <v>42753</v>
      </c>
      <c r="B19" s="8" t="s">
        <v>52</v>
      </c>
      <c r="C19" s="8">
        <v>12</v>
      </c>
      <c r="D19" s="8" t="s">
        <v>60</v>
      </c>
      <c r="F19" s="8">
        <v>1.26</v>
      </c>
      <c r="H19" s="8"/>
      <c r="J19">
        <f>32+35+81</f>
        <v>148</v>
      </c>
      <c r="K19">
        <v>3</v>
      </c>
      <c r="L19">
        <v>81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1.4448199999999964</v>
      </c>
      <c r="P19">
        <f>IF(O19&lt;0," ",O19)</f>
        <v>1.4448199999999964</v>
      </c>
      <c r="S19">
        <f>3.14159*((F19/2)^2)</f>
        <v>1.246897071</v>
      </c>
    </row>
    <row r="20" spans="1:19">
      <c r="A20" s="9">
        <v>42753</v>
      </c>
      <c r="B20" s="8" t="s">
        <v>52</v>
      </c>
      <c r="C20" s="8">
        <v>12</v>
      </c>
      <c r="D20" s="8" t="s">
        <v>60</v>
      </c>
      <c r="F20" s="8">
        <v>1.05</v>
      </c>
      <c r="J20">
        <f>29+38+50+50</f>
        <v>167</v>
      </c>
      <c r="K20">
        <v>4</v>
      </c>
      <c r="L20">
        <v>50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5.5424069999999972</v>
      </c>
      <c r="P20">
        <f>IF(O20&lt;0," ",O20)</f>
        <v>5.5424069999999972</v>
      </c>
      <c r="S20">
        <f>3.14159*((F20/2)^2)</f>
        <v>0.86590074375000003</v>
      </c>
    </row>
    <row r="21" spans="1:19">
      <c r="A21" s="9">
        <v>42753</v>
      </c>
      <c r="B21" s="8" t="s">
        <v>52</v>
      </c>
      <c r="C21" s="8">
        <v>12</v>
      </c>
      <c r="D21" s="8" t="s">
        <v>60</v>
      </c>
      <c r="F21" s="8">
        <v>5.05</v>
      </c>
      <c r="J21">
        <f>236+263+272+307+310+323</f>
        <v>1711</v>
      </c>
      <c r="K21">
        <v>6</v>
      </c>
      <c r="L21">
        <v>323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54.015536000000004</v>
      </c>
      <c r="P21">
        <f>IF(O21&lt;0," ",O21)</f>
        <v>54.015536000000004</v>
      </c>
      <c r="S21">
        <f>3.14159*((F21/2)^2)</f>
        <v>20.029599743749998</v>
      </c>
    </row>
    <row r="22" spans="1:19">
      <c r="A22" s="9">
        <v>42753</v>
      </c>
      <c r="B22" s="8" t="s">
        <v>52</v>
      </c>
      <c r="C22" s="8">
        <v>5</v>
      </c>
      <c r="D22" s="8" t="s">
        <v>60</v>
      </c>
      <c r="F22" s="8">
        <v>2.87</v>
      </c>
      <c r="J22">
        <f>151+154+165+178+218</f>
        <v>866</v>
      </c>
      <c r="K22">
        <v>5</v>
      </c>
      <c r="L22">
        <v>218</v>
      </c>
      <c r="M22" t="s">
        <v>63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13.445639000000014</v>
      </c>
      <c r="P22">
        <f>IF(O22&lt;0," ",O22)</f>
        <v>13.445639000000014</v>
      </c>
      <c r="S22">
        <f>3.14159*((F22/2)^2)</f>
        <v>6.4692406677500003</v>
      </c>
    </row>
    <row r="23" spans="1:19">
      <c r="A23" s="9">
        <v>42753</v>
      </c>
      <c r="B23" s="8" t="s">
        <v>52</v>
      </c>
      <c r="C23" s="8">
        <v>5</v>
      </c>
      <c r="D23" s="8" t="s">
        <v>60</v>
      </c>
      <c r="F23" s="8">
        <v>0.83</v>
      </c>
      <c r="J23">
        <f>23+33+40</f>
        <v>96</v>
      </c>
      <c r="K23">
        <v>3</v>
      </c>
      <c r="L23">
        <v>40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8.9206049999999948</v>
      </c>
      <c r="P23">
        <f>IF(O23&lt;0," ",O23)</f>
        <v>8.9206049999999948</v>
      </c>
      <c r="S23">
        <f>3.14159*((F23/2)^2)</f>
        <v>0.54106033774999995</v>
      </c>
    </row>
    <row r="24" spans="1:19">
      <c r="A24" s="9">
        <v>42753</v>
      </c>
      <c r="B24" s="8" t="s">
        <v>52</v>
      </c>
      <c r="C24" s="8">
        <v>5</v>
      </c>
      <c r="D24" s="8" t="s">
        <v>60</v>
      </c>
      <c r="F24" s="8">
        <v>0.48</v>
      </c>
      <c r="J24">
        <f>18+20</f>
        <v>38</v>
      </c>
      <c r="K24">
        <v>2</v>
      </c>
      <c r="L24">
        <v>20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16.530067999999996</v>
      </c>
      <c r="P24">
        <f>IF(O24&lt;0," ",O24)</f>
        <v>16.530067999999996</v>
      </c>
      <c r="S24">
        <f>3.14159*((F24/2)^2)</f>
        <v>0.18095558399999997</v>
      </c>
    </row>
    <row r="25" spans="1:19">
      <c r="A25" s="9">
        <v>42753</v>
      </c>
      <c r="B25" s="8" t="s">
        <v>52</v>
      </c>
      <c r="C25" s="8">
        <v>5</v>
      </c>
      <c r="D25" s="8" t="s">
        <v>60</v>
      </c>
      <c r="F25" s="8">
        <v>0.83</v>
      </c>
      <c r="J25">
        <f>14+24+36+40+51</f>
        <v>165</v>
      </c>
      <c r="K25">
        <v>5</v>
      </c>
      <c r="L25">
        <v>51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-1.9687010000000029</v>
      </c>
      <c r="P25" t="str">
        <f>IF(O25&lt;0," ",O25)</f>
        <v xml:space="preserve"> </v>
      </c>
      <c r="S25">
        <f>3.14159*((F25/2)^2)</f>
        <v>0.54106033774999995</v>
      </c>
    </row>
    <row r="26" spans="1:19">
      <c r="A26" s="9">
        <v>42758</v>
      </c>
      <c r="B26" s="8" t="s">
        <v>18</v>
      </c>
      <c r="C26" s="8">
        <v>40</v>
      </c>
      <c r="D26" s="8" t="s">
        <v>64</v>
      </c>
      <c r="F26" s="8">
        <v>0.96</v>
      </c>
      <c r="J26" s="8">
        <v>42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-4.5905969999999998</v>
      </c>
      <c r="P26" t="str">
        <f>IF(O26&lt;0," ",O26)</f>
        <v xml:space="preserve"> </v>
      </c>
      <c r="S26">
        <f>3.14159*((F26/2)^2)</f>
        <v>0.7238223359999999</v>
      </c>
    </row>
    <row r="27" spans="1:19">
      <c r="A27" s="9">
        <v>42758</v>
      </c>
      <c r="B27" s="8" t="s">
        <v>18</v>
      </c>
      <c r="C27" s="8">
        <v>40</v>
      </c>
      <c r="D27" s="8" t="s">
        <v>64</v>
      </c>
      <c r="F27" s="8">
        <v>1.8</v>
      </c>
      <c r="J27" s="8">
        <v>230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-4.5905969999999998</v>
      </c>
      <c r="P27" t="str">
        <f>IF(O27&lt;0," ",O27)</f>
        <v xml:space="preserve"> </v>
      </c>
      <c r="S27">
        <f>3.14159*((F27/2)^2)</f>
        <v>2.5446879</v>
      </c>
    </row>
    <row r="28" spans="1:19">
      <c r="A28" s="9">
        <v>42758</v>
      </c>
      <c r="B28" s="8" t="s">
        <v>18</v>
      </c>
      <c r="C28" s="8">
        <v>40</v>
      </c>
      <c r="D28" s="8" t="s">
        <v>64</v>
      </c>
      <c r="F28" s="8">
        <v>1.7</v>
      </c>
      <c r="J28" s="8">
        <v>370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-4.5905969999999998</v>
      </c>
      <c r="P28" t="str">
        <f>IF(O28&lt;0," ",O28)</f>
        <v xml:space="preserve"> </v>
      </c>
      <c r="S28">
        <f>3.14159*((F28/2)^2)</f>
        <v>2.2697987749999995</v>
      </c>
    </row>
    <row r="29" spans="1:19">
      <c r="A29" s="9">
        <v>42758</v>
      </c>
      <c r="B29" s="8" t="s">
        <v>18</v>
      </c>
      <c r="C29" s="8">
        <v>40</v>
      </c>
      <c r="D29" s="8" t="s">
        <v>64</v>
      </c>
      <c r="F29" s="8">
        <v>0.92</v>
      </c>
      <c r="J29" s="8">
        <v>73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-4.5905969999999998</v>
      </c>
      <c r="P29" t="str">
        <f>IF(O29&lt;0," ",O29)</f>
        <v xml:space="preserve"> </v>
      </c>
      <c r="S29">
        <f>3.14159*((F29/2)^2)</f>
        <v>0.66476044400000001</v>
      </c>
    </row>
    <row r="30" spans="1:19">
      <c r="A30" s="9">
        <v>42758</v>
      </c>
      <c r="B30" s="8" t="s">
        <v>18</v>
      </c>
      <c r="C30" s="8">
        <v>40</v>
      </c>
      <c r="D30" s="8" t="s">
        <v>64</v>
      </c>
      <c r="F30" s="8">
        <v>1.72</v>
      </c>
      <c r="J30" s="8">
        <v>209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-4.5905969999999998</v>
      </c>
      <c r="P30" t="str">
        <f>IF(O30&lt;0," ",O30)</f>
        <v xml:space="preserve"> </v>
      </c>
      <c r="S30">
        <f>3.14159*((F30/2)^2)</f>
        <v>2.3235199639999995</v>
      </c>
    </row>
    <row r="31" spans="1:19">
      <c r="A31" s="9">
        <v>42758</v>
      </c>
      <c r="B31" s="8" t="s">
        <v>18</v>
      </c>
      <c r="C31" s="8">
        <v>40</v>
      </c>
      <c r="D31" s="8" t="s">
        <v>64</v>
      </c>
      <c r="F31" s="8">
        <v>1.65</v>
      </c>
      <c r="J31" s="8">
        <v>295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-4.5905969999999998</v>
      </c>
      <c r="P31" t="str">
        <f>IF(O31&lt;0," ",O31)</f>
        <v xml:space="preserve"> </v>
      </c>
      <c r="S31">
        <f>3.14159*((F31/2)^2)</f>
        <v>2.1382446937499995</v>
      </c>
    </row>
    <row r="32" spans="1:19">
      <c r="A32" s="9">
        <v>42758</v>
      </c>
      <c r="B32" s="8" t="s">
        <v>18</v>
      </c>
      <c r="C32" s="8">
        <v>40</v>
      </c>
      <c r="D32" s="8" t="s">
        <v>64</v>
      </c>
      <c r="F32" s="8">
        <v>1.1200000000000001</v>
      </c>
      <c r="J32" s="8">
        <v>181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-4.5905969999999998</v>
      </c>
      <c r="P32" t="str">
        <f>IF(O32&lt;0," ",O32)</f>
        <v xml:space="preserve"> </v>
      </c>
      <c r="S32">
        <f>3.14159*((F32/2)^2)</f>
        <v>0.98520262400000014</v>
      </c>
    </row>
    <row r="33" spans="1:19">
      <c r="A33" s="9">
        <v>42758</v>
      </c>
      <c r="B33" s="8" t="s">
        <v>18</v>
      </c>
      <c r="C33" s="8">
        <v>40</v>
      </c>
      <c r="D33" s="8" t="s">
        <v>64</v>
      </c>
      <c r="F33" s="8">
        <v>1.42</v>
      </c>
      <c r="J33" s="8">
        <v>350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-4.5905969999999998</v>
      </c>
      <c r="P33" t="str">
        <f>IF(O33&lt;0," ",O33)</f>
        <v xml:space="preserve"> </v>
      </c>
      <c r="S33">
        <f>3.14159*((F33/2)^2)</f>
        <v>1.5836755189999998</v>
      </c>
    </row>
    <row r="34" spans="1:19">
      <c r="A34" s="9">
        <v>42758</v>
      </c>
      <c r="B34" s="8" t="s">
        <v>18</v>
      </c>
      <c r="C34" s="8">
        <v>40</v>
      </c>
      <c r="D34" s="8" t="s">
        <v>60</v>
      </c>
      <c r="F34" s="8">
        <v>0.8</v>
      </c>
      <c r="J34" s="8">
        <f>15+18+19</f>
        <v>52</v>
      </c>
      <c r="K34">
        <v>3</v>
      </c>
      <c r="L34">
        <v>19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11.121529999999996</v>
      </c>
      <c r="P34">
        <f>IF(O34&lt;0," ",O34)</f>
        <v>11.121529999999996</v>
      </c>
      <c r="S34">
        <f>3.14159*((F34/2)^2)</f>
        <v>0.50265440000000006</v>
      </c>
    </row>
    <row r="35" spans="1:19">
      <c r="A35" s="9">
        <v>42758</v>
      </c>
      <c r="B35" s="8" t="s">
        <v>18</v>
      </c>
      <c r="C35" s="8">
        <v>40</v>
      </c>
      <c r="D35" s="8" t="s">
        <v>60</v>
      </c>
      <c r="F35" s="8">
        <v>0.76</v>
      </c>
      <c r="J35" s="8">
        <f>32+41+47</f>
        <v>120</v>
      </c>
      <c r="K35">
        <v>3</v>
      </c>
      <c r="L35">
        <v>47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9.0620099999999972</v>
      </c>
      <c r="P35">
        <f>IF(O35&lt;0," ",O35)</f>
        <v>9.0620099999999972</v>
      </c>
      <c r="S35">
        <f>3.14159*((F35/2)^2)</f>
        <v>0.45364559599999998</v>
      </c>
    </row>
    <row r="36" spans="1:19">
      <c r="A36" s="9">
        <v>42758</v>
      </c>
      <c r="B36" s="8" t="s">
        <v>18</v>
      </c>
      <c r="C36" s="8">
        <v>40</v>
      </c>
      <c r="D36" s="8" t="s">
        <v>60</v>
      </c>
      <c r="F36" s="8">
        <v>0.92</v>
      </c>
      <c r="J36" s="8">
        <v>20</v>
      </c>
      <c r="K36">
        <v>2</v>
      </c>
      <c r="L36">
        <v>11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17.553682999999996</v>
      </c>
      <c r="P36">
        <f>IF(O36&lt;0," ",O36)</f>
        <v>17.553682999999996</v>
      </c>
      <c r="S36">
        <f>3.14159*((F36/2)^2)</f>
        <v>0.66476044400000001</v>
      </c>
    </row>
    <row r="37" spans="1:19">
      <c r="A37" s="9">
        <v>42758</v>
      </c>
      <c r="B37" s="8" t="s">
        <v>18</v>
      </c>
      <c r="C37" s="8">
        <v>33</v>
      </c>
      <c r="D37" s="8" t="s">
        <v>66</v>
      </c>
      <c r="F37" s="8">
        <v>1.36</v>
      </c>
      <c r="J37" s="8">
        <v>190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-4.5905969999999998</v>
      </c>
      <c r="P37" t="str">
        <f>IF(O37&lt;0," ",O37)</f>
        <v xml:space="preserve"> </v>
      </c>
      <c r="S37">
        <f>3.14159*((F37/2)^2)</f>
        <v>1.4526712160000002</v>
      </c>
    </row>
    <row r="38" spans="1:19">
      <c r="A38" s="9">
        <v>42758</v>
      </c>
      <c r="B38" s="8" t="s">
        <v>18</v>
      </c>
      <c r="C38" s="8">
        <v>33</v>
      </c>
      <c r="D38" s="8" t="s">
        <v>66</v>
      </c>
      <c r="F38" s="8">
        <v>0.54</v>
      </c>
      <c r="J38" s="8">
        <v>90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-4.5905969999999998</v>
      </c>
      <c r="P38" t="str">
        <f>IF(O38&lt;0," ",O38)</f>
        <v xml:space="preserve"> </v>
      </c>
      <c r="S38">
        <f>3.14159*((F38/2)^2)</f>
        <v>0.22902191100000002</v>
      </c>
    </row>
    <row r="39" spans="1:19">
      <c r="A39" s="9">
        <v>42758</v>
      </c>
      <c r="B39" s="8" t="s">
        <v>18</v>
      </c>
      <c r="C39" s="8">
        <v>33</v>
      </c>
      <c r="D39" s="8" t="s">
        <v>66</v>
      </c>
      <c r="F39" s="8">
        <v>0.8</v>
      </c>
      <c r="J39" s="8">
        <v>73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-4.5905969999999998</v>
      </c>
      <c r="P39" t="str">
        <f>IF(O39&lt;0," ",O39)</f>
        <v xml:space="preserve"> </v>
      </c>
      <c r="S39">
        <f>3.14159*((F39/2)^2)</f>
        <v>0.50265440000000006</v>
      </c>
    </row>
    <row r="40" spans="1:19">
      <c r="A40" s="9">
        <v>42758</v>
      </c>
      <c r="B40" s="8" t="s">
        <v>18</v>
      </c>
      <c r="C40" s="8">
        <v>33</v>
      </c>
      <c r="D40" s="8" t="s">
        <v>66</v>
      </c>
      <c r="F40" s="8">
        <v>1</v>
      </c>
      <c r="J40" s="8">
        <v>124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-4.5905969999999998</v>
      </c>
      <c r="P40" t="str">
        <f>IF(O40&lt;0," ",O40)</f>
        <v xml:space="preserve"> </v>
      </c>
      <c r="S40">
        <f>3.14159*((F40/2)^2)</f>
        <v>0.78539749999999997</v>
      </c>
    </row>
    <row r="41" spans="1:19">
      <c r="A41" s="9">
        <v>42758</v>
      </c>
      <c r="B41" s="8" t="s">
        <v>18</v>
      </c>
      <c r="C41" s="8">
        <v>33</v>
      </c>
      <c r="D41" s="8" t="s">
        <v>66</v>
      </c>
      <c r="F41" s="8">
        <v>0.74</v>
      </c>
      <c r="J41" s="8">
        <v>91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-4.5905969999999998</v>
      </c>
      <c r="P41" t="str">
        <f>IF(O41&lt;0," ",O41)</f>
        <v xml:space="preserve"> </v>
      </c>
      <c r="S41">
        <f>3.14159*((F41/2)^2)</f>
        <v>0.43008367099999995</v>
      </c>
    </row>
    <row r="42" spans="1:19">
      <c r="A42" s="9">
        <v>42758</v>
      </c>
      <c r="B42" s="8" t="s">
        <v>18</v>
      </c>
      <c r="C42" s="8">
        <v>26</v>
      </c>
      <c r="D42" s="8" t="s">
        <v>65</v>
      </c>
      <c r="F42" s="8" t="s">
        <v>65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0</v>
      </c>
      <c r="P42">
        <f>IF(O42&lt;0," ",O42)</f>
        <v>0</v>
      </c>
      <c r="S42" t="e">
        <f>3.14159*((F42/2)^2)</f>
        <v>#VALUE!</v>
      </c>
    </row>
    <row r="43" spans="1:19">
      <c r="A43" s="9">
        <v>42758</v>
      </c>
      <c r="B43" s="8" t="s">
        <v>18</v>
      </c>
      <c r="C43" s="8">
        <v>23</v>
      </c>
      <c r="D43" s="8" t="s">
        <v>60</v>
      </c>
      <c r="F43" s="8">
        <v>1.68</v>
      </c>
      <c r="J43" s="8">
        <f>26+51+54+74</f>
        <v>205</v>
      </c>
      <c r="K43">
        <v>4</v>
      </c>
      <c r="L43">
        <v>74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1.8752169999999992</v>
      </c>
      <c r="P43">
        <f>IF(O43&lt;0," ",O43)</f>
        <v>1.8752169999999992</v>
      </c>
      <c r="S43">
        <f>3.14159*((F43/2)^2)</f>
        <v>2.2167059039999994</v>
      </c>
    </row>
    <row r="44" spans="1:19">
      <c r="A44" s="9">
        <v>42758</v>
      </c>
      <c r="B44" s="8" t="s">
        <v>18</v>
      </c>
      <c r="C44" s="8">
        <v>23</v>
      </c>
      <c r="D44" s="8" t="s">
        <v>60</v>
      </c>
      <c r="F44" s="8">
        <v>1.06</v>
      </c>
      <c r="J44">
        <f>30+49+65+81</f>
        <v>225</v>
      </c>
      <c r="K44">
        <v>4</v>
      </c>
      <c r="L44">
        <v>81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1.6416019999999989</v>
      </c>
      <c r="P44">
        <f>IF(O44&lt;0," ",O44)</f>
        <v>1.6416019999999989</v>
      </c>
      <c r="S44">
        <f>3.14159*((F44/2)^2)</f>
        <v>0.88247263100000006</v>
      </c>
    </row>
    <row r="45" spans="1:19">
      <c r="A45" s="9">
        <v>42758</v>
      </c>
      <c r="B45" s="8" t="s">
        <v>18</v>
      </c>
      <c r="C45" s="8">
        <v>23</v>
      </c>
      <c r="D45" s="8" t="s">
        <v>60</v>
      </c>
      <c r="F45" s="8">
        <v>2.15</v>
      </c>
      <c r="J45">
        <f>212+234+242</f>
        <v>688</v>
      </c>
      <c r="K45">
        <v>3</v>
      </c>
      <c r="L45">
        <v>242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3.572074999999991</v>
      </c>
      <c r="P45">
        <f>IF(O45&lt;0," ",O45)</f>
        <v>3.572074999999991</v>
      </c>
      <c r="S45">
        <f>3.14159*((F45/2)^2)</f>
        <v>3.6304999437499994</v>
      </c>
    </row>
    <row r="46" spans="1:19">
      <c r="A46" s="9">
        <v>42758</v>
      </c>
      <c r="B46" s="8" t="s">
        <v>18</v>
      </c>
      <c r="C46" s="8">
        <v>23</v>
      </c>
      <c r="D46" s="8" t="s">
        <v>60</v>
      </c>
      <c r="F46" s="8">
        <v>1.61</v>
      </c>
      <c r="J46">
        <f>158</f>
        <v>158</v>
      </c>
      <c r="K46">
        <v>1</v>
      </c>
      <c r="L46">
        <v>158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-6.7687889999999982</v>
      </c>
      <c r="P46" t="str">
        <f>IF(O46&lt;0," ",O46)</f>
        <v xml:space="preserve"> </v>
      </c>
      <c r="S46">
        <f>3.14159*((F46/2)^2)</f>
        <v>2.0358288597500001</v>
      </c>
    </row>
    <row r="47" spans="1:19">
      <c r="A47" s="9">
        <v>42758</v>
      </c>
      <c r="B47" s="8" t="s">
        <v>18</v>
      </c>
      <c r="C47" s="8">
        <v>4</v>
      </c>
      <c r="D47" s="8" t="s">
        <v>66</v>
      </c>
      <c r="F47" s="8">
        <v>0.62</v>
      </c>
      <c r="J47">
        <f>20</f>
        <v>20</v>
      </c>
      <c r="L47">
        <v>20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-4.5905969999999998</v>
      </c>
      <c r="P47" t="str">
        <f>IF(O47&lt;0," ",O47)</f>
        <v xml:space="preserve"> </v>
      </c>
      <c r="S47">
        <f>3.14159*((F47/2)^2)</f>
        <v>0.301906799</v>
      </c>
    </row>
    <row r="48" spans="1:19">
      <c r="A48" s="9">
        <v>42758</v>
      </c>
      <c r="B48" s="8" t="s">
        <v>18</v>
      </c>
      <c r="C48" s="8">
        <v>4</v>
      </c>
      <c r="D48" s="8" t="s">
        <v>60</v>
      </c>
      <c r="F48" s="8">
        <v>3.77</v>
      </c>
      <c r="J48">
        <f>63+121+188+188+191+212+220</f>
        <v>1183</v>
      </c>
      <c r="K48">
        <v>7</v>
      </c>
      <c r="L48">
        <v>220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28.518778000000005</v>
      </c>
      <c r="P48">
        <f>IF(O48&lt;0," ",O48)</f>
        <v>28.518778000000005</v>
      </c>
      <c r="S48">
        <f>3.14159*((F48/2)^2)</f>
        <v>11.16277612775</v>
      </c>
    </row>
    <row r="49" spans="1:19">
      <c r="A49" s="9">
        <v>42758</v>
      </c>
      <c r="B49" s="8" t="s">
        <v>18</v>
      </c>
      <c r="C49" s="8">
        <v>4</v>
      </c>
      <c r="D49" s="8" t="s">
        <v>60</v>
      </c>
      <c r="F49" s="8">
        <v>2.94</v>
      </c>
      <c r="J49">
        <f>36+42+42+100</f>
        <v>220</v>
      </c>
      <c r="K49">
        <v>4</v>
      </c>
      <c r="L49">
        <v>100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-4.5508280000000028</v>
      </c>
      <c r="P49" t="str">
        <f>IF(O49&lt;0," ",O49)</f>
        <v xml:space="preserve"> </v>
      </c>
      <c r="S49">
        <f>3.14159*((F49/2)^2)</f>
        <v>6.7886618309999989</v>
      </c>
    </row>
    <row r="50" spans="1:19">
      <c r="A50" s="9">
        <v>42758</v>
      </c>
      <c r="B50" s="8" t="s">
        <v>18</v>
      </c>
      <c r="C50" s="8">
        <v>4</v>
      </c>
      <c r="D50" s="8" t="s">
        <v>60</v>
      </c>
      <c r="F50" s="8">
        <v>0.87</v>
      </c>
      <c r="G50" s="8"/>
      <c r="H50" s="8"/>
      <c r="I50" s="8"/>
      <c r="J50">
        <f>24+79</f>
        <v>103</v>
      </c>
      <c r="K50">
        <v>2</v>
      </c>
      <c r="L50">
        <v>79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4.8506879999999981</v>
      </c>
      <c r="P50">
        <f>IF(O50&lt;0," ",O50)</f>
        <v>4.8506879999999981</v>
      </c>
      <c r="S50">
        <f>3.14159*((F50/2)^2)</f>
        <v>0.59446736774999998</v>
      </c>
    </row>
    <row r="51" spans="1:19">
      <c r="A51" s="9">
        <v>42758</v>
      </c>
      <c r="B51" s="8" t="s">
        <v>18</v>
      </c>
      <c r="C51" s="8">
        <v>4</v>
      </c>
      <c r="D51" s="8" t="s">
        <v>60</v>
      </c>
      <c r="F51" s="8">
        <v>1.88</v>
      </c>
      <c r="J51">
        <f>64+65+80+94+105</f>
        <v>408</v>
      </c>
      <c r="K51">
        <v>5</v>
      </c>
      <c r="L51">
        <v>105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4.5465340000000012</v>
      </c>
      <c r="P51">
        <f>IF(O51&lt;0," ",O51)</f>
        <v>4.5465340000000012</v>
      </c>
      <c r="S51">
        <f>3.14159*((F51/2)^2)</f>
        <v>2.7759089239999999</v>
      </c>
    </row>
    <row r="52" spans="1:19">
      <c r="A52" s="9">
        <v>42758</v>
      </c>
      <c r="B52" s="8" t="s">
        <v>18</v>
      </c>
      <c r="C52" s="8">
        <v>4</v>
      </c>
      <c r="D52" s="8" t="s">
        <v>60</v>
      </c>
      <c r="F52" s="8">
        <v>1.62</v>
      </c>
      <c r="G52" s="8"/>
      <c r="J52">
        <f>65+88+110</f>
        <v>263</v>
      </c>
      <c r="K52">
        <v>3</v>
      </c>
      <c r="L52">
        <v>110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3.4905399999999993</v>
      </c>
      <c r="P52">
        <f>IF(O52&lt;0," ",O52)</f>
        <v>3.4905399999999993</v>
      </c>
      <c r="S52">
        <f>3.14159*((F52/2)^2)</f>
        <v>2.0611971990000004</v>
      </c>
    </row>
    <row r="53" spans="1:19">
      <c r="A53" s="9">
        <v>42758</v>
      </c>
      <c r="B53" s="8" t="s">
        <v>18</v>
      </c>
      <c r="C53" s="8">
        <v>4</v>
      </c>
      <c r="D53" s="8" t="s">
        <v>60</v>
      </c>
      <c r="F53" s="8">
        <v>2.38</v>
      </c>
      <c r="J53">
        <f>84+159+178+217</f>
        <v>638</v>
      </c>
      <c r="K53">
        <v>4</v>
      </c>
      <c r="L53">
        <v>217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-0.60690299999999553</v>
      </c>
      <c r="P53" t="str">
        <f>IF(O53&lt;0," ",O53)</f>
        <v xml:space="preserve"> </v>
      </c>
      <c r="S53">
        <f>3.14159*((F53/2)^2)</f>
        <v>4.4488055989999999</v>
      </c>
    </row>
    <row r="54" spans="1:19">
      <c r="A54" s="9">
        <v>42758</v>
      </c>
      <c r="B54" s="8" t="s">
        <v>18</v>
      </c>
      <c r="C54" s="8">
        <v>4</v>
      </c>
      <c r="D54" s="8" t="s">
        <v>60</v>
      </c>
      <c r="F54" s="8">
        <v>1.31</v>
      </c>
      <c r="G54" s="8"/>
      <c r="J54">
        <f>34+80+105+121</f>
        <v>340</v>
      </c>
      <c r="K54">
        <v>4</v>
      </c>
      <c r="L54">
        <v>121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0.37362699999999904</v>
      </c>
      <c r="P54">
        <f>IF(O54&lt;0," ",O54)</f>
        <v>0.37362699999999904</v>
      </c>
      <c r="S54">
        <f>3.14159*((F54/2)^2)</f>
        <v>1.34782064975</v>
      </c>
    </row>
    <row r="55" spans="1:19">
      <c r="A55" s="9">
        <v>42758</v>
      </c>
      <c r="B55" s="8" t="s">
        <v>18</v>
      </c>
      <c r="C55" s="8">
        <v>4</v>
      </c>
      <c r="D55" s="8" t="s">
        <v>60</v>
      </c>
      <c r="F55" s="8">
        <v>0.53</v>
      </c>
      <c r="J55">
        <f>27+45+48</f>
        <v>120</v>
      </c>
      <c r="K55">
        <v>3</v>
      </c>
      <c r="L55">
        <v>48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8.7607649999999992</v>
      </c>
      <c r="P55">
        <f>IF(O55&lt;0," ",O55)</f>
        <v>8.7607649999999992</v>
      </c>
      <c r="S55">
        <f>3.14159*((F55/2)^2)</f>
        <v>0.22061815775000002</v>
      </c>
    </row>
    <row r="56" spans="1:19">
      <c r="A56" s="9">
        <v>42758</v>
      </c>
      <c r="B56" s="8" t="s">
        <v>18</v>
      </c>
      <c r="C56" s="8">
        <v>4</v>
      </c>
      <c r="D56" s="8" t="s">
        <v>60</v>
      </c>
      <c r="F56" s="8">
        <v>1.0900000000000001</v>
      </c>
      <c r="J56">
        <f>98+100+120+130</f>
        <v>448</v>
      </c>
      <c r="K56">
        <v>4</v>
      </c>
      <c r="L56">
        <v>130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7.7879619999999967</v>
      </c>
      <c r="P56">
        <f>IF(O56&lt;0," ",O56)</f>
        <v>7.7879619999999967</v>
      </c>
      <c r="S56">
        <f>3.14159*((F56/2)^2)</f>
        <v>0.93313076975000009</v>
      </c>
    </row>
    <row r="57" spans="1:19">
      <c r="A57" s="9">
        <v>42758</v>
      </c>
      <c r="B57" s="8" t="s">
        <v>18</v>
      </c>
      <c r="C57" s="8">
        <v>4</v>
      </c>
      <c r="D57" s="8" t="s">
        <v>60</v>
      </c>
      <c r="F57" s="8">
        <v>0.82</v>
      </c>
      <c r="J57">
        <f>23+26</f>
        <v>49</v>
      </c>
      <c r="K57">
        <v>2</v>
      </c>
      <c r="L57">
        <v>26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15.753903000000001</v>
      </c>
      <c r="P57">
        <f>IF(O57&lt;0," ",O57)</f>
        <v>15.753903000000001</v>
      </c>
      <c r="S57">
        <f>3.14159*((F57/2)^2)</f>
        <v>0.52810127899999992</v>
      </c>
    </row>
    <row r="58" spans="1:19">
      <c r="A58" s="9">
        <v>42741</v>
      </c>
      <c r="B58" s="8" t="s">
        <v>16</v>
      </c>
      <c r="C58">
        <v>47</v>
      </c>
      <c r="D58" s="8" t="s">
        <v>60</v>
      </c>
      <c r="F58" s="8">
        <v>0.6</v>
      </c>
      <c r="J58">
        <f>26+30+32</f>
        <v>88</v>
      </c>
      <c r="K58">
        <v>3</v>
      </c>
      <c r="L58">
        <v>32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10.580524999999998</v>
      </c>
      <c r="P58">
        <f>IF(O58&lt;0," ",O58)</f>
        <v>10.580524999999998</v>
      </c>
      <c r="S58">
        <f>3.14159*((F58/2)^2)</f>
        <v>0.28274309999999997</v>
      </c>
    </row>
    <row r="59" spans="1:19">
      <c r="A59" s="9">
        <v>42741</v>
      </c>
      <c r="B59" s="8" t="s">
        <v>16</v>
      </c>
      <c r="C59">
        <v>47</v>
      </c>
      <c r="D59" s="8" t="s">
        <v>60</v>
      </c>
      <c r="F59" s="8">
        <v>5.39</v>
      </c>
      <c r="J59">
        <f>103+120+190+152+169+189+220</f>
        <v>1143</v>
      </c>
      <c r="K59">
        <v>7</v>
      </c>
      <c r="L59">
        <v>220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24.768578000000012</v>
      </c>
      <c r="P59">
        <f>IF(O59&lt;0," ",O59)</f>
        <v>24.768578000000012</v>
      </c>
      <c r="S59">
        <f>3.14159*((F59/2)^2)</f>
        <v>22.817446709749994</v>
      </c>
    </row>
    <row r="60" spans="1:19">
      <c r="A60" s="9">
        <v>42741</v>
      </c>
      <c r="B60" s="8" t="s">
        <v>16</v>
      </c>
      <c r="C60">
        <v>47</v>
      </c>
      <c r="D60" s="8" t="s">
        <v>60</v>
      </c>
      <c r="F60" s="8">
        <v>0.33</v>
      </c>
      <c r="J60">
        <f>33+49+52</f>
        <v>134</v>
      </c>
      <c r="K60">
        <v>3</v>
      </c>
      <c r="L60">
        <v>52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8.8683550000000011</v>
      </c>
      <c r="P60">
        <f>IF(O60&lt;0," ",O60)</f>
        <v>8.8683550000000011</v>
      </c>
      <c r="S60">
        <f>3.14159*((F60/2)^2)</f>
        <v>8.5529787750000003E-2</v>
      </c>
    </row>
    <row r="61" spans="1:19">
      <c r="A61" s="9">
        <v>42741</v>
      </c>
      <c r="B61" s="8" t="s">
        <v>16</v>
      </c>
      <c r="C61">
        <v>47</v>
      </c>
      <c r="D61" s="8" t="s">
        <v>60</v>
      </c>
      <c r="F61" s="8">
        <v>2.08</v>
      </c>
      <c r="J61">
        <f>66+69+75+158+183+190</f>
        <v>741</v>
      </c>
      <c r="K61">
        <v>6</v>
      </c>
      <c r="L61">
        <v>190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3.1387710000000126</v>
      </c>
      <c r="P61">
        <f>IF(O61&lt;0," ",O61)</f>
        <v>3.1387710000000126</v>
      </c>
      <c r="S61">
        <f>3.14159*((F61/2)^2)</f>
        <v>3.3979437440000004</v>
      </c>
    </row>
    <row r="62" spans="1:19">
      <c r="A62" s="9">
        <v>42741</v>
      </c>
      <c r="B62" s="8" t="s">
        <v>16</v>
      </c>
      <c r="C62">
        <v>47</v>
      </c>
      <c r="D62" s="8" t="s">
        <v>60</v>
      </c>
      <c r="F62" s="8">
        <v>1.37</v>
      </c>
      <c r="J62">
        <f>41+81+104+130+130</f>
        <v>486</v>
      </c>
      <c r="K62">
        <v>5</v>
      </c>
      <c r="L62">
        <v>130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4.3282990000000012</v>
      </c>
      <c r="P62">
        <f>IF(O62&lt;0," ",O62)</f>
        <v>4.3282990000000012</v>
      </c>
      <c r="S62">
        <f>3.14159*((F62/2)^2)</f>
        <v>1.4741125677500002</v>
      </c>
    </row>
    <row r="63" spans="1:19">
      <c r="A63" s="9">
        <v>42741</v>
      </c>
      <c r="B63" s="8" t="s">
        <v>16</v>
      </c>
      <c r="C63" s="8">
        <v>40</v>
      </c>
      <c r="D63" s="8" t="s">
        <v>60</v>
      </c>
      <c r="F63" s="8">
        <v>1.84</v>
      </c>
      <c r="G63" s="8"/>
      <c r="I63" s="8"/>
      <c r="J63">
        <f>54+120+141+210</f>
        <v>525</v>
      </c>
      <c r="K63">
        <v>4</v>
      </c>
      <c r="L63">
        <v>210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-9.0925030000000007</v>
      </c>
      <c r="P63" t="str">
        <f>IF(O63&lt;0," ",O63)</f>
        <v xml:space="preserve"> </v>
      </c>
      <c r="S63">
        <f>3.14159*((F63/2)^2)</f>
        <v>2.659041776</v>
      </c>
    </row>
    <row r="64" spans="1:19">
      <c r="A64" s="9">
        <v>42741</v>
      </c>
      <c r="B64" s="8" t="s">
        <v>16</v>
      </c>
      <c r="C64" s="8">
        <v>40</v>
      </c>
      <c r="D64" s="8" t="s">
        <v>60</v>
      </c>
      <c r="F64" s="8">
        <v>1.76</v>
      </c>
      <c r="G64" s="8"/>
      <c r="J64">
        <f>40+103+122+139+157+161</f>
        <v>722</v>
      </c>
      <c r="K64">
        <v>6</v>
      </c>
      <c r="L64">
        <v>161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10.093531000000006</v>
      </c>
      <c r="P64">
        <f>IF(O64&lt;0," ",O64)</f>
        <v>10.093531000000006</v>
      </c>
      <c r="S64">
        <f>3.14159*((F64/2)^2)</f>
        <v>2.4328472959999998</v>
      </c>
    </row>
    <row r="65" spans="1:19">
      <c r="A65" s="9">
        <v>42741</v>
      </c>
      <c r="B65" s="8" t="s">
        <v>16</v>
      </c>
      <c r="C65" s="8">
        <v>40</v>
      </c>
      <c r="D65" s="8" t="s">
        <v>60</v>
      </c>
      <c r="F65" s="8">
        <v>1.77</v>
      </c>
      <c r="G65" s="8"/>
      <c r="J65">
        <f>79+87+143+136</f>
        <v>445</v>
      </c>
      <c r="K65">
        <v>4</v>
      </c>
      <c r="L65">
        <v>143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3.5905120000000004</v>
      </c>
      <c r="P65">
        <f>IF(O65&lt;0," ",O65)</f>
        <v>3.5905120000000004</v>
      </c>
      <c r="S65">
        <f>3.14159*((F65/2)^2)</f>
        <v>2.4605718277499999</v>
      </c>
    </row>
    <row r="66" spans="1:19">
      <c r="A66" s="9">
        <v>42741</v>
      </c>
      <c r="B66" s="8" t="s">
        <v>16</v>
      </c>
      <c r="C66" s="8">
        <v>40</v>
      </c>
      <c r="D66" s="8" t="s">
        <v>60</v>
      </c>
      <c r="F66" s="8">
        <v>2.2000000000000002</v>
      </c>
      <c r="J66">
        <f>178+183</f>
        <v>361</v>
      </c>
      <c r="K66">
        <v>2</v>
      </c>
      <c r="L66">
        <v>183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-2.2900019999999941</v>
      </c>
      <c r="P66" t="str">
        <f>IF(O66&lt;0," ",O66)</f>
        <v xml:space="preserve"> </v>
      </c>
      <c r="S66">
        <f>3.14159*((F66/2)^2)</f>
        <v>3.8013239000000003</v>
      </c>
    </row>
    <row r="67" spans="1:19">
      <c r="A67" s="9">
        <v>42741</v>
      </c>
      <c r="B67" s="8" t="s">
        <v>16</v>
      </c>
      <c r="C67" s="8">
        <v>40</v>
      </c>
      <c r="D67" s="8" t="s">
        <v>60</v>
      </c>
      <c r="F67" s="8">
        <v>2.27</v>
      </c>
      <c r="J67">
        <f>36+53+80+211+228</f>
        <v>608</v>
      </c>
      <c r="K67">
        <v>5</v>
      </c>
      <c r="L67">
        <v>228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-13.755600999999992</v>
      </c>
      <c r="P67" t="str">
        <f>IF(O67&lt;0," ",O67)</f>
        <v xml:space="preserve"> </v>
      </c>
      <c r="S67">
        <f>3.14159*((F67/2)^2)</f>
        <v>4.0470747777499998</v>
      </c>
    </row>
    <row r="68" spans="1:19">
      <c r="A68" s="9">
        <v>42741</v>
      </c>
      <c r="B68" s="8" t="s">
        <v>16</v>
      </c>
      <c r="C68" s="8">
        <v>40</v>
      </c>
      <c r="D68" s="8" t="s">
        <v>60</v>
      </c>
      <c r="F68" s="8">
        <v>1.91</v>
      </c>
      <c r="G68" s="8"/>
      <c r="J68">
        <f>25+27</f>
        <v>52</v>
      </c>
      <c r="K68">
        <v>2</v>
      </c>
      <c r="L68">
        <v>27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15.733922999999997</v>
      </c>
      <c r="P68">
        <f>IF(O68&lt;0," ",O68)</f>
        <v>15.733922999999997</v>
      </c>
      <c r="S68">
        <f>3.14159*((F68/2)^2)</f>
        <v>2.8652086197499997</v>
      </c>
    </row>
    <row r="69" spans="1:19">
      <c r="A69" s="9">
        <v>42741</v>
      </c>
      <c r="B69" s="8" t="s">
        <v>16</v>
      </c>
      <c r="C69" s="8">
        <v>40</v>
      </c>
      <c r="D69" s="8" t="s">
        <v>60</v>
      </c>
      <c r="F69" s="8">
        <v>0.55000000000000004</v>
      </c>
      <c r="G69" s="8"/>
      <c r="J69">
        <f>22+23</f>
        <v>45</v>
      </c>
      <c r="K69">
        <v>2</v>
      </c>
      <c r="L69">
        <v>23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16.282617999999999</v>
      </c>
      <c r="P69">
        <f>IF(O69&lt;0," ",O69)</f>
        <v>16.282617999999999</v>
      </c>
      <c r="S69">
        <f>3.14159*((F69/2)^2)</f>
        <v>0.23758274375000002</v>
      </c>
    </row>
    <row r="70" spans="1:19">
      <c r="A70" s="9">
        <v>42741</v>
      </c>
      <c r="B70" s="8" t="s">
        <v>16</v>
      </c>
      <c r="C70" s="8">
        <v>40</v>
      </c>
      <c r="D70" s="8" t="s">
        <v>60</v>
      </c>
      <c r="F70" s="8">
        <v>0.71</v>
      </c>
      <c r="G70" s="8"/>
      <c r="J70">
        <f>20+21+31</f>
        <v>72</v>
      </c>
      <c r="K70">
        <v>3</v>
      </c>
      <c r="L70">
        <v>31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9.381689999999999</v>
      </c>
      <c r="P70">
        <f>IF(O70&lt;0," ",O70)</f>
        <v>9.381689999999999</v>
      </c>
      <c r="S70">
        <f>3.14159*((F70/2)^2)</f>
        <v>0.39591887974999995</v>
      </c>
    </row>
    <row r="71" spans="1:19">
      <c r="A71" s="9">
        <v>42741</v>
      </c>
      <c r="B71" s="8" t="s">
        <v>16</v>
      </c>
      <c r="C71" s="8">
        <v>40</v>
      </c>
      <c r="D71" s="8" t="s">
        <v>60</v>
      </c>
      <c r="F71" s="8">
        <v>1.0900000000000001</v>
      </c>
      <c r="J71">
        <f>17+18</f>
        <v>35</v>
      </c>
      <c r="K71">
        <v>2</v>
      </c>
      <c r="L71">
        <v>18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16.851292999999998</v>
      </c>
      <c r="P71">
        <f>IF(O71&lt;0," ",O71)</f>
        <v>16.851292999999998</v>
      </c>
      <c r="S71">
        <f>3.14159*((F71/2)^2)</f>
        <v>0.93313076975000009</v>
      </c>
    </row>
    <row r="72" spans="1:19">
      <c r="A72" s="9">
        <v>42741</v>
      </c>
      <c r="B72" s="8" t="s">
        <v>16</v>
      </c>
      <c r="C72" s="8">
        <v>28</v>
      </c>
      <c r="D72" s="8" t="s">
        <v>60</v>
      </c>
      <c r="F72" s="8">
        <v>1.8</v>
      </c>
      <c r="G72" s="8"/>
      <c r="J72">
        <f>75+93+88</f>
        <v>256</v>
      </c>
      <c r="K72">
        <v>3</v>
      </c>
      <c r="L72">
        <v>88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9.4616449999999972</v>
      </c>
      <c r="P72">
        <f>IF(O72&lt;0," ",O72)</f>
        <v>9.4616449999999972</v>
      </c>
      <c r="S72">
        <f>3.14159*((F72/2)^2)</f>
        <v>2.5446879</v>
      </c>
    </row>
    <row r="73" spans="1:19">
      <c r="A73" s="9">
        <v>42741</v>
      </c>
      <c r="B73" s="8" t="s">
        <v>16</v>
      </c>
      <c r="C73" s="8">
        <v>28</v>
      </c>
      <c r="D73" s="8" t="s">
        <v>60</v>
      </c>
      <c r="F73" s="8">
        <v>3.86</v>
      </c>
      <c r="G73" s="8"/>
      <c r="J73">
        <f>177+200+218</f>
        <v>595</v>
      </c>
      <c r="K73">
        <v>3</v>
      </c>
      <c r="L73">
        <v>218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2.0827400000000083</v>
      </c>
      <c r="P73">
        <f>IF(O73&lt;0," ",O73)</f>
        <v>2.0827400000000083</v>
      </c>
      <c r="S73">
        <f>3.14159*((F73/2)^2)</f>
        <v>11.702108591</v>
      </c>
    </row>
    <row r="74" spans="1:19">
      <c r="A74" s="9">
        <v>42741</v>
      </c>
      <c r="B74" s="8" t="s">
        <v>16</v>
      </c>
      <c r="C74" s="8">
        <v>28</v>
      </c>
      <c r="D74" s="8" t="s">
        <v>60</v>
      </c>
      <c r="F74" s="8">
        <v>4.2699999999999996</v>
      </c>
      <c r="G74" s="8"/>
      <c r="J74">
        <f>78+189+230</f>
        <v>497</v>
      </c>
      <c r="K74">
        <v>3</v>
      </c>
      <c r="L74">
        <v>230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-10.720190000000002</v>
      </c>
      <c r="P74" t="str">
        <f>IF(O74&lt;0," ",O74)</f>
        <v xml:space="preserve"> </v>
      </c>
      <c r="S74">
        <f>3.14159*((F74/2)^2)</f>
        <v>14.320074077749997</v>
      </c>
    </row>
    <row r="75" spans="1:19">
      <c r="A75" s="9">
        <v>42741</v>
      </c>
      <c r="B75" s="8" t="s">
        <v>16</v>
      </c>
      <c r="C75" s="8">
        <v>28</v>
      </c>
      <c r="D75" s="8" t="s">
        <v>60</v>
      </c>
      <c r="F75" s="8">
        <v>1.0900000000000001</v>
      </c>
      <c r="J75">
        <f>19+25+27</f>
        <v>71</v>
      </c>
      <c r="K75">
        <v>3</v>
      </c>
      <c r="L75">
        <v>27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10.492914999999996</v>
      </c>
      <c r="P75">
        <f>IF(O75&lt;0," ",O75)</f>
        <v>10.492914999999996</v>
      </c>
      <c r="S75">
        <f>3.14159*((F75/2)^2)</f>
        <v>0.93313076975000009</v>
      </c>
    </row>
    <row r="76" spans="1:19">
      <c r="A76" s="9">
        <v>42741</v>
      </c>
      <c r="B76" s="8" t="s">
        <v>16</v>
      </c>
      <c r="C76" s="8">
        <v>28</v>
      </c>
      <c r="D76" s="8" t="s">
        <v>60</v>
      </c>
      <c r="F76" s="8">
        <v>0.91</v>
      </c>
      <c r="G76" s="8"/>
      <c r="J76">
        <f>29+32+36</f>
        <v>97</v>
      </c>
      <c r="K76">
        <v>3</v>
      </c>
      <c r="L76">
        <v>36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10.219339999999999</v>
      </c>
      <c r="P76">
        <f>IF(O76&lt;0," ",O76)</f>
        <v>10.219339999999999</v>
      </c>
      <c r="S76">
        <f>3.14159*((F76/2)^2)</f>
        <v>0.65038766975000006</v>
      </c>
    </row>
    <row r="77" spans="1:19">
      <c r="A77" s="9">
        <v>42741</v>
      </c>
      <c r="B77" s="8" t="s">
        <v>16</v>
      </c>
      <c r="C77" s="8">
        <v>28</v>
      </c>
      <c r="D77" s="8" t="s">
        <v>60</v>
      </c>
      <c r="F77" s="8">
        <v>1.02</v>
      </c>
      <c r="G77" s="8"/>
      <c r="J77">
        <f>43+67</f>
        <v>110</v>
      </c>
      <c r="K77">
        <v>2</v>
      </c>
      <c r="L77">
        <v>67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9.1219129999999993</v>
      </c>
      <c r="P77">
        <f>IF(O77&lt;0," ",O77)</f>
        <v>9.1219129999999993</v>
      </c>
      <c r="S77">
        <f>3.14159*((F77/2)^2)</f>
        <v>0.817127559</v>
      </c>
    </row>
    <row r="78" spans="1:19">
      <c r="A78" s="9">
        <v>42741</v>
      </c>
      <c r="B78" s="8" t="s">
        <v>16</v>
      </c>
      <c r="C78" s="8">
        <v>28</v>
      </c>
      <c r="D78" s="8" t="s">
        <v>60</v>
      </c>
      <c r="F78" s="8">
        <v>2.91</v>
      </c>
      <c r="G78" s="8"/>
      <c r="I78" s="8"/>
      <c r="J78" s="8">
        <f>90+109+112+121+134+151</f>
        <v>717</v>
      </c>
      <c r="K78">
        <v>6</v>
      </c>
      <c r="L78">
        <v>151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12.637205999999999</v>
      </c>
      <c r="P78">
        <f>IF(O78&lt;0," ",O78)</f>
        <v>12.637205999999999</v>
      </c>
      <c r="S78">
        <f>3.14159*((F78/2)^2)</f>
        <v>6.650824569750001</v>
      </c>
    </row>
    <row r="79" spans="1:19">
      <c r="A79" s="9">
        <v>42741</v>
      </c>
      <c r="B79" s="8" t="s">
        <v>16</v>
      </c>
      <c r="C79" s="8">
        <v>28</v>
      </c>
      <c r="D79" s="8" t="s">
        <v>60</v>
      </c>
      <c r="F79" s="8">
        <v>5.38</v>
      </c>
      <c r="G79" s="8"/>
      <c r="J79" s="8">
        <f>135+135+156+183+195+210</f>
        <v>1014</v>
      </c>
      <c r="K79">
        <v>6</v>
      </c>
      <c r="L79">
        <v>210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22.708986000000003</v>
      </c>
      <c r="P79">
        <f>IF(O79&lt;0," ",O79)</f>
        <v>22.708986000000003</v>
      </c>
      <c r="S79">
        <f>3.14159*((F79/2)^2)</f>
        <v>22.732859398999999</v>
      </c>
    </row>
    <row r="80" spans="1:19">
      <c r="A80" s="9">
        <v>42741</v>
      </c>
      <c r="B80" s="8" t="s">
        <v>16</v>
      </c>
      <c r="C80" s="8">
        <v>28</v>
      </c>
      <c r="D80" s="8" t="s">
        <v>60</v>
      </c>
      <c r="F80" s="8">
        <v>0.66</v>
      </c>
      <c r="J80">
        <f>28+35</f>
        <v>63</v>
      </c>
      <c r="K80">
        <v>2</v>
      </c>
      <c r="L80">
        <v>35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14.355267999999999</v>
      </c>
      <c r="P80">
        <f>IF(O80&lt;0," ",O80)</f>
        <v>14.355267999999999</v>
      </c>
      <c r="S80">
        <f>3.14159*((F80/2)^2)</f>
        <v>0.34211915100000001</v>
      </c>
    </row>
    <row r="81" spans="1:19">
      <c r="A81" s="9">
        <v>42741</v>
      </c>
      <c r="B81" s="8" t="s">
        <v>16</v>
      </c>
      <c r="C81" s="8">
        <v>14</v>
      </c>
      <c r="D81" s="8" t="s">
        <v>60</v>
      </c>
      <c r="F81" s="8">
        <v>8.89</v>
      </c>
      <c r="G81" s="8"/>
      <c r="I81" s="8"/>
      <c r="J81">
        <f>219+233+251+256+262+271</f>
        <v>1492</v>
      </c>
      <c r="K81">
        <v>6</v>
      </c>
      <c r="L81">
        <v>271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49.147931000000007</v>
      </c>
      <c r="P81">
        <f>IF(O81&lt;0," ",O81)</f>
        <v>49.147931000000007</v>
      </c>
      <c r="S81">
        <f>3.14159*((F81/2)^2)</f>
        <v>62.071613759750008</v>
      </c>
    </row>
    <row r="82" spans="1:19">
      <c r="A82" s="9">
        <v>42741</v>
      </c>
      <c r="B82" s="8" t="s">
        <v>16</v>
      </c>
      <c r="C82" s="8">
        <v>14</v>
      </c>
      <c r="D82" s="8" t="s">
        <v>60</v>
      </c>
      <c r="F82" s="8">
        <v>0.86</v>
      </c>
      <c r="G82" s="8"/>
      <c r="I82" s="8"/>
      <c r="J82">
        <f>29+41+41</f>
        <v>111</v>
      </c>
      <c r="K82">
        <v>3</v>
      </c>
      <c r="L82">
        <v>41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10.025684999999996</v>
      </c>
      <c r="P82">
        <f>IF(O82&lt;0," ",O82)</f>
        <v>10.025684999999996</v>
      </c>
      <c r="S82">
        <f>3.14159*((F82/2)^2)</f>
        <v>0.58087999099999987</v>
      </c>
    </row>
    <row r="83" spans="1:19">
      <c r="A83" s="9">
        <v>42741</v>
      </c>
      <c r="B83" s="8" t="s">
        <v>16</v>
      </c>
      <c r="C83" s="8">
        <v>14</v>
      </c>
      <c r="D83" s="8" t="s">
        <v>60</v>
      </c>
      <c r="F83" s="8">
        <v>4.04</v>
      </c>
      <c r="J83">
        <f>110+106+115+139+135</f>
        <v>605</v>
      </c>
      <c r="K83">
        <v>5</v>
      </c>
      <c r="L83">
        <v>139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12.773938999999999</v>
      </c>
      <c r="P83">
        <f>IF(O83&lt;0," ",O83)</f>
        <v>12.773938999999999</v>
      </c>
      <c r="S83">
        <f>3.14159*((F83/2)^2)</f>
        <v>12.818943835999999</v>
      </c>
    </row>
    <row r="84" spans="1:19">
      <c r="A84" s="9">
        <v>42741</v>
      </c>
      <c r="B84" s="8" t="s">
        <v>16</v>
      </c>
      <c r="C84" s="8">
        <v>14</v>
      </c>
      <c r="D84" s="8" t="s">
        <v>60</v>
      </c>
      <c r="F84" s="8">
        <v>1.45</v>
      </c>
      <c r="G84" s="8"/>
      <c r="I84" s="8"/>
      <c r="J84">
        <f>68+106+122+143+157</f>
        <v>596</v>
      </c>
      <c r="K84">
        <v>5</v>
      </c>
      <c r="L84">
        <v>157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6.5077339999999992</v>
      </c>
      <c r="P84">
        <f>IF(O84&lt;0," ",O84)</f>
        <v>6.5077339999999992</v>
      </c>
      <c r="S84">
        <f>3.14159*((F84/2)^2)</f>
        <v>1.6512982437499999</v>
      </c>
    </row>
    <row r="85" spans="1:19">
      <c r="A85" s="9">
        <v>42741</v>
      </c>
      <c r="B85" s="8" t="s">
        <v>16</v>
      </c>
      <c r="C85" s="8">
        <v>14</v>
      </c>
      <c r="D85" s="8" t="s">
        <v>60</v>
      </c>
      <c r="F85" s="8">
        <v>0.63</v>
      </c>
      <c r="G85" s="8"/>
      <c r="J85">
        <f>38+70</f>
        <v>108</v>
      </c>
      <c r="K85">
        <v>2</v>
      </c>
      <c r="L85">
        <v>70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8.0306679999999986</v>
      </c>
      <c r="P85">
        <f>IF(O85&lt;0," ",O85)</f>
        <v>8.0306679999999986</v>
      </c>
      <c r="S85">
        <f>3.14159*((F85/2)^2)</f>
        <v>0.31172426775000001</v>
      </c>
    </row>
    <row r="86" spans="1:19">
      <c r="A86" s="9">
        <v>42741</v>
      </c>
      <c r="B86" s="8" t="s">
        <v>16</v>
      </c>
      <c r="C86" s="8">
        <v>1</v>
      </c>
      <c r="D86" s="8" t="s">
        <v>60</v>
      </c>
      <c r="F86" s="8"/>
      <c r="G86" s="8"/>
      <c r="M86" t="s">
        <v>65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0</v>
      </c>
      <c r="P86">
        <f>IF(O86&lt;0," ",O86)</f>
        <v>0</v>
      </c>
      <c r="S86">
        <f>3.14159*((F86/2)^2)</f>
        <v>0</v>
      </c>
    </row>
    <row r="87" spans="1:19">
      <c r="A87" s="9">
        <v>42741</v>
      </c>
      <c r="B87" s="8" t="s">
        <v>53</v>
      </c>
      <c r="C87" s="8">
        <v>37</v>
      </c>
      <c r="D87" s="8" t="s">
        <v>60</v>
      </c>
      <c r="F87" s="8">
        <v>1.1100000000000001</v>
      </c>
      <c r="J87">
        <f>41+42</f>
        <v>83</v>
      </c>
      <c r="K87">
        <v>2</v>
      </c>
      <c r="L87">
        <v>42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14.121652999999998</v>
      </c>
      <c r="P87">
        <f>IF(O87&lt;0," ",O87)</f>
        <v>14.121652999999998</v>
      </c>
      <c r="S87">
        <f>3.14159*((F87/2)^2)</f>
        <v>0.96768825975000017</v>
      </c>
    </row>
    <row r="88" spans="1:19">
      <c r="A88" s="9">
        <v>42741</v>
      </c>
      <c r="B88" s="8" t="s">
        <v>53</v>
      </c>
      <c r="C88" s="8">
        <v>37</v>
      </c>
      <c r="D88" s="8" t="s">
        <v>60</v>
      </c>
      <c r="F88" s="8">
        <v>1.45</v>
      </c>
      <c r="J88">
        <f>62+76+101+104+117</f>
        <v>460</v>
      </c>
      <c r="K88">
        <v>5</v>
      </c>
      <c r="L88">
        <v>117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5.8068540000000084</v>
      </c>
      <c r="P88">
        <f>IF(O88&lt;0," ",O88)</f>
        <v>5.8068540000000084</v>
      </c>
      <c r="S88">
        <f>3.14159*((F88/2)^2)</f>
        <v>1.6512982437499999</v>
      </c>
    </row>
    <row r="89" spans="1:19">
      <c r="A89" s="9">
        <v>42741</v>
      </c>
      <c r="B89" s="8" t="s">
        <v>53</v>
      </c>
      <c r="C89" s="8">
        <v>37</v>
      </c>
      <c r="D89" s="8" t="s">
        <v>60</v>
      </c>
      <c r="F89" s="8">
        <v>0.61</v>
      </c>
      <c r="J89">
        <f>14+17</f>
        <v>31</v>
      </c>
      <c r="K89">
        <v>2</v>
      </c>
      <c r="L89">
        <v>17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16.777518000000001</v>
      </c>
      <c r="P89">
        <f>IF(O89&lt;0," ",O89)</f>
        <v>16.777518000000001</v>
      </c>
      <c r="S89">
        <f>3.14159*((F89/2)^2)</f>
        <v>0.29224640974999999</v>
      </c>
    </row>
    <row r="90" spans="1:19">
      <c r="A90" s="9">
        <v>42741</v>
      </c>
      <c r="B90" s="8" t="s">
        <v>53</v>
      </c>
      <c r="C90" s="8">
        <v>37</v>
      </c>
      <c r="D90" s="8" t="s">
        <v>60</v>
      </c>
      <c r="F90" s="8">
        <v>0.27</v>
      </c>
      <c r="J90">
        <f>18</f>
        <v>18</v>
      </c>
      <c r="K90">
        <v>1</v>
      </c>
      <c r="L90">
        <v>18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22.279810999999999</v>
      </c>
      <c r="P90">
        <f>IF(O90&lt;0," ",O90)</f>
        <v>22.279810999999999</v>
      </c>
      <c r="S90">
        <f>3.14159*((F90/2)^2)</f>
        <v>5.7255477750000006E-2</v>
      </c>
    </row>
    <row r="91" spans="1:19">
      <c r="A91" s="9">
        <v>42741</v>
      </c>
      <c r="B91" s="8" t="s">
        <v>53</v>
      </c>
      <c r="C91" s="8">
        <v>37</v>
      </c>
      <c r="D91" s="8" t="s">
        <v>60</v>
      </c>
      <c r="F91" s="8">
        <v>1.17</v>
      </c>
      <c r="J91">
        <f>24+26+43+46</f>
        <v>139</v>
      </c>
      <c r="K91">
        <v>4</v>
      </c>
      <c r="L91">
        <v>46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4.122246999999998</v>
      </c>
      <c r="P91">
        <f>IF(O91&lt;0," ",O91)</f>
        <v>4.122246999999998</v>
      </c>
      <c r="S91">
        <f>3.14159*((F91/2)^2)</f>
        <v>1.0751306377499998</v>
      </c>
    </row>
    <row r="92" spans="1:19">
      <c r="A92" s="9">
        <v>42741</v>
      </c>
      <c r="B92" s="8" t="s">
        <v>53</v>
      </c>
      <c r="C92" s="8">
        <v>37</v>
      </c>
      <c r="D92" s="8" t="s">
        <v>60</v>
      </c>
      <c r="F92" s="8">
        <v>0.45</v>
      </c>
      <c r="J92">
        <f>20+21</f>
        <v>41</v>
      </c>
      <c r="K92">
        <v>2</v>
      </c>
      <c r="L92">
        <v>21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16.510087999999996</v>
      </c>
      <c r="P92">
        <f>IF(O92&lt;0," ",O92)</f>
        <v>16.510087999999996</v>
      </c>
      <c r="S92">
        <f>3.14159*((F92/2)^2)</f>
        <v>0.15904299375</v>
      </c>
    </row>
    <row r="93" spans="1:19">
      <c r="A93" s="9">
        <v>42741</v>
      </c>
      <c r="B93" s="8" t="s">
        <v>53</v>
      </c>
      <c r="C93" s="8">
        <v>37</v>
      </c>
      <c r="D93" s="8" t="s">
        <v>60</v>
      </c>
      <c r="F93" s="8">
        <v>0.67</v>
      </c>
      <c r="J93">
        <f>39+40+51</f>
        <v>130</v>
      </c>
      <c r="K93">
        <v>3</v>
      </c>
      <c r="L93">
        <v>51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8.7945799999999963</v>
      </c>
      <c r="P93">
        <f>IF(O93&lt;0," ",O93)</f>
        <v>8.7945799999999963</v>
      </c>
      <c r="S93">
        <f>3.14159*((F93/2)^2)</f>
        <v>0.35256493775000003</v>
      </c>
    </row>
    <row r="94" spans="1:19">
      <c r="A94" s="9">
        <v>42741</v>
      </c>
      <c r="B94" s="8" t="s">
        <v>53</v>
      </c>
      <c r="C94" s="8">
        <v>37</v>
      </c>
      <c r="D94" s="8" t="s">
        <v>60</v>
      </c>
      <c r="F94" s="8">
        <v>1.66</v>
      </c>
      <c r="J94">
        <f>36+53+54</f>
        <v>143</v>
      </c>
      <c r="K94">
        <v>3</v>
      </c>
      <c r="L94">
        <v>54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9.1096599999999981</v>
      </c>
      <c r="P94">
        <f>IF(O94&lt;0," ",O94)</f>
        <v>9.1096599999999981</v>
      </c>
      <c r="S94">
        <f>3.14159*((F94/2)^2)</f>
        <v>2.1642413509999998</v>
      </c>
    </row>
    <row r="95" spans="1:19">
      <c r="A95" s="9">
        <v>42741</v>
      </c>
      <c r="B95" s="8" t="s">
        <v>53</v>
      </c>
      <c r="C95" s="8">
        <v>37</v>
      </c>
      <c r="D95" s="8" t="s">
        <v>60</v>
      </c>
      <c r="F95" s="8">
        <v>1.1000000000000001</v>
      </c>
      <c r="J95">
        <f>31+39+52+66+80</f>
        <v>268</v>
      </c>
      <c r="K95">
        <v>5</v>
      </c>
      <c r="L95">
        <v>80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-1.0480409999999978</v>
      </c>
      <c r="P95" t="str">
        <f>IF(O95&lt;0," ",O95)</f>
        <v xml:space="preserve"> </v>
      </c>
      <c r="S95">
        <f>3.14159*((F95/2)^2)</f>
        <v>0.95033097500000008</v>
      </c>
    </row>
    <row r="96" spans="1:19">
      <c r="A96" s="9">
        <v>42741</v>
      </c>
      <c r="B96" s="8" t="s">
        <v>53</v>
      </c>
      <c r="C96" s="8">
        <v>37</v>
      </c>
      <c r="D96" s="8" t="s">
        <v>60</v>
      </c>
      <c r="F96" s="8">
        <v>0.74</v>
      </c>
      <c r="J96">
        <f>30+36</f>
        <v>66</v>
      </c>
      <c r="K96">
        <v>2</v>
      </c>
      <c r="L96">
        <v>36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14.335287999999998</v>
      </c>
      <c r="P96">
        <f>IF(O96&lt;0," ",O96)</f>
        <v>14.335287999999998</v>
      </c>
      <c r="S96">
        <f>3.14159*((F96/2)^2)</f>
        <v>0.43008367099999995</v>
      </c>
    </row>
    <row r="97" spans="1:19">
      <c r="A97" s="9">
        <v>42741</v>
      </c>
      <c r="B97" s="8" t="s">
        <v>53</v>
      </c>
      <c r="C97" s="8">
        <v>37</v>
      </c>
      <c r="D97" s="8" t="s">
        <v>60</v>
      </c>
      <c r="F97" s="8">
        <v>0.8</v>
      </c>
      <c r="J97">
        <f>35+37+66+68</f>
        <v>206</v>
      </c>
      <c r="K97">
        <v>4</v>
      </c>
      <c r="L97">
        <v>68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3.7764419999999994</v>
      </c>
      <c r="P97">
        <f>IF(O97&lt;0," ",O97)</f>
        <v>3.7764419999999994</v>
      </c>
      <c r="S97">
        <f>3.14159*((F97/2)^2)</f>
        <v>0.50265440000000006</v>
      </c>
    </row>
    <row r="98" spans="1:19">
      <c r="A98" s="9">
        <v>42741</v>
      </c>
      <c r="B98" s="8" t="s">
        <v>53</v>
      </c>
      <c r="C98" s="8">
        <v>37</v>
      </c>
      <c r="D98" s="8" t="s">
        <v>60</v>
      </c>
      <c r="F98" s="8">
        <v>0.8</v>
      </c>
      <c r="J98">
        <f>22+25+28</f>
        <v>75</v>
      </c>
      <c r="K98">
        <v>3</v>
      </c>
      <c r="L98">
        <v>28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10.566689999999994</v>
      </c>
      <c r="P98">
        <f>IF(O98&lt;0," ",O98)</f>
        <v>10.566689999999994</v>
      </c>
      <c r="S98">
        <f>3.14159*((F98/2)^2)</f>
        <v>0.50265440000000006</v>
      </c>
    </row>
    <row r="99" spans="1:19">
      <c r="A99" s="9">
        <v>42741</v>
      </c>
      <c r="B99" s="8" t="s">
        <v>53</v>
      </c>
      <c r="C99" s="8">
        <v>37</v>
      </c>
      <c r="D99" s="8" t="s">
        <v>60</v>
      </c>
      <c r="F99" s="8">
        <v>1.1299999999999999</v>
      </c>
      <c r="J99">
        <f>27+60</f>
        <v>87</v>
      </c>
      <c r="K99">
        <v>2</v>
      </c>
      <c r="L99">
        <v>60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9.0742629999999984</v>
      </c>
      <c r="P99">
        <f>IF(O99&lt;0," ",O99)</f>
        <v>9.0742629999999984</v>
      </c>
      <c r="S99">
        <f>3.14159*((F99/2)^2)</f>
        <v>1.0028740677499997</v>
      </c>
    </row>
    <row r="100" spans="1:19">
      <c r="A100" s="9">
        <v>42741</v>
      </c>
      <c r="B100" s="8" t="s">
        <v>53</v>
      </c>
      <c r="C100" s="8">
        <v>37</v>
      </c>
      <c r="D100" s="8" t="s">
        <v>60</v>
      </c>
      <c r="F100" s="8">
        <v>1.04</v>
      </c>
      <c r="J100">
        <f>49+76+83</f>
        <v>208</v>
      </c>
      <c r="K100">
        <v>3</v>
      </c>
      <c r="L100">
        <v>83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6.4676299999999962</v>
      </c>
      <c r="P100">
        <f>IF(O100&lt;0," ",O100)</f>
        <v>6.4676299999999962</v>
      </c>
      <c r="S100">
        <f>3.14159*((F100/2)^2)</f>
        <v>0.84948593600000011</v>
      </c>
    </row>
    <row r="101" spans="1:19">
      <c r="A101" s="9">
        <v>42741</v>
      </c>
      <c r="B101" s="8" t="s">
        <v>53</v>
      </c>
      <c r="C101" s="8">
        <v>37</v>
      </c>
      <c r="D101" s="8" t="s">
        <v>60</v>
      </c>
      <c r="F101" s="8">
        <v>0.94</v>
      </c>
      <c r="J101">
        <f>33+40+52+55</f>
        <v>180</v>
      </c>
      <c r="K101">
        <v>4</v>
      </c>
      <c r="L101">
        <v>55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5.2549969999999995</v>
      </c>
      <c r="P101">
        <f>IF(O101&lt;0," ",O101)</f>
        <v>5.2549969999999995</v>
      </c>
      <c r="S101">
        <f>3.14159*((F101/2)^2)</f>
        <v>0.69397723099999997</v>
      </c>
    </row>
    <row r="102" spans="1:19">
      <c r="A102" s="9">
        <v>42741</v>
      </c>
      <c r="B102" s="8" t="s">
        <v>53</v>
      </c>
      <c r="C102" s="8">
        <v>37</v>
      </c>
      <c r="D102" s="8" t="s">
        <v>60</v>
      </c>
      <c r="F102" s="8">
        <v>1.35</v>
      </c>
      <c r="J102">
        <f>62+79+86</f>
        <v>227</v>
      </c>
      <c r="K102">
        <v>3</v>
      </c>
      <c r="L102">
        <v>86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7.3452400000000004</v>
      </c>
      <c r="P102">
        <f>IF(O102&lt;0," ",O102)</f>
        <v>7.3452400000000004</v>
      </c>
      <c r="S102">
        <f>3.14159*((F102/2)^2)</f>
        <v>1.4313869437500002</v>
      </c>
    </row>
    <row r="103" spans="1:19">
      <c r="A103" s="9">
        <v>42741</v>
      </c>
      <c r="B103" s="8" t="s">
        <v>53</v>
      </c>
      <c r="C103" s="8">
        <v>37</v>
      </c>
      <c r="D103" s="8" t="s">
        <v>60</v>
      </c>
      <c r="F103" s="8">
        <v>1.04</v>
      </c>
      <c r="J103" s="8">
        <f>28+32+36</f>
        <v>96</v>
      </c>
      <c r="K103">
        <v>3</v>
      </c>
      <c r="L103">
        <v>36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10.125584999999997</v>
      </c>
      <c r="P103">
        <f>IF(O103&lt;0," ",O103)</f>
        <v>10.125584999999997</v>
      </c>
      <c r="S103">
        <f>3.14159*((F103/2)^2)</f>
        <v>0.84948593600000011</v>
      </c>
    </row>
    <row r="104" spans="1:19">
      <c r="A104" s="9">
        <v>42741</v>
      </c>
      <c r="B104" s="8" t="s">
        <v>53</v>
      </c>
      <c r="C104" s="8">
        <v>33</v>
      </c>
      <c r="D104" s="8" t="s">
        <v>60</v>
      </c>
      <c r="F104" s="8">
        <v>0.71</v>
      </c>
      <c r="J104" s="8">
        <f>29+33</f>
        <v>62</v>
      </c>
      <c r="K104">
        <v>2</v>
      </c>
      <c r="L104">
        <v>33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14.864002999999997</v>
      </c>
      <c r="P104">
        <f>IF(O104&lt;0," ",O104)</f>
        <v>14.864002999999997</v>
      </c>
      <c r="S104">
        <f>3.14159*((F104/2)^2)</f>
        <v>0.39591887974999995</v>
      </c>
    </row>
    <row r="105" spans="1:19">
      <c r="A105" s="9">
        <v>42741</v>
      </c>
      <c r="B105" s="8" t="s">
        <v>53</v>
      </c>
      <c r="C105" s="8">
        <v>33</v>
      </c>
      <c r="D105" s="8" t="s">
        <v>60</v>
      </c>
      <c r="F105" s="8">
        <v>3.54</v>
      </c>
      <c r="J105" s="8">
        <f>108+172+170+178+183+209+215</f>
        <v>1235</v>
      </c>
      <c r="K105">
        <v>7</v>
      </c>
      <c r="L105">
        <v>215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34.900263000000017</v>
      </c>
      <c r="P105">
        <f>IF(O105&lt;0," ",O105)</f>
        <v>34.900263000000017</v>
      </c>
      <c r="S105">
        <f>3.14159*((F105/2)^2)</f>
        <v>9.8422873109999998</v>
      </c>
    </row>
    <row r="106" spans="1:19">
      <c r="A106" s="9">
        <v>42741</v>
      </c>
      <c r="B106" s="8" t="s">
        <v>53</v>
      </c>
      <c r="C106" s="8">
        <v>33</v>
      </c>
      <c r="D106" s="8" t="s">
        <v>60</v>
      </c>
      <c r="F106" s="8">
        <v>0.47</v>
      </c>
      <c r="J106" s="8">
        <f>13+14</f>
        <v>27</v>
      </c>
      <c r="K106">
        <v>2</v>
      </c>
      <c r="L106">
        <v>14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17.306232999999999</v>
      </c>
      <c r="P106">
        <f>IF(O106&lt;0," ",O106)</f>
        <v>17.306232999999999</v>
      </c>
      <c r="S106">
        <f>3.14159*((F106/2)^2)</f>
        <v>0.17349430774999999</v>
      </c>
    </row>
    <row r="107" spans="1:19">
      <c r="A107" s="9">
        <v>42741</v>
      </c>
      <c r="B107" s="8" t="s">
        <v>53</v>
      </c>
      <c r="C107" s="8">
        <v>33</v>
      </c>
      <c r="D107" s="8" t="s">
        <v>60</v>
      </c>
      <c r="F107" s="8">
        <v>0.8</v>
      </c>
      <c r="J107" s="8">
        <f>23+43+50</f>
        <v>116</v>
      </c>
      <c r="K107">
        <v>3</v>
      </c>
      <c r="L107">
        <v>50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7.7832549999999969</v>
      </c>
      <c r="P107">
        <f>IF(O107&lt;0," ",O107)</f>
        <v>7.7832549999999969</v>
      </c>
      <c r="S107">
        <f>3.14159*((F107/2)^2)</f>
        <v>0.50265440000000006</v>
      </c>
    </row>
    <row r="108" spans="1:19">
      <c r="A108" s="9">
        <v>42741</v>
      </c>
      <c r="B108" s="8" t="s">
        <v>53</v>
      </c>
      <c r="C108" s="8">
        <v>33</v>
      </c>
      <c r="D108" s="8" t="s">
        <v>60</v>
      </c>
      <c r="F108" s="8">
        <v>0.8</v>
      </c>
      <c r="J108" s="8">
        <f>29+33+50+56</f>
        <v>168</v>
      </c>
      <c r="K108">
        <v>4</v>
      </c>
      <c r="L108">
        <v>56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3.8286919999999967</v>
      </c>
      <c r="P108">
        <f>IF(O108&lt;0," ",O108)</f>
        <v>3.8286919999999967</v>
      </c>
      <c r="S108">
        <f>3.14159*((F108/2)^2)</f>
        <v>0.50265440000000006</v>
      </c>
    </row>
    <row r="109" spans="1:19">
      <c r="A109" s="9">
        <v>42741</v>
      </c>
      <c r="B109" s="8" t="s">
        <v>53</v>
      </c>
      <c r="C109" s="8">
        <v>33</v>
      </c>
      <c r="D109" s="8" t="s">
        <v>60</v>
      </c>
      <c r="F109" s="8">
        <v>4.58</v>
      </c>
      <c r="J109" s="8">
        <f>75+142+171+198+215+200</f>
        <v>1001</v>
      </c>
      <c r="K109">
        <v>6</v>
      </c>
      <c r="L109">
        <v>215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19.98394600000001</v>
      </c>
      <c r="P109">
        <f>IF(O109&lt;0," ",O109)</f>
        <v>19.98394600000001</v>
      </c>
      <c r="S109">
        <f>3.14159*((F109/2)^2)</f>
        <v>16.474812118999999</v>
      </c>
    </row>
    <row r="110" spans="1:19">
      <c r="A110" s="9">
        <v>42741</v>
      </c>
      <c r="B110" s="8" t="s">
        <v>53</v>
      </c>
      <c r="C110" s="8">
        <v>33</v>
      </c>
      <c r="D110" s="8" t="s">
        <v>60</v>
      </c>
      <c r="F110" s="8">
        <v>0.82</v>
      </c>
      <c r="J110">
        <f>19+20+22+73+106</f>
        <v>240</v>
      </c>
      <c r="K110">
        <v>5</v>
      </c>
      <c r="L110">
        <v>106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-11.505551000000004</v>
      </c>
      <c r="P110" t="str">
        <f>IF(O110&lt;0," ",O110)</f>
        <v xml:space="preserve"> </v>
      </c>
      <c r="S110">
        <f>3.14159*((F110/2)^2)</f>
        <v>0.52810127899999992</v>
      </c>
    </row>
    <row r="111" spans="1:19">
      <c r="A111" s="9">
        <v>42741</v>
      </c>
      <c r="B111" s="8" t="s">
        <v>53</v>
      </c>
      <c r="C111" s="8">
        <v>33</v>
      </c>
      <c r="D111" s="8" t="s">
        <v>60</v>
      </c>
      <c r="F111" s="8">
        <v>5.33</v>
      </c>
      <c r="J111">
        <f>200+254+311+342</f>
        <v>1107</v>
      </c>
      <c r="K111">
        <v>4</v>
      </c>
      <c r="L111">
        <v>342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5.7085670000000093</v>
      </c>
      <c r="P111">
        <f>IF(O111&lt;0," ",O111)</f>
        <v>5.7085670000000093</v>
      </c>
      <c r="S111">
        <f>3.14159*((F111/2)^2)</f>
        <v>22.312279037749999</v>
      </c>
    </row>
    <row r="112" spans="1:19">
      <c r="A112" s="9">
        <v>42741</v>
      </c>
      <c r="B112" s="8" t="s">
        <v>53</v>
      </c>
      <c r="C112" s="8">
        <v>33</v>
      </c>
      <c r="D112" s="8" t="s">
        <v>60</v>
      </c>
      <c r="F112" s="8">
        <v>2.2999999999999998</v>
      </c>
      <c r="J112">
        <f>214+229+235</f>
        <v>678</v>
      </c>
      <c r="K112">
        <v>3</v>
      </c>
      <c r="L112">
        <v>235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4.7432400000000001</v>
      </c>
      <c r="P112">
        <f>IF(O112&lt;0," ",O112)</f>
        <v>4.7432400000000001</v>
      </c>
      <c r="S112">
        <f>3.14159*((F112/2)^2)</f>
        <v>4.1547527749999995</v>
      </c>
    </row>
    <row r="113" spans="1:19">
      <c r="A113" s="9">
        <v>42741</v>
      </c>
      <c r="B113" s="8" t="s">
        <v>53</v>
      </c>
      <c r="C113" s="8">
        <v>33</v>
      </c>
      <c r="D113" s="8" t="s">
        <v>60</v>
      </c>
      <c r="F113" s="8">
        <v>0.63</v>
      </c>
      <c r="J113">
        <f>23+23</f>
        <v>46</v>
      </c>
      <c r="K113">
        <v>2</v>
      </c>
      <c r="L113">
        <v>23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16.376372999999997</v>
      </c>
      <c r="P113">
        <f>IF(O113&lt;0," ",O113)</f>
        <v>16.376372999999997</v>
      </c>
      <c r="S113">
        <f>3.14159*((F113/2)^2)</f>
        <v>0.31172426775000001</v>
      </c>
    </row>
    <row r="114" spans="1:19">
      <c r="A114" s="9">
        <v>42741</v>
      </c>
      <c r="B114" s="8" t="s">
        <v>53</v>
      </c>
      <c r="C114" s="8">
        <v>33</v>
      </c>
      <c r="D114" s="8" t="s">
        <v>60</v>
      </c>
      <c r="F114" s="8">
        <v>4.33</v>
      </c>
      <c r="J114">
        <f>152+271+277+286</f>
        <v>986</v>
      </c>
      <c r="K114">
        <v>4</v>
      </c>
      <c r="L114">
        <v>286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11.233932000000003</v>
      </c>
      <c r="P114">
        <f>IF(O114&lt;0," ",O114)</f>
        <v>11.233932000000003</v>
      </c>
      <c r="S114">
        <f>3.14159*((F114/2)^2)</f>
        <v>14.725339187749999</v>
      </c>
    </row>
    <row r="115" spans="1:19">
      <c r="A115" s="9">
        <v>42741</v>
      </c>
      <c r="B115" s="8" t="s">
        <v>53</v>
      </c>
      <c r="C115" s="8">
        <v>33</v>
      </c>
      <c r="D115" s="8" t="s">
        <v>60</v>
      </c>
      <c r="F115" s="8">
        <v>0.47</v>
      </c>
      <c r="J115">
        <f>20+23</f>
        <v>43</v>
      </c>
      <c r="K115">
        <v>2</v>
      </c>
      <c r="L115">
        <v>23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16.095107999999996</v>
      </c>
      <c r="P115">
        <f>IF(O115&lt;0," ",O115)</f>
        <v>16.095107999999996</v>
      </c>
      <c r="S115">
        <f>3.14159*((F115/2)^2)</f>
        <v>0.17349430774999999</v>
      </c>
    </row>
    <row r="116" spans="1:19">
      <c r="A116" s="9">
        <v>42741</v>
      </c>
      <c r="B116" s="8" t="s">
        <v>53</v>
      </c>
      <c r="C116" s="8">
        <v>33</v>
      </c>
      <c r="D116" s="8" t="s">
        <v>60</v>
      </c>
      <c r="F116" s="8">
        <v>1.19</v>
      </c>
      <c r="J116">
        <f>30+42+51+65+69</f>
        <v>257</v>
      </c>
      <c r="K116">
        <v>5</v>
      </c>
      <c r="L116">
        <v>69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1.2343490000000017</v>
      </c>
      <c r="P116">
        <f>IF(O116&lt;0," ",O116)</f>
        <v>1.2343490000000017</v>
      </c>
      <c r="S116">
        <f>3.14159*((F116/2)^2)</f>
        <v>1.11220139975</v>
      </c>
    </row>
    <row r="117" spans="1:19">
      <c r="A117" s="9">
        <v>42741</v>
      </c>
      <c r="B117" s="8" t="s">
        <v>53</v>
      </c>
      <c r="C117" s="8">
        <v>33</v>
      </c>
      <c r="D117" s="8" t="s">
        <v>60</v>
      </c>
      <c r="F117" s="8">
        <v>0.77</v>
      </c>
      <c r="J117">
        <f>23+28</f>
        <v>51</v>
      </c>
      <c r="K117">
        <v>2</v>
      </c>
      <c r="L117">
        <v>28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15.338922999999998</v>
      </c>
      <c r="P117">
        <f>IF(O117&lt;0," ",O117)</f>
        <v>15.338922999999998</v>
      </c>
      <c r="S117">
        <f>3.14159*((F117/2)^2)</f>
        <v>0.46566217774999996</v>
      </c>
    </row>
    <row r="118" spans="1:19">
      <c r="A118" s="9">
        <v>42741</v>
      </c>
      <c r="B118" s="8" t="s">
        <v>53</v>
      </c>
      <c r="C118" s="8">
        <v>33</v>
      </c>
      <c r="D118" s="8" t="s">
        <v>60</v>
      </c>
      <c r="F118" s="8">
        <v>1.07</v>
      </c>
      <c r="J118">
        <f>43+66+65+74</f>
        <v>248</v>
      </c>
      <c r="K118">
        <v>4</v>
      </c>
      <c r="L118">
        <v>74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5.906682</v>
      </c>
      <c r="P118">
        <f>IF(O118&lt;0," ",O118)</f>
        <v>5.906682</v>
      </c>
      <c r="S118">
        <f>3.14159*((F118/2)^2)</f>
        <v>0.89920159774999997</v>
      </c>
    </row>
    <row r="119" spans="1:19">
      <c r="A119" s="9">
        <v>42741</v>
      </c>
      <c r="B119" s="8" t="s">
        <v>53</v>
      </c>
      <c r="C119" s="8">
        <v>33</v>
      </c>
      <c r="D119" s="8" t="s">
        <v>60</v>
      </c>
      <c r="F119" s="8">
        <v>1</v>
      </c>
      <c r="J119">
        <f>17+19</f>
        <v>36</v>
      </c>
      <c r="K119">
        <v>2</v>
      </c>
      <c r="L119">
        <v>19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16.643802999999998</v>
      </c>
      <c r="P119">
        <f>IF(O119&lt;0," ",O119)</f>
        <v>16.643802999999998</v>
      </c>
      <c r="S119">
        <f>3.14159*((F119/2)^2)</f>
        <v>0.78539749999999997</v>
      </c>
    </row>
    <row r="120" spans="1:19">
      <c r="A120" s="9">
        <v>42741</v>
      </c>
      <c r="B120" s="8" t="s">
        <v>53</v>
      </c>
      <c r="C120" s="8">
        <v>29</v>
      </c>
      <c r="D120" s="8" t="s">
        <v>60</v>
      </c>
      <c r="F120" s="8">
        <v>4.83</v>
      </c>
      <c r="J120">
        <f>118+191+193+201+211+250</f>
        <v>1164</v>
      </c>
      <c r="K120">
        <v>6</v>
      </c>
      <c r="L120">
        <v>250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24.722435999999995</v>
      </c>
      <c r="P120">
        <f>IF(O120&lt;0," ",O120)</f>
        <v>24.722435999999995</v>
      </c>
      <c r="S120">
        <f>3.14159*((F120/2)^2)</f>
        <v>18.322459737749998</v>
      </c>
    </row>
    <row r="121" spans="1:19">
      <c r="A121" s="9">
        <v>42741</v>
      </c>
      <c r="B121" s="8" t="s">
        <v>53</v>
      </c>
      <c r="C121" s="8">
        <v>29</v>
      </c>
      <c r="D121" s="8" t="s">
        <v>60</v>
      </c>
      <c r="F121" s="8">
        <v>4.0599999999999996</v>
      </c>
      <c r="J121">
        <f>57+231+241+249</f>
        <v>778</v>
      </c>
      <c r="K121">
        <v>4</v>
      </c>
      <c r="L121">
        <v>249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2.8789570000000069</v>
      </c>
      <c r="P121">
        <f>IF(O121&lt;0," ",O121)</f>
        <v>2.8789570000000069</v>
      </c>
      <c r="S121">
        <f>3.14159*((F121/2)^2)</f>
        <v>12.946178230999996</v>
      </c>
    </row>
    <row r="122" spans="1:19">
      <c r="A122" s="9">
        <v>42741</v>
      </c>
      <c r="B122" s="8" t="s">
        <v>53</v>
      </c>
      <c r="C122" s="8">
        <v>29</v>
      </c>
      <c r="D122" s="8" t="s">
        <v>60</v>
      </c>
      <c r="F122" s="8">
        <v>1.89</v>
      </c>
      <c r="J122">
        <f>123+124+179</f>
        <v>426</v>
      </c>
      <c r="K122">
        <v>3</v>
      </c>
      <c r="L122">
        <v>179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-2.013300000000001</v>
      </c>
      <c r="P122" t="str">
        <f>IF(O122&lt;0," ",O122)</f>
        <v xml:space="preserve"> </v>
      </c>
      <c r="S122">
        <f>3.14159*((F122/2)^2)</f>
        <v>2.8055184097499999</v>
      </c>
    </row>
    <row r="123" spans="1:19">
      <c r="A123" s="9">
        <v>42741</v>
      </c>
      <c r="B123" s="8" t="s">
        <v>53</v>
      </c>
      <c r="C123" s="8">
        <v>29</v>
      </c>
      <c r="D123" s="8" t="s">
        <v>60</v>
      </c>
      <c r="F123" s="8">
        <v>1.97</v>
      </c>
      <c r="H123" s="8"/>
      <c r="J123">
        <f>179+207+222+231</f>
        <v>839</v>
      </c>
      <c r="K123">
        <v>4</v>
      </c>
      <c r="L123">
        <v>231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14.020422000000018</v>
      </c>
      <c r="P123">
        <f>IF(O123&lt;0," ",O123)</f>
        <v>14.020422000000018</v>
      </c>
      <c r="S123">
        <f>3.14159*((F123/2)^2)</f>
        <v>3.04804915775</v>
      </c>
    </row>
    <row r="124" spans="1:19">
      <c r="A124" s="9">
        <v>42741</v>
      </c>
      <c r="B124" s="8" t="s">
        <v>53</v>
      </c>
      <c r="C124" s="8">
        <v>29</v>
      </c>
      <c r="D124" s="8" t="s">
        <v>60</v>
      </c>
      <c r="F124" s="8">
        <v>2.17</v>
      </c>
      <c r="H124" s="8"/>
      <c r="J124">
        <f>100+114+181+226</f>
        <v>621</v>
      </c>
      <c r="K124">
        <v>4</v>
      </c>
      <c r="L124">
        <v>226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-4.9119429999999866</v>
      </c>
      <c r="P124" t="str">
        <f>IF(O124&lt;0," ",O124)</f>
        <v xml:space="preserve"> </v>
      </c>
      <c r="S124">
        <f>3.14159*((F124/2)^2)</f>
        <v>3.6983582877499996</v>
      </c>
    </row>
    <row r="125" spans="1:19">
      <c r="A125" s="9">
        <v>42741</v>
      </c>
      <c r="B125" s="8" t="s">
        <v>53</v>
      </c>
      <c r="C125" s="8">
        <v>29</v>
      </c>
      <c r="D125" s="8" t="s">
        <v>60</v>
      </c>
      <c r="F125" s="8">
        <v>0.77</v>
      </c>
      <c r="J125">
        <f>18+19+22</f>
        <v>59</v>
      </c>
      <c r="K125">
        <v>3</v>
      </c>
      <c r="L125">
        <v>22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10.874079999999999</v>
      </c>
      <c r="P125">
        <f>IF(O125&lt;0," ",O125)</f>
        <v>10.874079999999999</v>
      </c>
      <c r="S125">
        <f>3.14159*((F125/2)^2)</f>
        <v>0.46566217774999996</v>
      </c>
    </row>
    <row r="126" spans="1:19">
      <c r="A126" s="9">
        <v>42741</v>
      </c>
      <c r="B126" s="8" t="s">
        <v>53</v>
      </c>
      <c r="C126" s="8">
        <v>29</v>
      </c>
      <c r="D126" s="8" t="s">
        <v>60</v>
      </c>
      <c r="F126" s="8">
        <v>0.9</v>
      </c>
      <c r="J126">
        <f>18+21+22</f>
        <v>61</v>
      </c>
      <c r="K126">
        <v>3</v>
      </c>
      <c r="L126">
        <v>22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11.061589999999995</v>
      </c>
      <c r="P126">
        <f>IF(O126&lt;0," ",O126)</f>
        <v>11.061589999999995</v>
      </c>
      <c r="S126">
        <f>3.14159*((F126/2)^2)</f>
        <v>0.636171975</v>
      </c>
    </row>
    <row r="127" spans="1:19">
      <c r="A127" s="9">
        <v>42741</v>
      </c>
      <c r="B127" s="8" t="s">
        <v>53</v>
      </c>
      <c r="C127" s="8">
        <v>29</v>
      </c>
      <c r="D127" s="8" t="s">
        <v>60</v>
      </c>
      <c r="F127" s="8">
        <v>0.96</v>
      </c>
      <c r="J127">
        <f>141+215+248</f>
        <v>604</v>
      </c>
      <c r="K127">
        <v>3</v>
      </c>
      <c r="L127">
        <v>248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-6.1108149999999952</v>
      </c>
      <c r="P127" t="str">
        <f>IF(O127&lt;0," ",O127)</f>
        <v xml:space="preserve"> </v>
      </c>
      <c r="S127">
        <f>3.14159*((F127/2)^2)</f>
        <v>0.7238223359999999</v>
      </c>
    </row>
    <row r="128" spans="1:19">
      <c r="A128" s="9">
        <v>42741</v>
      </c>
      <c r="B128" s="8" t="s">
        <v>53</v>
      </c>
      <c r="C128" s="8">
        <v>29</v>
      </c>
      <c r="D128" s="8" t="s">
        <v>60</v>
      </c>
      <c r="F128" s="8">
        <v>0.33</v>
      </c>
      <c r="J128">
        <f>9+13+12</f>
        <v>34</v>
      </c>
      <c r="K128">
        <v>3</v>
      </c>
      <c r="L128">
        <v>13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11.241409999999998</v>
      </c>
      <c r="P128">
        <f>IF(O128&lt;0," ",O128)</f>
        <v>11.241409999999998</v>
      </c>
      <c r="S128">
        <f>3.14159*((F128/2)^2)</f>
        <v>8.5529787750000003E-2</v>
      </c>
    </row>
    <row r="129" spans="1:19">
      <c r="A129" s="9">
        <v>42741</v>
      </c>
      <c r="B129" s="8" t="s">
        <v>53</v>
      </c>
      <c r="C129" s="8">
        <v>29</v>
      </c>
      <c r="D129" s="8" t="s">
        <v>60</v>
      </c>
      <c r="F129" s="8">
        <v>3.8</v>
      </c>
      <c r="J129">
        <f>159+167+189+191+189+201</f>
        <v>1096</v>
      </c>
      <c r="K129">
        <v>6</v>
      </c>
      <c r="L129">
        <v>201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33.108101000000005</v>
      </c>
      <c r="P129">
        <f>IF(O129&lt;0," ",O129)</f>
        <v>33.108101000000005</v>
      </c>
      <c r="S129">
        <f>3.14159*((F129/2)^2)</f>
        <v>11.3411399</v>
      </c>
    </row>
    <row r="130" spans="1:19">
      <c r="A130" s="9">
        <v>42741</v>
      </c>
      <c r="B130" s="8" t="s">
        <v>53</v>
      </c>
      <c r="C130" s="8">
        <v>29</v>
      </c>
      <c r="D130" s="8" t="s">
        <v>60</v>
      </c>
      <c r="F130" s="8">
        <v>1.1100000000000001</v>
      </c>
      <c r="J130">
        <f>21+21</f>
        <v>42</v>
      </c>
      <c r="K130">
        <v>2</v>
      </c>
      <c r="L130">
        <v>21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16.603842999999998</v>
      </c>
      <c r="P130">
        <f>IF(O130&lt;0," ",O130)</f>
        <v>16.603842999999998</v>
      </c>
      <c r="S130">
        <f>3.14159*((F130/2)^2)</f>
        <v>0.96768825975000017</v>
      </c>
    </row>
    <row r="131" spans="1:19">
      <c r="A131" s="9">
        <v>42741</v>
      </c>
      <c r="B131" s="8" t="s">
        <v>53</v>
      </c>
      <c r="C131" s="8">
        <v>29</v>
      </c>
      <c r="D131" s="8" t="s">
        <v>60</v>
      </c>
      <c r="F131" s="8">
        <v>2.31</v>
      </c>
      <c r="J131">
        <f>83+153+161+178+187</f>
        <v>762</v>
      </c>
      <c r="K131">
        <v>5</v>
      </c>
      <c r="L131">
        <v>187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13.033714000000003</v>
      </c>
      <c r="P131">
        <f>IF(O131&lt;0," ",O131)</f>
        <v>13.033714000000003</v>
      </c>
      <c r="S131">
        <f>3.14159*((F131/2)^2)</f>
        <v>4.1909595997500002</v>
      </c>
    </row>
    <row r="132" spans="1:19">
      <c r="A132" s="9">
        <v>42741</v>
      </c>
      <c r="B132" s="8" t="s">
        <v>53</v>
      </c>
      <c r="C132" s="8">
        <v>15</v>
      </c>
      <c r="D132" s="8" t="s">
        <v>60</v>
      </c>
      <c r="F132" s="8">
        <v>5.26</v>
      </c>
      <c r="J132">
        <f>194+198+227+250</f>
        <v>869</v>
      </c>
      <c r="K132">
        <v>4</v>
      </c>
      <c r="L132">
        <v>250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11.109417000000001</v>
      </c>
      <c r="P132">
        <f>IF(O132&lt;0," ",O132)</f>
        <v>11.109417000000001</v>
      </c>
      <c r="S132">
        <f>3.14159*((F132/2)^2)</f>
        <v>21.730063870999995</v>
      </c>
    </row>
    <row r="133" spans="1:19">
      <c r="A133" s="9">
        <v>42741</v>
      </c>
      <c r="B133" s="8" t="s">
        <v>53</v>
      </c>
      <c r="C133" s="8">
        <v>15</v>
      </c>
      <c r="D133" s="8" t="s">
        <v>60</v>
      </c>
      <c r="F133" s="8">
        <v>2.36</v>
      </c>
      <c r="J133">
        <f>87+128+140+162+200+309+272</f>
        <v>1298</v>
      </c>
      <c r="K133">
        <v>7</v>
      </c>
      <c r="L133">
        <v>309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12.489798</v>
      </c>
      <c r="P133">
        <f>IF(O133&lt;0," ",O133)</f>
        <v>12.489798</v>
      </c>
      <c r="S133">
        <f>3.14159*((F133/2)^2)</f>
        <v>4.374349915999999</v>
      </c>
    </row>
    <row r="134" spans="1:19">
      <c r="A134" s="9">
        <v>42741</v>
      </c>
      <c r="B134" s="8" t="s">
        <v>53</v>
      </c>
      <c r="C134" s="8">
        <v>15</v>
      </c>
      <c r="D134" s="8" t="s">
        <v>60</v>
      </c>
      <c r="F134" s="8">
        <v>6.45</v>
      </c>
      <c r="J134">
        <f>262+280+296+297+304+314+318</f>
        <v>2071</v>
      </c>
      <c r="K134">
        <v>7</v>
      </c>
      <c r="L134">
        <v>318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82.251207999999991</v>
      </c>
      <c r="P134">
        <f>IF(O134&lt;0," ",O134)</f>
        <v>82.251207999999991</v>
      </c>
      <c r="S134">
        <f>3.14159*((F134/2)^2)</f>
        <v>32.674499493749998</v>
      </c>
    </row>
    <row r="135" spans="1:19">
      <c r="A135" s="9">
        <v>42741</v>
      </c>
      <c r="B135" s="8" t="s">
        <v>53</v>
      </c>
      <c r="C135" s="8">
        <v>15</v>
      </c>
      <c r="D135" s="8" t="s">
        <v>60</v>
      </c>
      <c r="F135" s="8">
        <v>4.22</v>
      </c>
      <c r="J135">
        <f>128+197+123+234+248+256+260</f>
        <v>1446</v>
      </c>
      <c r="K135">
        <v>7</v>
      </c>
      <c r="L135">
        <v>260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41.126543000000019</v>
      </c>
      <c r="P135">
        <f>IF(O135&lt;0," ",O135)</f>
        <v>41.126543000000019</v>
      </c>
      <c r="S135">
        <f>3.14159*((F135/2)^2)</f>
        <v>13.986672838999999</v>
      </c>
    </row>
    <row r="136" spans="1:19">
      <c r="A136" s="9">
        <v>42741</v>
      </c>
      <c r="B136" s="8" t="s">
        <v>53</v>
      </c>
      <c r="C136" s="8">
        <v>15</v>
      </c>
      <c r="D136" s="8" t="s">
        <v>60</v>
      </c>
      <c r="F136" s="8">
        <v>5.17</v>
      </c>
      <c r="J136">
        <f>205+229+241+250+282+280</f>
        <v>1487</v>
      </c>
      <c r="K136">
        <v>6</v>
      </c>
      <c r="L136">
        <v>282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45.365461000000018</v>
      </c>
      <c r="P136">
        <f>IF(O136&lt;0," ",O136)</f>
        <v>45.365461000000018</v>
      </c>
      <c r="S136">
        <f>3.14159*((F136/2)^2)</f>
        <v>20.992811237749997</v>
      </c>
    </row>
    <row r="137" spans="1:19">
      <c r="A137" s="9">
        <v>42741</v>
      </c>
      <c r="B137" s="8" t="s">
        <v>53</v>
      </c>
      <c r="C137" s="8">
        <v>15</v>
      </c>
      <c r="D137" s="8" t="s">
        <v>60</v>
      </c>
      <c r="F137" s="8">
        <v>3.95</v>
      </c>
      <c r="H137" s="8"/>
      <c r="J137">
        <f>64+143+143+185+215+218</f>
        <v>968</v>
      </c>
      <c r="K137">
        <v>6</v>
      </c>
      <c r="L137">
        <v>218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15.986296000000003</v>
      </c>
      <c r="P137">
        <f>IF(O137&lt;0," ",O137)</f>
        <v>15.986296000000003</v>
      </c>
      <c r="S137">
        <f>3.14159*((F137/2)^2)</f>
        <v>12.25416449375</v>
      </c>
    </row>
    <row r="138" spans="1:19">
      <c r="A138" s="9">
        <v>42741</v>
      </c>
      <c r="B138" s="8" t="s">
        <v>53</v>
      </c>
      <c r="C138" s="8">
        <v>15</v>
      </c>
      <c r="D138" s="8" t="s">
        <v>60</v>
      </c>
      <c r="F138" s="8">
        <v>7.55</v>
      </c>
      <c r="H138" s="8"/>
      <c r="J138">
        <f>152+191+220+232+233+237+266+258</f>
        <v>1789</v>
      </c>
      <c r="K138">
        <v>8</v>
      </c>
      <c r="L138">
        <v>266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64.454685000000012</v>
      </c>
      <c r="P138">
        <f>IF(O138&lt;0," ",O138)</f>
        <v>64.454685000000012</v>
      </c>
      <c r="S138">
        <f>3.14159*((F138/2)^2)</f>
        <v>44.769620993749996</v>
      </c>
    </row>
    <row r="139" spans="1:19">
      <c r="A139" s="9">
        <v>42741</v>
      </c>
      <c r="B139" s="8" t="s">
        <v>53</v>
      </c>
      <c r="C139" s="8">
        <v>15</v>
      </c>
      <c r="D139" s="8" t="s">
        <v>60</v>
      </c>
      <c r="F139" s="8">
        <v>8.3800000000000008</v>
      </c>
      <c r="H139" s="8"/>
      <c r="J139">
        <f>168+227+246+255+270+273+284+284+291+300</f>
        <v>2598</v>
      </c>
      <c r="K139">
        <v>10</v>
      </c>
      <c r="L139">
        <v>300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116.01544400000003</v>
      </c>
      <c r="P139">
        <f>IF(O139&lt;0," ",O139)</f>
        <v>116.01544400000003</v>
      </c>
      <c r="S139">
        <f>3.14159*((F139/2)^2)</f>
        <v>55.154068199000008</v>
      </c>
    </row>
    <row r="140" spans="1:19">
      <c r="A140" s="9">
        <v>42741</v>
      </c>
      <c r="B140" s="8" t="s">
        <v>53</v>
      </c>
      <c r="C140" s="8">
        <v>9</v>
      </c>
      <c r="D140" s="8" t="s">
        <v>60</v>
      </c>
      <c r="F140" s="8"/>
      <c r="H140" s="8"/>
      <c r="M140" t="s">
        <v>61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0</v>
      </c>
      <c r="P140">
        <f>IF(O140&lt;0," ",O140)</f>
        <v>0</v>
      </c>
      <c r="S140">
        <f>3.14159*((F140/2)^2)</f>
        <v>0</v>
      </c>
    </row>
    <row r="141" spans="1:19">
      <c r="A141" s="9">
        <v>42758</v>
      </c>
      <c r="B141" s="8" t="s">
        <v>17</v>
      </c>
      <c r="C141" s="8">
        <v>38</v>
      </c>
      <c r="D141" s="8" t="s">
        <v>60</v>
      </c>
      <c r="F141" s="8">
        <v>0.55000000000000004</v>
      </c>
      <c r="H141" s="8"/>
      <c r="J141">
        <f>7</f>
        <v>7</v>
      </c>
      <c r="K141">
        <v>1</v>
      </c>
      <c r="L141">
        <v>7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24.562200999999995</v>
      </c>
      <c r="P141">
        <f>IF(O141&lt;0," ",O141)</f>
        <v>24.562200999999995</v>
      </c>
      <c r="S141">
        <f>3.14159*((F141/2)^2)</f>
        <v>0.23758274375000002</v>
      </c>
    </row>
    <row r="142" spans="1:19">
      <c r="A142" s="9">
        <v>42758</v>
      </c>
      <c r="B142" s="8" t="s">
        <v>17</v>
      </c>
      <c r="C142" s="8">
        <v>38</v>
      </c>
      <c r="D142" s="8" t="s">
        <v>60</v>
      </c>
      <c r="F142" s="8">
        <v>1.1499999999999999</v>
      </c>
      <c r="J142">
        <f>29+30</f>
        <v>59</v>
      </c>
      <c r="K142">
        <v>2</v>
      </c>
      <c r="L142">
        <v>30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15.486472999999997</v>
      </c>
      <c r="P142">
        <f>IF(O142&lt;0," ",O142)</f>
        <v>15.486472999999997</v>
      </c>
      <c r="S142">
        <f>3.14159*((F142/2)^2)</f>
        <v>1.0386881937499999</v>
      </c>
    </row>
    <row r="143" spans="1:19">
      <c r="A143" s="9">
        <v>42758</v>
      </c>
      <c r="B143" s="8" t="s">
        <v>17</v>
      </c>
      <c r="C143" s="8">
        <v>38</v>
      </c>
      <c r="D143" s="8" t="s">
        <v>60</v>
      </c>
      <c r="F143" s="8">
        <v>0.46</v>
      </c>
      <c r="J143">
        <v>10</v>
      </c>
      <c r="K143">
        <v>1</v>
      </c>
      <c r="L143">
        <v>10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23.939730999999995</v>
      </c>
      <c r="P143">
        <f>IF(O143&lt;0," ",O143)</f>
        <v>23.939730999999995</v>
      </c>
      <c r="S143">
        <f>3.14159*((F143/2)^2)</f>
        <v>0.166190111</v>
      </c>
    </row>
    <row r="144" spans="1:19">
      <c r="A144" s="9">
        <v>42758</v>
      </c>
      <c r="B144" s="8" t="s">
        <v>17</v>
      </c>
      <c r="C144" s="8">
        <v>38</v>
      </c>
      <c r="D144" s="8" t="s">
        <v>60</v>
      </c>
      <c r="F144" s="8">
        <v>1.73</v>
      </c>
      <c r="J144">
        <f>44+72+49+64</f>
        <v>229</v>
      </c>
      <c r="K144">
        <v>4</v>
      </c>
      <c r="L144">
        <v>72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4.7278270000000013</v>
      </c>
      <c r="P144">
        <f>IF(O144&lt;0," ",O144)</f>
        <v>4.7278270000000013</v>
      </c>
      <c r="S144">
        <f>3.14159*((F144/2)^2)</f>
        <v>2.3506161777500001</v>
      </c>
    </row>
    <row r="145" spans="1:19">
      <c r="A145" s="9">
        <v>42758</v>
      </c>
      <c r="B145" s="8" t="s">
        <v>17</v>
      </c>
      <c r="C145" s="8">
        <v>38</v>
      </c>
      <c r="D145" s="8" t="s">
        <v>60</v>
      </c>
      <c r="F145" s="8">
        <v>4.6100000000000003</v>
      </c>
      <c r="J145">
        <f>236+275+51</f>
        <v>562</v>
      </c>
      <c r="K145">
        <v>3</v>
      </c>
      <c r="L145">
        <v>275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-18.18213999999999</v>
      </c>
      <c r="P145" t="str">
        <f>IF(O145&lt;0," ",O145)</f>
        <v xml:space="preserve"> </v>
      </c>
      <c r="S145">
        <f>3.14159*((F145/2)^2)</f>
        <v>16.691346209750002</v>
      </c>
    </row>
    <row r="146" spans="1:19">
      <c r="A146" s="9">
        <v>42758</v>
      </c>
      <c r="B146" s="8" t="s">
        <v>17</v>
      </c>
      <c r="C146" s="8">
        <v>38</v>
      </c>
      <c r="D146" s="8" t="s">
        <v>60</v>
      </c>
      <c r="F146" s="8">
        <v>0.8</v>
      </c>
      <c r="J146">
        <v>16</v>
      </c>
      <c r="K146">
        <v>1</v>
      </c>
      <c r="L146">
        <v>16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22.694790999999995</v>
      </c>
      <c r="P146">
        <f>IF(O146&lt;0," ",O146)</f>
        <v>22.694790999999995</v>
      </c>
      <c r="S146">
        <f>3.14159*((F146/2)^2)</f>
        <v>0.50265440000000006</v>
      </c>
    </row>
    <row r="147" spans="1:19">
      <c r="A147" s="9">
        <v>42758</v>
      </c>
      <c r="B147" s="8" t="s">
        <v>17</v>
      </c>
      <c r="C147" s="8">
        <v>38</v>
      </c>
      <c r="D147" s="8" t="s">
        <v>60</v>
      </c>
      <c r="F147" s="8">
        <v>0.57999999999999996</v>
      </c>
      <c r="J147">
        <f>27+27+40</f>
        <v>94</v>
      </c>
      <c r="K147">
        <v>3</v>
      </c>
      <c r="L147">
        <v>40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8.7330949999999987</v>
      </c>
      <c r="P147">
        <f>IF(O147&lt;0," ",O147)</f>
        <v>8.7330949999999987</v>
      </c>
      <c r="S147">
        <f>3.14159*((F147/2)^2)</f>
        <v>0.26420771899999995</v>
      </c>
    </row>
    <row r="148" spans="1:19">
      <c r="A148" s="9">
        <v>42758</v>
      </c>
      <c r="B148" s="8" t="s">
        <v>17</v>
      </c>
      <c r="C148" s="8">
        <v>38</v>
      </c>
      <c r="D148" s="8" t="s">
        <v>60</v>
      </c>
      <c r="F148" s="8">
        <v>0.45</v>
      </c>
      <c r="J148">
        <f>7</f>
        <v>7</v>
      </c>
      <c r="K148">
        <v>1</v>
      </c>
      <c r="L148">
        <v>7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24.562200999999995</v>
      </c>
      <c r="P148">
        <f>IF(O148&lt;0," ",O148)</f>
        <v>24.562200999999995</v>
      </c>
      <c r="S148">
        <f>3.14159*((F148/2)^2)</f>
        <v>0.15904299375</v>
      </c>
    </row>
    <row r="149" spans="1:19">
      <c r="A149" s="9">
        <v>42758</v>
      </c>
      <c r="B149" s="8" t="s">
        <v>17</v>
      </c>
      <c r="C149" s="8">
        <v>38</v>
      </c>
      <c r="D149" s="8" t="s">
        <v>60</v>
      </c>
      <c r="F149" s="8">
        <v>1.8</v>
      </c>
      <c r="J149">
        <f>98+90+96+98+49</f>
        <v>431</v>
      </c>
      <c r="K149">
        <v>5</v>
      </c>
      <c r="L149">
        <v>98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8.8116140000000023</v>
      </c>
      <c r="P149">
        <f>IF(O149&lt;0," ",O149)</f>
        <v>8.8116140000000023</v>
      </c>
      <c r="S149">
        <f>3.14159*((F149/2)^2)</f>
        <v>2.5446879</v>
      </c>
    </row>
    <row r="150" spans="1:19">
      <c r="A150" s="9">
        <v>42758</v>
      </c>
      <c r="B150" s="8" t="s">
        <v>17</v>
      </c>
      <c r="C150" s="8">
        <v>38</v>
      </c>
      <c r="D150" s="8" t="s">
        <v>60</v>
      </c>
      <c r="F150" s="8">
        <v>1.43</v>
      </c>
      <c r="J150">
        <f>175+180+190+234+224+235</f>
        <v>1238</v>
      </c>
      <c r="K150">
        <v>6</v>
      </c>
      <c r="L150">
        <v>235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36.178981</v>
      </c>
      <c r="P150">
        <f>IF(O150&lt;0," ",O150)</f>
        <v>36.178981</v>
      </c>
      <c r="S150">
        <f>3.14159*((F150/2)^2)</f>
        <v>1.6060593477499998</v>
      </c>
    </row>
    <row r="151" spans="1:19">
      <c r="A151" s="9">
        <v>42758</v>
      </c>
      <c r="B151" s="8" t="s">
        <v>17</v>
      </c>
      <c r="C151" s="8">
        <v>38</v>
      </c>
      <c r="D151" s="8" t="s">
        <v>60</v>
      </c>
      <c r="F151" s="8">
        <v>1.1000000000000001</v>
      </c>
      <c r="J151">
        <f>64+53+49+79</f>
        <v>245</v>
      </c>
      <c r="K151">
        <v>4</v>
      </c>
      <c r="L151">
        <v>79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4.1191920000000017</v>
      </c>
      <c r="P151">
        <f>IF(O151&lt;0," ",O151)</f>
        <v>4.1191920000000017</v>
      </c>
      <c r="S151">
        <f>3.14159*((F151/2)^2)</f>
        <v>0.95033097500000008</v>
      </c>
    </row>
    <row r="152" spans="1:19">
      <c r="A152" s="9">
        <v>42758</v>
      </c>
      <c r="B152" s="8" t="s">
        <v>17</v>
      </c>
      <c r="C152" s="8">
        <v>38</v>
      </c>
      <c r="D152" s="8" t="s">
        <v>60</v>
      </c>
      <c r="F152" s="8">
        <v>0.45</v>
      </c>
      <c r="J152">
        <f>14+15</f>
        <v>29</v>
      </c>
      <c r="K152">
        <v>2</v>
      </c>
      <c r="L152">
        <v>15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17.192497999999997</v>
      </c>
      <c r="P152">
        <f>IF(O152&lt;0," ",O152)</f>
        <v>17.192497999999997</v>
      </c>
      <c r="S152">
        <f>3.14159*((F152/2)^2)</f>
        <v>0.15904299375</v>
      </c>
    </row>
    <row r="153" spans="1:19">
      <c r="A153" s="9">
        <v>42758</v>
      </c>
      <c r="B153" s="8" t="s">
        <v>17</v>
      </c>
      <c r="C153" s="8">
        <v>38</v>
      </c>
      <c r="D153" s="8" t="s">
        <v>60</v>
      </c>
      <c r="F153" s="8">
        <v>0.88</v>
      </c>
      <c r="J153">
        <v>23</v>
      </c>
      <c r="K153">
        <v>1</v>
      </c>
      <c r="L153">
        <v>23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21.242360999999995</v>
      </c>
      <c r="P153">
        <f>IF(O153&lt;0," ",O153)</f>
        <v>21.242360999999995</v>
      </c>
      <c r="S153">
        <f>3.14159*((F153/2)^2)</f>
        <v>0.60821182399999996</v>
      </c>
    </row>
    <row r="154" spans="1:19">
      <c r="A154" s="9">
        <v>42758</v>
      </c>
      <c r="B154" s="8" t="s">
        <v>17</v>
      </c>
      <c r="C154" s="8">
        <v>38</v>
      </c>
      <c r="D154" s="8" t="s">
        <v>60</v>
      </c>
      <c r="F154" s="8">
        <v>5.15</v>
      </c>
      <c r="J154">
        <f>190+255+259+239</f>
        <v>943</v>
      </c>
      <c r="K154">
        <v>4</v>
      </c>
      <c r="L154">
        <v>259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15.336082000000012</v>
      </c>
      <c r="P154">
        <f>IF(O154&lt;0," ",O154)</f>
        <v>15.336082000000012</v>
      </c>
      <c r="S154">
        <f>3.14159*((F154/2)^2)</f>
        <v>20.830705193750003</v>
      </c>
    </row>
    <row r="155" spans="1:19">
      <c r="A155" s="9">
        <v>42758</v>
      </c>
      <c r="B155" s="8" t="s">
        <v>17</v>
      </c>
      <c r="C155" s="8">
        <v>29</v>
      </c>
      <c r="D155" s="8" t="s">
        <v>60</v>
      </c>
      <c r="F155" s="8">
        <v>0.72</v>
      </c>
      <c r="J155">
        <v>26</v>
      </c>
      <c r="K155">
        <v>2</v>
      </c>
      <c r="L155">
        <v>14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17.212477999999997</v>
      </c>
      <c r="P155">
        <f>IF(O155&lt;0," ",O155)</f>
        <v>17.212477999999997</v>
      </c>
      <c r="S155">
        <f>3.14159*((F155/2)^2)</f>
        <v>0.40715006399999998</v>
      </c>
    </row>
    <row r="156" spans="1:19">
      <c r="A156" s="9">
        <v>42758</v>
      </c>
      <c r="B156" s="8" t="s">
        <v>17</v>
      </c>
      <c r="C156" s="8">
        <v>29</v>
      </c>
      <c r="D156" s="8" t="s">
        <v>60</v>
      </c>
      <c r="F156" s="8">
        <v>1</v>
      </c>
      <c r="J156">
        <f>31+27+24</f>
        <v>82</v>
      </c>
      <c r="K156">
        <v>3</v>
      </c>
      <c r="L156">
        <v>31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10.319239999999997</v>
      </c>
      <c r="P156">
        <f>IF(O156&lt;0," ",O156)</f>
        <v>10.319239999999997</v>
      </c>
      <c r="S156">
        <f>3.14159*((F156/2)^2)</f>
        <v>0.78539749999999997</v>
      </c>
    </row>
    <row r="157" spans="1:19">
      <c r="A157" s="9">
        <v>42758</v>
      </c>
      <c r="B157" s="8" t="s">
        <v>17</v>
      </c>
      <c r="C157" s="8">
        <v>29</v>
      </c>
      <c r="D157" s="8" t="s">
        <v>60</v>
      </c>
      <c r="F157" s="8">
        <v>0.7</v>
      </c>
      <c r="J157">
        <f>39+48</f>
        <v>87</v>
      </c>
      <c r="K157">
        <v>2</v>
      </c>
      <c r="L157">
        <v>48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12.689202999999999</v>
      </c>
      <c r="P157">
        <f>IF(O157&lt;0," ",O157)</f>
        <v>12.689202999999999</v>
      </c>
      <c r="S157">
        <f>3.14159*((F157/2)^2)</f>
        <v>0.38484477499999992</v>
      </c>
    </row>
    <row r="158" spans="1:19">
      <c r="A158" s="9">
        <v>42758</v>
      </c>
      <c r="B158" s="8" t="s">
        <v>17</v>
      </c>
      <c r="C158" s="8">
        <v>29</v>
      </c>
      <c r="D158" s="8" t="s">
        <v>60</v>
      </c>
      <c r="F158" s="8">
        <v>5.08</v>
      </c>
      <c r="J158">
        <f>174+230+238+235</f>
        <v>877</v>
      </c>
      <c r="K158">
        <v>4</v>
      </c>
      <c r="L158">
        <v>238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15.474397000000003</v>
      </c>
      <c r="P158">
        <f>IF(O158&lt;0," ",O158)</f>
        <v>15.474397000000003</v>
      </c>
      <c r="S158">
        <f>3.14159*((F158/2)^2)</f>
        <v>20.268282043999999</v>
      </c>
    </row>
    <row r="159" spans="1:19">
      <c r="A159" s="9">
        <v>42758</v>
      </c>
      <c r="B159" s="8" t="s">
        <v>17</v>
      </c>
      <c r="C159" s="8">
        <v>29</v>
      </c>
      <c r="D159" s="8" t="s">
        <v>60</v>
      </c>
      <c r="F159" s="8">
        <v>4.38</v>
      </c>
      <c r="J159">
        <f>203+251+263+301</f>
        <v>1018</v>
      </c>
      <c r="K159">
        <v>4</v>
      </c>
      <c r="L159">
        <v>301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9.7154170000000093</v>
      </c>
      <c r="P159">
        <f>IF(O159&lt;0," ",O159)</f>
        <v>9.7154170000000093</v>
      </c>
      <c r="S159">
        <f>3.14159*((F159/2)^2)</f>
        <v>15.067379798999999</v>
      </c>
    </row>
    <row r="160" spans="1:19">
      <c r="A160" s="9">
        <v>42758</v>
      </c>
      <c r="B160" s="8" t="s">
        <v>17</v>
      </c>
      <c r="C160" s="8">
        <v>29</v>
      </c>
      <c r="D160" s="8" t="s">
        <v>60</v>
      </c>
      <c r="F160" s="8">
        <v>1.05</v>
      </c>
      <c r="J160">
        <f>23+21+38</f>
        <v>82</v>
      </c>
      <c r="K160">
        <v>3</v>
      </c>
      <c r="L160">
        <v>38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8.210524999999997</v>
      </c>
      <c r="P160">
        <f>IF(O160&lt;0," ",O160)</f>
        <v>8.210524999999997</v>
      </c>
      <c r="S160">
        <f>3.14159*((F160/2)^2)</f>
        <v>0.86590074375000003</v>
      </c>
    </row>
    <row r="161" spans="1:19">
      <c r="A161" s="9">
        <v>42758</v>
      </c>
      <c r="B161" s="8" t="s">
        <v>17</v>
      </c>
      <c r="C161" s="8">
        <v>29</v>
      </c>
      <c r="D161" s="8" t="s">
        <v>60</v>
      </c>
      <c r="F161" s="8">
        <v>0.7</v>
      </c>
      <c r="J161">
        <f>17</f>
        <v>17</v>
      </c>
      <c r="K161">
        <v>1</v>
      </c>
      <c r="L161">
        <v>17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22.487300999999999</v>
      </c>
      <c r="P161">
        <f>IF(O161&lt;0," ",O161)</f>
        <v>22.487300999999999</v>
      </c>
      <c r="S161">
        <f>3.14159*((F161/2)^2)</f>
        <v>0.38484477499999992</v>
      </c>
    </row>
    <row r="162" spans="1:19">
      <c r="A162" s="9">
        <v>42758</v>
      </c>
      <c r="B162" s="8" t="s">
        <v>17</v>
      </c>
      <c r="C162" s="8">
        <v>29</v>
      </c>
      <c r="D162" s="8" t="s">
        <v>60</v>
      </c>
      <c r="F162" s="41">
        <v>1.08</v>
      </c>
      <c r="J162">
        <v>57</v>
      </c>
      <c r="K162">
        <v>2</v>
      </c>
      <c r="L162">
        <v>30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15.298962999999997</v>
      </c>
      <c r="P162">
        <f>IF(O162&lt;0," ",O162)</f>
        <v>15.298962999999997</v>
      </c>
      <c r="S162">
        <f>3.14159*((F162/2)^2)</f>
        <v>0.91608764400000009</v>
      </c>
    </row>
    <row r="163" spans="1:19">
      <c r="A163" s="9">
        <v>42758</v>
      </c>
      <c r="B163" s="8" t="s">
        <v>17</v>
      </c>
      <c r="C163" s="8">
        <v>25</v>
      </c>
      <c r="D163" s="8" t="s">
        <v>60</v>
      </c>
      <c r="F163" s="8">
        <v>0.46</v>
      </c>
      <c r="J163">
        <v>57</v>
      </c>
      <c r="K163">
        <v>2</v>
      </c>
      <c r="L163">
        <v>30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15.298962999999997</v>
      </c>
      <c r="P163">
        <f>IF(O163&lt;0," ",O163)</f>
        <v>15.298962999999997</v>
      </c>
      <c r="S163">
        <f>3.14159*((F163/2)^2)</f>
        <v>0.166190111</v>
      </c>
    </row>
    <row r="164" spans="1:19">
      <c r="A164" s="9">
        <v>42758</v>
      </c>
      <c r="B164" s="8" t="s">
        <v>17</v>
      </c>
      <c r="C164" s="8">
        <v>25</v>
      </c>
      <c r="D164" s="8" t="s">
        <v>60</v>
      </c>
      <c r="F164" s="8">
        <v>0.23</v>
      </c>
      <c r="J164">
        <v>57</v>
      </c>
      <c r="K164">
        <v>2</v>
      </c>
      <c r="L164">
        <v>30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15.298962999999997</v>
      </c>
      <c r="P164">
        <f>IF(O164&lt;0," ",O164)</f>
        <v>15.298962999999997</v>
      </c>
      <c r="S164">
        <f>3.14159*((F164/2)^2)</f>
        <v>4.154752775E-2</v>
      </c>
    </row>
    <row r="165" spans="1:19">
      <c r="A165" s="9">
        <v>42758</v>
      </c>
      <c r="B165" s="8" t="s">
        <v>17</v>
      </c>
      <c r="C165" s="8">
        <v>25</v>
      </c>
      <c r="D165" s="8" t="s">
        <v>60</v>
      </c>
      <c r="F165" s="8">
        <v>6.22</v>
      </c>
      <c r="J165">
        <f>195+235+233+235+248+251+254</f>
        <v>1651</v>
      </c>
      <c r="K165">
        <v>7</v>
      </c>
      <c r="L165">
        <v>254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62.153788000000027</v>
      </c>
      <c r="P165">
        <f>IF(O165&lt;0," ",O165)</f>
        <v>62.153788000000027</v>
      </c>
      <c r="S165">
        <f>3.14159*((F165/2)^2)</f>
        <v>30.385772638999995</v>
      </c>
    </row>
    <row r="166" spans="1:19">
      <c r="A166" s="9">
        <v>42758</v>
      </c>
      <c r="B166" s="8" t="s">
        <v>17</v>
      </c>
      <c r="C166" s="8">
        <v>25</v>
      </c>
      <c r="D166" s="8" t="s">
        <v>60</v>
      </c>
      <c r="F166" s="8">
        <v>2.5</v>
      </c>
      <c r="J166">
        <f>72+96+200+215</f>
        <v>583</v>
      </c>
      <c r="K166">
        <v>4</v>
      </c>
      <c r="L166">
        <v>215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-5.1609379999999945</v>
      </c>
      <c r="P166" t="str">
        <f>IF(O166&lt;0," ",O166)</f>
        <v xml:space="preserve"> </v>
      </c>
      <c r="S166">
        <f>3.14159*((F166/2)^2)</f>
        <v>4.9087343749999999</v>
      </c>
    </row>
    <row r="167" spans="1:19">
      <c r="A167" s="9">
        <v>42758</v>
      </c>
      <c r="B167" s="8" t="s">
        <v>17</v>
      </c>
      <c r="C167" s="8">
        <v>25</v>
      </c>
      <c r="D167" s="8" t="s">
        <v>60</v>
      </c>
      <c r="F167" s="8">
        <v>0.7</v>
      </c>
      <c r="J167">
        <f>23+17+18</f>
        <v>58</v>
      </c>
      <c r="K167">
        <v>3</v>
      </c>
      <c r="L167">
        <v>23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10.479079999999996</v>
      </c>
      <c r="P167">
        <f>IF(O167&lt;0," ",O167)</f>
        <v>10.479079999999996</v>
      </c>
      <c r="S167">
        <f>3.14159*((F167/2)^2)</f>
        <v>0.38484477499999992</v>
      </c>
    </row>
    <row r="168" spans="1:19">
      <c r="A168" s="9">
        <v>42758</v>
      </c>
      <c r="B168" s="8" t="s">
        <v>17</v>
      </c>
      <c r="C168" s="8">
        <v>25</v>
      </c>
      <c r="D168" s="8" t="s">
        <v>60</v>
      </c>
      <c r="F168" s="8">
        <v>1</v>
      </c>
      <c r="J168">
        <f>24</f>
        <v>24</v>
      </c>
      <c r="K168">
        <v>1</v>
      </c>
      <c r="L168">
        <v>24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21.034870999999995</v>
      </c>
      <c r="P168">
        <f>IF(O168&lt;0," ",O168)</f>
        <v>21.034870999999995</v>
      </c>
      <c r="S168">
        <f>3.14159*((F168/2)^2)</f>
        <v>0.78539749999999997</v>
      </c>
    </row>
    <row r="169" spans="1:19">
      <c r="A169" s="9">
        <v>42758</v>
      </c>
      <c r="B169" s="8" t="s">
        <v>17</v>
      </c>
      <c r="C169" s="8">
        <v>25</v>
      </c>
      <c r="D169" s="8" t="s">
        <v>60</v>
      </c>
      <c r="F169" s="8">
        <v>1.4</v>
      </c>
      <c r="J169">
        <f>141+133+111</f>
        <v>385</v>
      </c>
      <c r="K169">
        <v>3</v>
      </c>
      <c r="L169">
        <v>141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5.5900549999999996</v>
      </c>
      <c r="P169">
        <f>IF(O169&lt;0," ",O169)</f>
        <v>5.5900549999999996</v>
      </c>
      <c r="S169">
        <f>3.14159*((F169/2)^2)</f>
        <v>1.5393790999999997</v>
      </c>
    </row>
    <row r="170" spans="1:19">
      <c r="A170" s="9">
        <v>42758</v>
      </c>
      <c r="B170" s="8" t="s">
        <v>17</v>
      </c>
      <c r="C170" s="8">
        <v>25</v>
      </c>
      <c r="D170" s="8" t="s">
        <v>60</v>
      </c>
      <c r="F170" s="8">
        <v>1.05</v>
      </c>
      <c r="J170">
        <f>40+70+103+150</f>
        <v>363</v>
      </c>
      <c r="K170">
        <v>4</v>
      </c>
      <c r="L170">
        <v>150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-6.2061129999999949</v>
      </c>
      <c r="P170" t="str">
        <f>IF(O170&lt;0," ",O170)</f>
        <v xml:space="preserve"> </v>
      </c>
      <c r="S170">
        <f>3.14159*((F170/2)^2)</f>
        <v>0.86590074375000003</v>
      </c>
    </row>
    <row r="171" spans="1:19">
      <c r="A171" s="9">
        <v>42758</v>
      </c>
      <c r="B171" s="8" t="s">
        <v>17</v>
      </c>
      <c r="C171" s="8">
        <v>25</v>
      </c>
      <c r="D171" s="8" t="s">
        <v>60</v>
      </c>
      <c r="F171" s="8">
        <v>0.9</v>
      </c>
      <c r="J171">
        <f>33+28+41+43</f>
        <v>145</v>
      </c>
      <c r="K171">
        <v>4</v>
      </c>
      <c r="L171">
        <v>43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5.5885120000000015</v>
      </c>
      <c r="P171">
        <f>IF(O171&lt;0," ",O171)</f>
        <v>5.5885120000000015</v>
      </c>
      <c r="S171">
        <f>3.14159*((F171/2)^2)</f>
        <v>0.636171975</v>
      </c>
    </row>
    <row r="172" spans="1:19">
      <c r="A172" s="9">
        <v>42758</v>
      </c>
      <c r="B172" s="8" t="s">
        <v>17</v>
      </c>
      <c r="C172" s="8">
        <v>17</v>
      </c>
      <c r="D172" s="8" t="s">
        <v>60</v>
      </c>
      <c r="F172" s="8">
        <v>0.85</v>
      </c>
      <c r="H172" s="8"/>
      <c r="J172">
        <f>24+55+50</f>
        <v>129</v>
      </c>
      <c r="K172">
        <v>3</v>
      </c>
      <c r="L172">
        <v>55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7.4958449999999957</v>
      </c>
      <c r="P172">
        <f>IF(O172&lt;0," ",O172)</f>
        <v>7.4958449999999957</v>
      </c>
      <c r="S172">
        <f>3.14159*((F172/2)^2)</f>
        <v>0.56744969374999987</v>
      </c>
    </row>
    <row r="173" spans="1:19">
      <c r="A173" s="9">
        <v>42758</v>
      </c>
      <c r="B173" s="8" t="s">
        <v>17</v>
      </c>
      <c r="C173" s="8">
        <v>17</v>
      </c>
      <c r="D173" s="8" t="s">
        <v>60</v>
      </c>
      <c r="F173" s="8">
        <v>1.34</v>
      </c>
      <c r="J173">
        <f>40+44+26+42</f>
        <v>152</v>
      </c>
      <c r="K173">
        <v>4</v>
      </c>
      <c r="L173">
        <v>44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5.9435519999999968</v>
      </c>
      <c r="P173">
        <f>IF(O173&lt;0," ",O173)</f>
        <v>5.9435519999999968</v>
      </c>
      <c r="S173">
        <f>3.14159*((F173/2)^2)</f>
        <v>1.4102597510000001</v>
      </c>
    </row>
    <row r="174" spans="1:19">
      <c r="A174" s="9">
        <v>42758</v>
      </c>
      <c r="B174" s="8" t="s">
        <v>17</v>
      </c>
      <c r="C174" s="8">
        <v>17</v>
      </c>
      <c r="D174" s="8" t="s">
        <v>60</v>
      </c>
      <c r="F174" s="8">
        <v>0.78</v>
      </c>
      <c r="J174">
        <f>28</f>
        <v>28</v>
      </c>
      <c r="K174">
        <v>2</v>
      </c>
      <c r="L174">
        <v>15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17.098742999999999</v>
      </c>
      <c r="P174">
        <f>IF(O174&lt;0," ",O174)</f>
        <v>17.098742999999999</v>
      </c>
      <c r="S174">
        <f>3.14159*((F174/2)^2)</f>
        <v>0.47783583900000004</v>
      </c>
    </row>
    <row r="175" spans="1:19">
      <c r="A175" s="9">
        <v>42758</v>
      </c>
      <c r="B175" s="8" t="s">
        <v>17</v>
      </c>
      <c r="C175" s="8">
        <v>17</v>
      </c>
      <c r="D175" s="8" t="s">
        <v>60</v>
      </c>
      <c r="F175" s="8">
        <v>0.55000000000000004</v>
      </c>
      <c r="J175">
        <f>28+24+38</f>
        <v>90</v>
      </c>
      <c r="K175">
        <v>3</v>
      </c>
      <c r="L175">
        <v>38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8.9605649999999955</v>
      </c>
      <c r="P175">
        <f>IF(O175&lt;0," ",O175)</f>
        <v>8.9605649999999955</v>
      </c>
      <c r="S175">
        <f>3.14159*((F175/2)^2)</f>
        <v>0.23758274375000002</v>
      </c>
    </row>
    <row r="176" spans="1:19">
      <c r="A176" s="9">
        <v>42758</v>
      </c>
      <c r="B176" s="8" t="s">
        <v>17</v>
      </c>
      <c r="C176" s="8">
        <v>17</v>
      </c>
      <c r="D176" s="8" t="s">
        <v>60</v>
      </c>
      <c r="F176" s="8">
        <v>0.63</v>
      </c>
      <c r="J176">
        <v>35</v>
      </c>
      <c r="K176">
        <v>4</v>
      </c>
      <c r="L176">
        <v>13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4.3128119999999974</v>
      </c>
      <c r="P176">
        <f>IF(O176&lt;0," ",O176)</f>
        <v>4.3128119999999974</v>
      </c>
      <c r="S176">
        <f>3.14159*((F176/2)^2)</f>
        <v>0.31172426775000001</v>
      </c>
    </row>
    <row r="177" spans="1:19">
      <c r="A177" s="9">
        <v>42758</v>
      </c>
      <c r="B177" s="8" t="s">
        <v>17</v>
      </c>
      <c r="C177" s="8">
        <v>17</v>
      </c>
      <c r="D177" s="8" t="s">
        <v>60</v>
      </c>
      <c r="F177" s="8">
        <v>0.5</v>
      </c>
      <c r="J177">
        <v>14</v>
      </c>
      <c r="K177">
        <v>2</v>
      </c>
      <c r="L177">
        <v>8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17.894887999999995</v>
      </c>
      <c r="P177">
        <f>IF(O177&lt;0," ",O177)</f>
        <v>17.894887999999995</v>
      </c>
      <c r="S177">
        <f>3.14159*((F177/2)^2)</f>
        <v>0.19634937499999999</v>
      </c>
    </row>
    <row r="178" spans="1:19">
      <c r="A178" s="9">
        <v>42758</v>
      </c>
      <c r="B178" s="8" t="s">
        <v>17</v>
      </c>
      <c r="C178" s="8">
        <v>17</v>
      </c>
      <c r="D178" s="8" t="s">
        <v>60</v>
      </c>
      <c r="F178" s="8">
        <v>0.7</v>
      </c>
      <c r="G178" s="8"/>
      <c r="I178" s="8"/>
      <c r="J178">
        <f>15+23+21+37</f>
        <v>96</v>
      </c>
      <c r="K178">
        <v>4</v>
      </c>
      <c r="L178">
        <v>37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2.8019869999999969</v>
      </c>
      <c r="P178">
        <f>IF(O178&lt;0," ",O178)</f>
        <v>2.8019869999999969</v>
      </c>
      <c r="S178">
        <f>3.14159*((F178/2)^2)</f>
        <v>0.38484477499999992</v>
      </c>
    </row>
    <row r="179" spans="1:19">
      <c r="A179" s="9">
        <v>42758</v>
      </c>
      <c r="B179" s="8" t="s">
        <v>17</v>
      </c>
      <c r="C179" s="8">
        <v>17</v>
      </c>
      <c r="D179" s="8" t="s">
        <v>60</v>
      </c>
      <c r="F179" s="8">
        <v>0.83</v>
      </c>
      <c r="G179" s="8"/>
      <c r="I179" s="8"/>
      <c r="J179">
        <f>29</f>
        <v>29</v>
      </c>
      <c r="K179">
        <v>2</v>
      </c>
      <c r="L179">
        <v>16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16.891252999999999</v>
      </c>
      <c r="P179">
        <f>IF(O179&lt;0," ",O179)</f>
        <v>16.891252999999999</v>
      </c>
      <c r="S179">
        <f>3.14159*((F179/2)^2)</f>
        <v>0.54106033774999995</v>
      </c>
    </row>
    <row r="180" spans="1:19">
      <c r="A180" s="9">
        <v>42758</v>
      </c>
      <c r="B180" s="8" t="s">
        <v>17</v>
      </c>
      <c r="C180" s="8">
        <v>3</v>
      </c>
      <c r="D180" s="8" t="s">
        <v>64</v>
      </c>
      <c r="F180" s="8">
        <v>1.7</v>
      </c>
      <c r="G180" s="8"/>
      <c r="I180" s="8"/>
      <c r="J180">
        <v>163</v>
      </c>
      <c r="K180">
        <v>1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-4.5905969999999998</v>
      </c>
      <c r="P180" t="str">
        <f>IF(O180&lt;0," ",O180)</f>
        <v xml:space="preserve"> </v>
      </c>
      <c r="S180">
        <f>3.14159*((F180/2)^2)</f>
        <v>2.2697987749999995</v>
      </c>
    </row>
    <row r="181" spans="1:19">
      <c r="A181" s="9">
        <v>42758</v>
      </c>
      <c r="B181" s="8" t="s">
        <v>17</v>
      </c>
      <c r="C181" s="8">
        <v>3</v>
      </c>
      <c r="D181" s="8" t="s">
        <v>64</v>
      </c>
      <c r="F181" s="8">
        <v>1.65</v>
      </c>
      <c r="G181" s="8">
        <v>5</v>
      </c>
      <c r="I181" s="8"/>
      <c r="J181">
        <v>180</v>
      </c>
      <c r="K181" s="8">
        <v>1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0</v>
      </c>
      <c r="P181">
        <f>IF(O181&lt;0," ",O181)</f>
        <v>0</v>
      </c>
      <c r="S181">
        <f>3.14159*((F181/2)^2)</f>
        <v>2.1382446937499995</v>
      </c>
    </row>
    <row r="182" spans="1:19">
      <c r="A182" s="9">
        <v>42758</v>
      </c>
      <c r="B182" s="8" t="s">
        <v>17</v>
      </c>
      <c r="C182" s="8">
        <v>3</v>
      </c>
      <c r="D182" s="8" t="s">
        <v>64</v>
      </c>
      <c r="F182" s="8">
        <v>1.66</v>
      </c>
      <c r="J182">
        <v>152</v>
      </c>
      <c r="K182">
        <v>1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-4.5905969999999998</v>
      </c>
      <c r="P182" t="str">
        <f>IF(O182&lt;0," ",O182)</f>
        <v xml:space="preserve"> </v>
      </c>
      <c r="S182">
        <f>3.14159*((F182/2)^2)</f>
        <v>2.1642413509999998</v>
      </c>
    </row>
    <row r="183" spans="1:19">
      <c r="A183" s="9">
        <v>42758</v>
      </c>
      <c r="B183" s="8" t="s">
        <v>17</v>
      </c>
      <c r="C183" s="8">
        <v>3</v>
      </c>
      <c r="D183" s="8" t="s">
        <v>64</v>
      </c>
      <c r="F183" s="8">
        <v>0.27</v>
      </c>
      <c r="G183" s="8"/>
      <c r="I183" s="8"/>
      <c r="J183" s="8">
        <v>18</v>
      </c>
      <c r="K183">
        <v>1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-4.5905969999999998</v>
      </c>
      <c r="P183" t="str">
        <f>IF(O183&lt;0," ",O183)</f>
        <v xml:space="preserve"> </v>
      </c>
      <c r="S183">
        <f>3.14159*((F183/2)^2)</f>
        <v>5.7255477750000006E-2</v>
      </c>
    </row>
    <row r="184" spans="1:19">
      <c r="A184" s="9">
        <v>42758</v>
      </c>
      <c r="B184" s="8" t="s">
        <v>17</v>
      </c>
      <c r="C184" s="8">
        <v>3</v>
      </c>
      <c r="D184" s="8" t="s">
        <v>64</v>
      </c>
      <c r="F184" s="8">
        <v>1.73</v>
      </c>
      <c r="G184" s="8"/>
      <c r="I184" s="8"/>
      <c r="J184">
        <v>281</v>
      </c>
      <c r="K184">
        <v>1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-4.5905969999999998</v>
      </c>
      <c r="P184" t="str">
        <f>IF(O184&lt;0," ",O184)</f>
        <v xml:space="preserve"> </v>
      </c>
      <c r="S184">
        <f>3.14159*((F184/2)^2)</f>
        <v>2.3506161777500001</v>
      </c>
    </row>
    <row r="185" spans="1:19">
      <c r="A185" s="9">
        <v>42758</v>
      </c>
      <c r="B185" s="8" t="s">
        <v>17</v>
      </c>
      <c r="C185" s="8">
        <v>3</v>
      </c>
      <c r="D185" s="8" t="s">
        <v>64</v>
      </c>
      <c r="F185" s="8">
        <v>0.98</v>
      </c>
      <c r="J185">
        <v>18</v>
      </c>
      <c r="K185">
        <v>1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-4.5905969999999998</v>
      </c>
      <c r="P185" t="str">
        <f>IF(O185&lt;0," ",O185)</f>
        <v xml:space="preserve"> </v>
      </c>
      <c r="S185">
        <f>3.14159*((F185/2)^2)</f>
        <v>0.7542957589999999</v>
      </c>
    </row>
    <row r="186" spans="1:19">
      <c r="A186" s="9">
        <v>42758</v>
      </c>
      <c r="B186" s="8" t="s">
        <v>17</v>
      </c>
      <c r="C186" s="8">
        <v>3</v>
      </c>
      <c r="D186" s="8" t="s">
        <v>64</v>
      </c>
      <c r="F186" s="8">
        <v>0.73</v>
      </c>
      <c r="G186" s="8"/>
      <c r="I186" s="8"/>
      <c r="J186">
        <v>42</v>
      </c>
      <c r="K186">
        <v>1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-4.5905969999999998</v>
      </c>
      <c r="P186" t="str">
        <f>IF(O186&lt;0," ",O186)</f>
        <v xml:space="preserve"> </v>
      </c>
      <c r="S186">
        <f>3.14159*((F186/2)^2)</f>
        <v>0.41853832774999994</v>
      </c>
    </row>
    <row r="187" spans="1:19">
      <c r="A187" s="9">
        <v>42758</v>
      </c>
      <c r="B187" s="8" t="s">
        <v>17</v>
      </c>
      <c r="C187" s="8">
        <v>3</v>
      </c>
      <c r="D187" s="8" t="s">
        <v>64</v>
      </c>
      <c r="F187" s="8">
        <v>2.2999999999999998</v>
      </c>
      <c r="G187" s="8"/>
      <c r="H187" s="8"/>
      <c r="I187" s="8"/>
      <c r="J187">
        <v>259</v>
      </c>
      <c r="K187">
        <v>1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-4.5905969999999998</v>
      </c>
      <c r="P187" t="str">
        <f>IF(O187&lt;0," ",O187)</f>
        <v xml:space="preserve"> </v>
      </c>
      <c r="S187">
        <f>3.14159*((F187/2)^2)</f>
        <v>4.1547527749999995</v>
      </c>
    </row>
    <row r="188" spans="1:19">
      <c r="A188" s="9">
        <v>42758</v>
      </c>
      <c r="B188" s="8" t="s">
        <v>17</v>
      </c>
      <c r="C188" s="8">
        <v>3</v>
      </c>
      <c r="D188" s="8" t="s">
        <v>64</v>
      </c>
      <c r="F188" s="8">
        <v>2.08</v>
      </c>
      <c r="H188" s="8"/>
      <c r="I188" s="8"/>
      <c r="J188">
        <v>351</v>
      </c>
      <c r="K188">
        <v>1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-4.5905969999999998</v>
      </c>
      <c r="P188" t="str">
        <f>IF(O188&lt;0," ",O188)</f>
        <v xml:space="preserve"> </v>
      </c>
      <c r="S188">
        <f>3.14159*((F188/2)^2)</f>
        <v>3.3979437440000004</v>
      </c>
    </row>
    <row r="189" spans="1:19">
      <c r="A189" s="9">
        <v>42758</v>
      </c>
      <c r="B189" s="8" t="s">
        <v>17</v>
      </c>
      <c r="C189" s="8">
        <v>3</v>
      </c>
      <c r="D189" s="8" t="s">
        <v>64</v>
      </c>
      <c r="F189" s="8">
        <v>2.4</v>
      </c>
      <c r="H189" s="8"/>
      <c r="I189" s="8"/>
      <c r="J189">
        <v>179</v>
      </c>
      <c r="K189">
        <v>1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-4.5905969999999998</v>
      </c>
      <c r="P189" t="str">
        <f>IF(O189&lt;0," ",O189)</f>
        <v xml:space="preserve"> </v>
      </c>
      <c r="S189">
        <f>3.14159*((F189/2)^2)</f>
        <v>4.5238895999999995</v>
      </c>
    </row>
    <row r="190" spans="1:19">
      <c r="A190" s="9">
        <v>42758</v>
      </c>
      <c r="B190" s="8" t="s">
        <v>17</v>
      </c>
      <c r="C190" s="8">
        <v>3</v>
      </c>
      <c r="D190" s="8" t="s">
        <v>64</v>
      </c>
      <c r="E190" s="8"/>
      <c r="F190" s="8">
        <v>0.95</v>
      </c>
      <c r="G190" s="8"/>
      <c r="I190" s="8"/>
      <c r="J190">
        <v>41</v>
      </c>
      <c r="K190">
        <v>1</v>
      </c>
      <c r="O190">
        <f>IF(AND(OR(E190="S. acutus",E190="S. californicus",E190="S. tabernaemontani"),H190=0),F190*[1]Sheet1!$D$7+[1]Sheet1!$L$7,IF(AND(OR(E190="S. acutus",E190="S. tabernaemontani"),H190&gt;0),F190*[1]Sheet1!$D$8+N190*[1]Sheet1!$E$8,IF(AND(E190="S. californicus",H190&gt;0),F190*[1]Sheet1!$D$9+N190*[1]Sheet1!$E$9,IF(E190="S. maritimus",G190*[1]Sheet1!$C$10+F190*[1]Sheet1!$D$10+H190*[1]Sheet1!$F$10+[1]Sheet1!$L$10,IF(E190="S. americanus",G190*[1]Sheet1!$C$6+F190*[1]Sheet1!$D$6+[1]Sheet1!$L$6,IF(AND(OR(E190="T. domingensis",E190="T. latifolia"),F190&gt;0),G190*[1]Sheet1!$C$4+F190*[1]Sheet1!$D$4+I190*[1]Sheet1!$J$4+#REF!*[1]Sheet1!$K$4+[1]Sheet1!$L$4,IF(AND(OR(E190="T. domingensis",E190="T. latifolia"),J190&gt;0),J190*[1]Sheet1!$G$5+K190*[1]Sheet1!$H$5+L190*[1]Sheet1!$I$5+[1]Sheet1!$L$5,0)))))))</f>
        <v>0</v>
      </c>
      <c r="P190">
        <f>IF(O190&lt;0," ",O190)</f>
        <v>0</v>
      </c>
      <c r="S190">
        <f>3.14159*((G190/2)^2)</f>
        <v>0</v>
      </c>
    </row>
    <row r="191" spans="1:19">
      <c r="A191" s="9">
        <v>42758</v>
      </c>
      <c r="B191" s="8" t="s">
        <v>17</v>
      </c>
      <c r="C191" s="8">
        <v>3</v>
      </c>
      <c r="D191" s="8" t="s">
        <v>64</v>
      </c>
      <c r="F191" s="8">
        <v>1.4</v>
      </c>
      <c r="H191" s="8"/>
      <c r="I191" s="8"/>
      <c r="J191">
        <v>184</v>
      </c>
      <c r="K191">
        <v>1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-4.5905969999999998</v>
      </c>
      <c r="P191" t="str">
        <f>IF(O191&lt;0," ",O191)</f>
        <v xml:space="preserve"> </v>
      </c>
      <c r="S191">
        <f>3.14159*((F191/2)^2)</f>
        <v>1.5393790999999997</v>
      </c>
    </row>
    <row r="192" spans="1:19">
      <c r="A192" s="9">
        <v>42758</v>
      </c>
      <c r="B192" s="8" t="s">
        <v>17</v>
      </c>
      <c r="C192" s="8">
        <v>3</v>
      </c>
      <c r="D192" s="8" t="s">
        <v>64</v>
      </c>
      <c r="F192" s="8">
        <v>2.0499999999999998</v>
      </c>
      <c r="H192" s="8"/>
      <c r="J192">
        <v>311</v>
      </c>
      <c r="K192">
        <v>1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-4.5905969999999998</v>
      </c>
      <c r="P192" t="str">
        <f>IF(O192&lt;0," ",O192)</f>
        <v xml:space="preserve"> </v>
      </c>
      <c r="S192">
        <f>3.14159*((F192/2)^2)</f>
        <v>3.3006329937499994</v>
      </c>
    </row>
    <row r="193" spans="1:19">
      <c r="A193" s="9">
        <v>42758</v>
      </c>
      <c r="B193" s="8" t="s">
        <v>17</v>
      </c>
      <c r="C193" s="8">
        <v>3</v>
      </c>
      <c r="D193" s="8" t="s">
        <v>64</v>
      </c>
      <c r="F193" s="8">
        <v>1.75</v>
      </c>
      <c r="J193">
        <v>96</v>
      </c>
      <c r="K193">
        <v>1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-4.5905969999999998</v>
      </c>
      <c r="P193" t="str">
        <f>IF(O193&lt;0," ",O193)</f>
        <v xml:space="preserve"> </v>
      </c>
      <c r="S193">
        <f>3.14159*((F193/2)^2)</f>
        <v>2.4052798437499998</v>
      </c>
    </row>
    <row r="194" spans="1:19">
      <c r="A194" s="9">
        <v>42758</v>
      </c>
      <c r="B194" s="8" t="s">
        <v>17</v>
      </c>
      <c r="C194" s="8">
        <v>3</v>
      </c>
      <c r="D194" s="8" t="s">
        <v>64</v>
      </c>
      <c r="F194" s="8">
        <v>1.02</v>
      </c>
      <c r="J194">
        <v>113</v>
      </c>
      <c r="K194">
        <v>1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-4.5905969999999998</v>
      </c>
      <c r="P194" t="str">
        <f>IF(O194&lt;0," ",O194)</f>
        <v xml:space="preserve"> </v>
      </c>
      <c r="S194">
        <f>3.14159*((F194/2)^2)</f>
        <v>0.817127559</v>
      </c>
    </row>
    <row r="195" spans="1:19">
      <c r="A195" s="9">
        <v>42758</v>
      </c>
      <c r="B195" s="8" t="s">
        <v>17</v>
      </c>
      <c r="C195" s="8">
        <v>3</v>
      </c>
      <c r="D195" s="8" t="s">
        <v>64</v>
      </c>
      <c r="F195" s="8">
        <v>0.65</v>
      </c>
      <c r="H195" s="8"/>
      <c r="J195">
        <v>30</v>
      </c>
      <c r="K195">
        <v>1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-4.5905969999999998</v>
      </c>
      <c r="P195" t="str">
        <f>IF(O195&lt;0," ",O195)</f>
        <v xml:space="preserve"> </v>
      </c>
      <c r="S195">
        <f>3.14159*((F195/2)^2)</f>
        <v>0.33183044375000004</v>
      </c>
    </row>
    <row r="196" spans="1:19">
      <c r="A196" s="9">
        <v>42758</v>
      </c>
      <c r="B196" s="8" t="s">
        <v>17</v>
      </c>
      <c r="C196" s="8">
        <v>3</v>
      </c>
      <c r="D196" s="8" t="s">
        <v>64</v>
      </c>
      <c r="F196" s="8">
        <v>0.55000000000000004</v>
      </c>
      <c r="H196" s="8"/>
      <c r="J196">
        <v>26</v>
      </c>
      <c r="K196">
        <v>1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-4.5905969999999998</v>
      </c>
      <c r="P196" t="str">
        <f>IF(O196&lt;0," ",O196)</f>
        <v xml:space="preserve"> </v>
      </c>
      <c r="S196">
        <f>3.14159*((F196/2)^2)</f>
        <v>0.23758274375000002</v>
      </c>
    </row>
    <row r="197" spans="1:19">
      <c r="A197" s="9">
        <v>42758</v>
      </c>
      <c r="B197" s="8" t="s">
        <v>17</v>
      </c>
      <c r="C197" s="8">
        <v>3</v>
      </c>
      <c r="D197" s="8" t="s">
        <v>64</v>
      </c>
      <c r="F197" s="8">
        <v>2.5</v>
      </c>
      <c r="J197">
        <v>247</v>
      </c>
      <c r="K197">
        <v>1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-4.5905969999999998</v>
      </c>
      <c r="P197" t="str">
        <f>IF(O197&lt;0," ",O197)</f>
        <v xml:space="preserve"> </v>
      </c>
      <c r="S197">
        <f>3.14159*((F197/2)^2)</f>
        <v>4.9087343749999999</v>
      </c>
    </row>
    <row r="198" spans="1:19">
      <c r="A198" s="9">
        <v>42758</v>
      </c>
      <c r="B198" s="8" t="s">
        <v>17</v>
      </c>
      <c r="C198" s="8">
        <v>3</v>
      </c>
      <c r="D198" s="8" t="s">
        <v>64</v>
      </c>
      <c r="F198" s="8">
        <v>1.9</v>
      </c>
      <c r="H198" s="8"/>
      <c r="J198">
        <v>121</v>
      </c>
      <c r="K198">
        <v>1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-4.5905969999999998</v>
      </c>
      <c r="P198" t="str">
        <f>IF(O198&lt;0," ",O198)</f>
        <v xml:space="preserve"> </v>
      </c>
      <c r="S198">
        <f>3.14159*((F198/2)^2)</f>
        <v>2.835284975</v>
      </c>
    </row>
    <row r="199" spans="1:19">
      <c r="A199" s="9">
        <v>42758</v>
      </c>
      <c r="B199" s="8" t="s">
        <v>17</v>
      </c>
      <c r="C199" s="8">
        <v>3</v>
      </c>
      <c r="D199" s="8" t="s">
        <v>64</v>
      </c>
      <c r="F199" s="8">
        <v>0.56000000000000005</v>
      </c>
      <c r="J199">
        <v>9</v>
      </c>
      <c r="K199">
        <v>1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-4.5905969999999998</v>
      </c>
      <c r="P199" t="str">
        <f>IF(O199&lt;0," ",O199)</f>
        <v xml:space="preserve"> </v>
      </c>
      <c r="S199">
        <f>3.14159*((F199/2)^2)</f>
        <v>0.24630065600000003</v>
      </c>
    </row>
    <row r="200" spans="1:19">
      <c r="A200" s="9">
        <v>42758</v>
      </c>
      <c r="B200" s="8" t="s">
        <v>17</v>
      </c>
      <c r="C200" s="8">
        <v>3</v>
      </c>
      <c r="D200" s="8" t="s">
        <v>64</v>
      </c>
      <c r="F200" s="8">
        <v>2.2999999999999998</v>
      </c>
      <c r="G200">
        <v>3</v>
      </c>
      <c r="H200" s="8"/>
      <c r="J200">
        <v>319</v>
      </c>
      <c r="K200">
        <v>1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0</v>
      </c>
      <c r="P200">
        <f>IF(O200&lt;0," ",O200)</f>
        <v>0</v>
      </c>
      <c r="S200">
        <f>3.14159*((F200/2)^2)</f>
        <v>4.1547527749999995</v>
      </c>
    </row>
    <row r="201" spans="1:19">
      <c r="A201" s="9">
        <v>42758</v>
      </c>
      <c r="B201" s="8" t="s">
        <v>17</v>
      </c>
      <c r="C201" s="8">
        <v>3</v>
      </c>
      <c r="D201" s="8" t="s">
        <v>64</v>
      </c>
      <c r="F201" s="8">
        <v>1.05</v>
      </c>
      <c r="J201">
        <v>37</v>
      </c>
      <c r="K201">
        <v>1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-4.5905969999999998</v>
      </c>
      <c r="P201" t="str">
        <f>IF(O201&lt;0," ",O201)</f>
        <v xml:space="preserve"> </v>
      </c>
      <c r="S201">
        <f>3.14159*((F201/2)^2)</f>
        <v>0.86590074375000003</v>
      </c>
    </row>
    <row r="202" spans="1:19">
      <c r="A202" s="9">
        <v>42758</v>
      </c>
      <c r="B202" s="8" t="s">
        <v>17</v>
      </c>
      <c r="C202" s="8">
        <v>3</v>
      </c>
      <c r="D202" s="8" t="s">
        <v>64</v>
      </c>
      <c r="F202" s="8">
        <v>1.08</v>
      </c>
      <c r="H202" s="8"/>
      <c r="J202">
        <v>241</v>
      </c>
      <c r="K202">
        <v>1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-4.5905969999999998</v>
      </c>
      <c r="P202" t="str">
        <f>IF(O202&lt;0," ",O202)</f>
        <v xml:space="preserve"> </v>
      </c>
      <c r="S202">
        <f>3.14159*((F202/2)^2)</f>
        <v>0.91608764400000009</v>
      </c>
    </row>
    <row r="203" spans="1:19">
      <c r="A203" s="9">
        <v>42758</v>
      </c>
      <c r="B203" s="8" t="s">
        <v>17</v>
      </c>
      <c r="C203" s="8">
        <v>3</v>
      </c>
      <c r="D203" s="8" t="s">
        <v>64</v>
      </c>
      <c r="F203" s="8">
        <v>1</v>
      </c>
      <c r="J203">
        <v>31</v>
      </c>
      <c r="K203">
        <v>1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-4.5905969999999998</v>
      </c>
      <c r="P203" t="str">
        <f>IF(O203&lt;0," ",O203)</f>
        <v xml:space="preserve"> </v>
      </c>
      <c r="S203">
        <f>3.14159*((F203/2)^2)</f>
        <v>0.78539749999999997</v>
      </c>
    </row>
    <row r="204" spans="1:19">
      <c r="A204" s="9">
        <v>42758</v>
      </c>
      <c r="B204" s="8" t="s">
        <v>17</v>
      </c>
      <c r="C204" s="8">
        <v>3</v>
      </c>
      <c r="D204" s="8" t="s">
        <v>64</v>
      </c>
      <c r="F204" s="8">
        <v>2.2799999999999998</v>
      </c>
      <c r="H204" s="8"/>
      <c r="J204">
        <v>255</v>
      </c>
      <c r="K204">
        <v>1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-4.5905969999999998</v>
      </c>
      <c r="P204" t="str">
        <f>IF(O204&lt;0," ",O204)</f>
        <v xml:space="preserve"> </v>
      </c>
      <c r="S204">
        <f>3.14159*((F204/2)^2)</f>
        <v>4.0828103639999993</v>
      </c>
    </row>
    <row r="205" spans="1:19">
      <c r="A205" s="9">
        <v>42758</v>
      </c>
      <c r="B205" s="8" t="s">
        <v>17</v>
      </c>
      <c r="C205" s="8">
        <v>3</v>
      </c>
      <c r="D205" s="8" t="s">
        <v>64</v>
      </c>
      <c r="F205" s="8">
        <v>1.5</v>
      </c>
      <c r="H205" s="8"/>
      <c r="J205">
        <v>106</v>
      </c>
      <c r="K205">
        <v>1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-4.5905969999999998</v>
      </c>
      <c r="P205" t="str">
        <f>IF(O205&lt;0," ",O205)</f>
        <v xml:space="preserve"> </v>
      </c>
      <c r="S205">
        <f>3.14159*((F205/2)^2)</f>
        <v>1.767144375</v>
      </c>
    </row>
    <row r="206" spans="1:19">
      <c r="A206" s="9">
        <v>42758</v>
      </c>
      <c r="B206" s="8" t="s">
        <v>17</v>
      </c>
      <c r="C206" s="8">
        <v>3</v>
      </c>
      <c r="D206" s="8" t="s">
        <v>64</v>
      </c>
      <c r="F206" s="8">
        <v>1.95</v>
      </c>
      <c r="J206" s="8">
        <v>200</v>
      </c>
      <c r="K206">
        <v>1</v>
      </c>
      <c r="L206" s="8"/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-4.5905969999999998</v>
      </c>
      <c r="P206" t="str">
        <f>IF(O206&lt;0," ",O206)</f>
        <v xml:space="preserve"> </v>
      </c>
      <c r="S206">
        <f>3.14159*((F206/2)^2)</f>
        <v>2.9864739937499998</v>
      </c>
    </row>
    <row r="207" spans="1:19">
      <c r="A207" s="9">
        <v>42758</v>
      </c>
      <c r="B207" s="8" t="s">
        <v>17</v>
      </c>
      <c r="C207" s="8">
        <v>3</v>
      </c>
      <c r="D207" s="8" t="s">
        <v>60</v>
      </c>
      <c r="F207" s="8">
        <v>1.05</v>
      </c>
      <c r="H207" s="8"/>
      <c r="I207" s="8"/>
      <c r="J207">
        <f>28+58+44+61</f>
        <v>191</v>
      </c>
      <c r="K207">
        <v>4</v>
      </c>
      <c r="L207">
        <v>61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4.4788320000000006</v>
      </c>
      <c r="P207">
        <f>IF(O207&lt;0," ",O207)</f>
        <v>4.4788320000000006</v>
      </c>
      <c r="S207">
        <f>3.14159*((F207/2)^2)</f>
        <v>0.86590074375000003</v>
      </c>
    </row>
    <row r="208" spans="1:19">
      <c r="A208" s="9">
        <v>42760</v>
      </c>
      <c r="B208" s="8" t="s">
        <v>19</v>
      </c>
      <c r="C208" s="8">
        <v>31</v>
      </c>
      <c r="D208" s="8" t="s">
        <v>60</v>
      </c>
      <c r="F208" s="8">
        <v>1.4</v>
      </c>
      <c r="J208">
        <f>18+45+50+62</f>
        <v>175</v>
      </c>
      <c r="K208">
        <v>4</v>
      </c>
      <c r="L208">
        <v>62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2.6775069999999985</v>
      </c>
      <c r="P208">
        <f>IF(O208&lt;0," ",O208)</f>
        <v>2.6775069999999985</v>
      </c>
      <c r="S208">
        <f>3.14159*((F208/2)^2)</f>
        <v>1.5393790999999997</v>
      </c>
    </row>
    <row r="209" spans="1:19">
      <c r="A209" s="9">
        <v>42760</v>
      </c>
      <c r="B209" s="8" t="s">
        <v>19</v>
      </c>
      <c r="C209" s="8">
        <v>31</v>
      </c>
      <c r="D209" s="8" t="s">
        <v>60</v>
      </c>
      <c r="F209" s="8">
        <v>1.44</v>
      </c>
      <c r="J209">
        <f>47+58+37+98</f>
        <v>240</v>
      </c>
      <c r="K209">
        <v>4</v>
      </c>
      <c r="L209">
        <v>98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-2.0732379999999964</v>
      </c>
      <c r="P209" t="str">
        <f>IF(O209&lt;0," ",O209)</f>
        <v xml:space="preserve"> </v>
      </c>
      <c r="S209">
        <f>3.14159*((F209/2)^2)</f>
        <v>1.6286002559999999</v>
      </c>
    </row>
    <row r="210" spans="1:19">
      <c r="A210" s="9">
        <v>42760</v>
      </c>
      <c r="B210" s="8" t="s">
        <v>19</v>
      </c>
      <c r="C210" s="8">
        <v>31</v>
      </c>
      <c r="D210" s="8" t="s">
        <v>60</v>
      </c>
      <c r="F210" s="8">
        <v>0.96</v>
      </c>
      <c r="J210">
        <f>23+29</f>
        <v>52</v>
      </c>
      <c r="K210">
        <v>2</v>
      </c>
      <c r="L210">
        <v>29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15.131432999999994</v>
      </c>
      <c r="P210">
        <f>IF(O210&lt;0," ",O210)</f>
        <v>15.131432999999994</v>
      </c>
      <c r="S210">
        <f>3.14159*((F210/2)^2)</f>
        <v>0.7238223359999999</v>
      </c>
    </row>
    <row r="211" spans="1:19">
      <c r="A211" s="9">
        <v>42760</v>
      </c>
      <c r="B211" s="8" t="s">
        <v>19</v>
      </c>
      <c r="C211" s="8">
        <v>31</v>
      </c>
      <c r="D211" s="8" t="s">
        <v>60</v>
      </c>
      <c r="F211" s="8">
        <v>0.84</v>
      </c>
      <c r="J211">
        <v>35</v>
      </c>
      <c r="K211">
        <v>2</v>
      </c>
      <c r="L211">
        <v>20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16.248802999999999</v>
      </c>
      <c r="P211">
        <f>IF(O211&lt;0," ",O211)</f>
        <v>16.248802999999999</v>
      </c>
      <c r="S211">
        <f>3.14159*((F211/2)^2)</f>
        <v>0.55417647599999986</v>
      </c>
    </row>
    <row r="212" spans="1:19">
      <c r="A212" s="9">
        <v>42760</v>
      </c>
      <c r="B212" s="8" t="s">
        <v>19</v>
      </c>
      <c r="C212" s="8">
        <v>31</v>
      </c>
      <c r="D212" s="8" t="s">
        <v>60</v>
      </c>
      <c r="F212" s="8">
        <v>0.5</v>
      </c>
      <c r="J212">
        <f>24+16</f>
        <v>40</v>
      </c>
      <c r="K212">
        <v>3</v>
      </c>
      <c r="L212">
        <v>16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10.900204999999996</v>
      </c>
      <c r="P212">
        <f>IF(O212&lt;0," ",O212)</f>
        <v>10.900204999999996</v>
      </c>
      <c r="S212">
        <f>3.14159*((F212/2)^2)</f>
        <v>0.19634937499999999</v>
      </c>
    </row>
    <row r="213" spans="1:19">
      <c r="A213" s="9">
        <v>42760</v>
      </c>
      <c r="B213" s="8" t="s">
        <v>19</v>
      </c>
      <c r="C213" s="8">
        <v>31</v>
      </c>
      <c r="D213" s="8" t="s">
        <v>60</v>
      </c>
      <c r="F213" s="8">
        <v>1.05</v>
      </c>
      <c r="J213">
        <f>27+39+50+66</f>
        <v>182</v>
      </c>
      <c r="K213">
        <v>4</v>
      </c>
      <c r="L213">
        <v>66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2.1288119999999999</v>
      </c>
      <c r="P213">
        <f>IF(O213&lt;0," ",O213)</f>
        <v>2.1288119999999999</v>
      </c>
      <c r="S213">
        <f>3.14159*((F213/2)^2)</f>
        <v>0.86590074375000003</v>
      </c>
    </row>
    <row r="214" spans="1:19">
      <c r="A214" s="9">
        <v>42760</v>
      </c>
      <c r="B214" s="8" t="s">
        <v>19</v>
      </c>
      <c r="C214" s="8">
        <v>31</v>
      </c>
      <c r="D214" s="8" t="s">
        <v>60</v>
      </c>
      <c r="F214" s="8">
        <v>0.84</v>
      </c>
      <c r="J214">
        <f>21+22+27</f>
        <v>70</v>
      </c>
      <c r="K214">
        <v>3</v>
      </c>
      <c r="L214">
        <v>27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10.399159999999998</v>
      </c>
      <c r="P214">
        <f>IF(O214&lt;0," ",O214)</f>
        <v>10.399159999999998</v>
      </c>
      <c r="S214">
        <f>3.14159*((F214/2)^2)</f>
        <v>0.55417647599999986</v>
      </c>
    </row>
    <row r="215" spans="1:19">
      <c r="A215" s="9">
        <v>42760</v>
      </c>
      <c r="B215" s="8" t="s">
        <v>19</v>
      </c>
      <c r="C215" s="8">
        <v>31</v>
      </c>
      <c r="D215" s="8" t="s">
        <v>60</v>
      </c>
      <c r="F215" s="8">
        <v>0.67</v>
      </c>
      <c r="J215">
        <f>24</f>
        <v>24</v>
      </c>
      <c r="K215">
        <v>2</v>
      </c>
      <c r="L215">
        <v>12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17.627457999999997</v>
      </c>
      <c r="P215">
        <f>IF(O215&lt;0," ",O215)</f>
        <v>17.627457999999997</v>
      </c>
      <c r="S215">
        <f>3.14159*((F215/2)^2)</f>
        <v>0.35256493775000003</v>
      </c>
    </row>
    <row r="216" spans="1:19">
      <c r="A216" s="9">
        <v>42760</v>
      </c>
      <c r="B216" s="8" t="s">
        <v>19</v>
      </c>
      <c r="C216" s="8">
        <v>31</v>
      </c>
      <c r="D216" s="8" t="s">
        <v>60</v>
      </c>
      <c r="F216" s="8">
        <v>0.71</v>
      </c>
      <c r="J216">
        <v>30</v>
      </c>
      <c r="K216">
        <v>2</v>
      </c>
      <c r="L216">
        <v>18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16.382517999999997</v>
      </c>
      <c r="P216">
        <f>IF(O216&lt;0," ",O216)</f>
        <v>16.382517999999997</v>
      </c>
      <c r="S216">
        <f>3.14159*((F216/2)^2)</f>
        <v>0.39591887974999995</v>
      </c>
    </row>
    <row r="217" spans="1:19">
      <c r="A217" s="9">
        <v>42760</v>
      </c>
      <c r="B217" s="8" t="s">
        <v>19</v>
      </c>
      <c r="C217" s="8">
        <v>29</v>
      </c>
      <c r="D217" s="8" t="s">
        <v>60</v>
      </c>
      <c r="F217" s="8">
        <v>1.96</v>
      </c>
      <c r="G217" s="8"/>
      <c r="J217">
        <f>21+45+54</f>
        <v>120</v>
      </c>
      <c r="K217">
        <v>3</v>
      </c>
      <c r="L217">
        <v>54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6.9532949999999971</v>
      </c>
      <c r="P217">
        <f>IF(O217&lt;0," ",O217)</f>
        <v>6.9532949999999971</v>
      </c>
      <c r="S217">
        <f>3.14159*((F217/2)^2)</f>
        <v>3.0171830359999996</v>
      </c>
    </row>
    <row r="218" spans="1:19">
      <c r="A218" s="9">
        <v>42760</v>
      </c>
      <c r="B218" s="8" t="s">
        <v>19</v>
      </c>
      <c r="C218" s="8">
        <v>29</v>
      </c>
      <c r="D218" s="8" t="s">
        <v>60</v>
      </c>
      <c r="F218" s="8">
        <v>1.38</v>
      </c>
      <c r="G218" s="8"/>
      <c r="J218">
        <f>26+41+40</f>
        <v>107</v>
      </c>
      <c r="K218">
        <v>3</v>
      </c>
      <c r="L218">
        <v>41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9.6506649999999965</v>
      </c>
      <c r="P218">
        <f>IF(O218&lt;0," ",O218)</f>
        <v>9.6506649999999965</v>
      </c>
      <c r="S218">
        <f>3.14159*((F218/2)^2)</f>
        <v>1.4957109989999997</v>
      </c>
    </row>
    <row r="219" spans="1:19">
      <c r="A219" s="9">
        <v>42760</v>
      </c>
      <c r="B219" s="8" t="s">
        <v>19</v>
      </c>
      <c r="C219" s="8">
        <v>29</v>
      </c>
      <c r="D219" s="8" t="s">
        <v>60</v>
      </c>
      <c r="F219" s="8">
        <v>0.61</v>
      </c>
      <c r="J219">
        <f>23+24+29</f>
        <v>76</v>
      </c>
      <c r="K219">
        <v>3</v>
      </c>
      <c r="L219">
        <v>29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10.359199999999994</v>
      </c>
      <c r="P219">
        <f>IF(O219&lt;0," ",O219)</f>
        <v>10.359199999999994</v>
      </c>
      <c r="S219">
        <f>3.14159*((F219/2)^2)</f>
        <v>0.29224640974999999</v>
      </c>
    </row>
    <row r="220" spans="1:19">
      <c r="A220" s="9">
        <v>42760</v>
      </c>
      <c r="B220" s="8" t="s">
        <v>19</v>
      </c>
      <c r="C220" s="8">
        <v>29</v>
      </c>
      <c r="D220" s="8" t="s">
        <v>60</v>
      </c>
      <c r="F220" s="8">
        <v>0.79</v>
      </c>
      <c r="G220" s="8"/>
      <c r="J220">
        <f>28</f>
        <v>28</v>
      </c>
      <c r="K220">
        <v>2</v>
      </c>
      <c r="L220">
        <v>15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17.098742999999999</v>
      </c>
      <c r="P220">
        <f>IF(O220&lt;0," ",O220)</f>
        <v>17.098742999999999</v>
      </c>
      <c r="S220">
        <f>3.14159*((F220/2)^2)</f>
        <v>0.49016657975000005</v>
      </c>
    </row>
    <row r="221" spans="1:19">
      <c r="A221" s="9">
        <v>42760</v>
      </c>
      <c r="B221" s="8" t="s">
        <v>19</v>
      </c>
      <c r="C221" s="8">
        <v>29</v>
      </c>
      <c r="D221" s="8" t="s">
        <v>60</v>
      </c>
      <c r="F221" s="8">
        <v>0.57999999999999996</v>
      </c>
      <c r="J221">
        <f>18+23+26</f>
        <v>67</v>
      </c>
      <c r="K221">
        <v>3</v>
      </c>
      <c r="L221">
        <v>26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10.419139999999999</v>
      </c>
      <c r="P221">
        <f>IF(O221&lt;0," ",O221)</f>
        <v>10.419139999999999</v>
      </c>
      <c r="S221">
        <f>3.14159*((F221/2)^2)</f>
        <v>0.26420771899999995</v>
      </c>
    </row>
    <row r="222" spans="1:19">
      <c r="A222" s="9">
        <v>42760</v>
      </c>
      <c r="B222" s="8" t="s">
        <v>19</v>
      </c>
      <c r="C222" s="8">
        <v>29</v>
      </c>
      <c r="D222" s="8" t="s">
        <v>60</v>
      </c>
      <c r="F222" s="8">
        <v>0.79</v>
      </c>
      <c r="J222">
        <f>61+70+86</f>
        <v>217</v>
      </c>
      <c r="K222">
        <v>3</v>
      </c>
      <c r="L222">
        <v>86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6.4076899999999988</v>
      </c>
      <c r="P222">
        <f>IF(O222&lt;0," ",O222)</f>
        <v>6.4076899999999988</v>
      </c>
      <c r="S222">
        <f>3.14159*((F222/2)^2)</f>
        <v>0.49016657975000005</v>
      </c>
    </row>
    <row r="223" spans="1:19">
      <c r="A223" s="9">
        <v>42760</v>
      </c>
      <c r="B223" s="8" t="s">
        <v>19</v>
      </c>
      <c r="C223" s="8">
        <v>14</v>
      </c>
      <c r="D223" s="8" t="s">
        <v>64</v>
      </c>
      <c r="F223" s="8">
        <v>1.1200000000000001</v>
      </c>
      <c r="J223">
        <v>205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-4.5905969999999998</v>
      </c>
      <c r="P223" t="str">
        <f>IF(O223&lt;0," ",O223)</f>
        <v xml:space="preserve"> </v>
      </c>
      <c r="S223">
        <f>3.14159*((F223/2)^2)</f>
        <v>0.98520262400000014</v>
      </c>
    </row>
    <row r="224" spans="1:19">
      <c r="A224" s="9">
        <v>42760</v>
      </c>
      <c r="B224" s="8" t="s">
        <v>19</v>
      </c>
      <c r="C224" s="8">
        <v>14</v>
      </c>
      <c r="D224" s="8" t="s">
        <v>64</v>
      </c>
      <c r="F224" s="8">
        <v>0.69</v>
      </c>
      <c r="J224">
        <v>45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-4.5905969999999998</v>
      </c>
      <c r="P224" t="str">
        <f>IF(O224&lt;0," ",O224)</f>
        <v xml:space="preserve"> </v>
      </c>
      <c r="S224">
        <f>3.14159*((F224/2)^2)</f>
        <v>0.37392774974999993</v>
      </c>
    </row>
    <row r="225" spans="1:19">
      <c r="A225" s="9">
        <v>42760</v>
      </c>
      <c r="B225" s="8" t="s">
        <v>19</v>
      </c>
      <c r="C225" s="8">
        <v>14</v>
      </c>
      <c r="D225" s="8" t="s">
        <v>64</v>
      </c>
      <c r="F225" s="8">
        <v>0.5</v>
      </c>
      <c r="J225">
        <v>129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-4.5905969999999998</v>
      </c>
      <c r="P225" t="str">
        <f>IF(O225&lt;0," ",O225)</f>
        <v xml:space="preserve"> </v>
      </c>
      <c r="S225">
        <f>3.14159*((F225/2)^2)</f>
        <v>0.19634937499999999</v>
      </c>
    </row>
    <row r="226" spans="1:19">
      <c r="A226" s="9">
        <v>42760</v>
      </c>
      <c r="B226" s="8" t="s">
        <v>19</v>
      </c>
      <c r="C226" s="8">
        <v>14</v>
      </c>
      <c r="D226" s="8" t="s">
        <v>64</v>
      </c>
      <c r="F226" s="8">
        <v>1.52</v>
      </c>
      <c r="J226">
        <v>178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-4.5905969999999998</v>
      </c>
      <c r="P226" t="str">
        <f>IF(O226&lt;0," ",O226)</f>
        <v xml:space="preserve"> </v>
      </c>
      <c r="S226">
        <f>3.14159*((F226/2)^2)</f>
        <v>1.8145823839999999</v>
      </c>
    </row>
    <row r="227" spans="1:19">
      <c r="A227" s="9">
        <v>42760</v>
      </c>
      <c r="B227" s="8" t="s">
        <v>19</v>
      </c>
      <c r="C227" s="8">
        <v>14</v>
      </c>
      <c r="D227" s="8" t="s">
        <v>64</v>
      </c>
      <c r="F227" s="8">
        <v>0.63</v>
      </c>
      <c r="J227">
        <v>37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-4.5905969999999998</v>
      </c>
      <c r="P227" t="str">
        <f>IF(O227&lt;0," ",O227)</f>
        <v xml:space="preserve"> </v>
      </c>
      <c r="S227">
        <f>3.14159*((F227/2)^2)</f>
        <v>0.31172426775000001</v>
      </c>
    </row>
    <row r="228" spans="1:19">
      <c r="A228" s="9">
        <v>42760</v>
      </c>
      <c r="B228" s="8" t="s">
        <v>19</v>
      </c>
      <c r="C228" s="8">
        <v>14</v>
      </c>
      <c r="D228" s="8" t="s">
        <v>64</v>
      </c>
      <c r="F228" s="8">
        <v>0.73</v>
      </c>
      <c r="J228">
        <v>109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-4.5905969999999998</v>
      </c>
      <c r="P228" t="str">
        <f>IF(O228&lt;0," ",O228)</f>
        <v xml:space="preserve"> </v>
      </c>
      <c r="S228">
        <f>3.14159*((F228/2)^2)</f>
        <v>0.41853832774999994</v>
      </c>
    </row>
    <row r="229" spans="1:19">
      <c r="A229" s="9">
        <v>42760</v>
      </c>
      <c r="B229" s="8" t="s">
        <v>19</v>
      </c>
      <c r="C229" s="8">
        <v>14</v>
      </c>
      <c r="D229" s="8" t="s">
        <v>64</v>
      </c>
      <c r="F229" s="8">
        <v>1.02</v>
      </c>
      <c r="J229">
        <v>281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-4.5905969999999998</v>
      </c>
      <c r="P229" t="str">
        <f>IF(O229&lt;0," ",O229)</f>
        <v xml:space="preserve"> </v>
      </c>
      <c r="S229">
        <f>3.14159*((F229/2)^2)</f>
        <v>0.817127559</v>
      </c>
    </row>
    <row r="230" spans="1:19">
      <c r="A230" s="9">
        <v>42760</v>
      </c>
      <c r="B230" s="8" t="s">
        <v>19</v>
      </c>
      <c r="C230" s="8">
        <v>14</v>
      </c>
      <c r="D230" s="8" t="s">
        <v>64</v>
      </c>
      <c r="F230" s="8">
        <v>0.92</v>
      </c>
      <c r="J230">
        <v>10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-4.5905969999999998</v>
      </c>
      <c r="P230" t="str">
        <f>IF(O230&lt;0," ",O230)</f>
        <v xml:space="preserve"> </v>
      </c>
      <c r="S230">
        <f>3.14159*((F230/2)^2)</f>
        <v>0.66476044400000001</v>
      </c>
    </row>
    <row r="231" spans="1:19">
      <c r="A231" s="9">
        <v>42760</v>
      </c>
      <c r="B231" s="8" t="s">
        <v>19</v>
      </c>
      <c r="C231" s="8">
        <v>10</v>
      </c>
      <c r="D231" s="8" t="s">
        <v>60</v>
      </c>
      <c r="F231" s="8">
        <v>1.96</v>
      </c>
      <c r="G231" s="8"/>
      <c r="J231">
        <f>40+55+58+78</f>
        <v>231</v>
      </c>
      <c r="K231">
        <v>4</v>
      </c>
      <c r="L231">
        <v>78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3.1078669999999988</v>
      </c>
      <c r="P231">
        <f>IF(O231&lt;0," ",O231)</f>
        <v>3.1078669999999988</v>
      </c>
      <c r="S231">
        <f>3.14159*((F231/2)^2)</f>
        <v>3.0171830359999996</v>
      </c>
    </row>
    <row r="232" spans="1:19">
      <c r="A232" s="9">
        <v>42760</v>
      </c>
      <c r="B232" s="8" t="s">
        <v>19</v>
      </c>
      <c r="C232" s="8">
        <v>10</v>
      </c>
      <c r="D232" s="8" t="s">
        <v>60</v>
      </c>
      <c r="F232" s="8">
        <v>0.79</v>
      </c>
      <c r="J232">
        <f>28+35+49+48</f>
        <v>160</v>
      </c>
      <c r="K232">
        <v>4</v>
      </c>
      <c r="L232">
        <v>49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5.1873670000000018</v>
      </c>
      <c r="P232">
        <f>IF(O232&lt;0," ",O232)</f>
        <v>5.1873670000000018</v>
      </c>
      <c r="S232">
        <f>3.14159*((F232/2)^2)</f>
        <v>0.49016657975000005</v>
      </c>
    </row>
    <row r="233" spans="1:19">
      <c r="A233" s="9">
        <v>42760</v>
      </c>
      <c r="B233" s="8" t="s">
        <v>19</v>
      </c>
      <c r="C233" s="8">
        <v>10</v>
      </c>
      <c r="D233" s="8" t="s">
        <v>60</v>
      </c>
      <c r="F233" s="8">
        <v>1.19</v>
      </c>
      <c r="J233">
        <f>24+50+53</f>
        <v>127</v>
      </c>
      <c r="K233">
        <v>3</v>
      </c>
      <c r="L233">
        <v>53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7.9108249999999956</v>
      </c>
      <c r="P233">
        <f>IF(O233&lt;0," ",O233)</f>
        <v>7.9108249999999956</v>
      </c>
      <c r="S233">
        <f>3.14159*((F233/2)^2)</f>
        <v>1.11220139975</v>
      </c>
    </row>
    <row r="234" spans="1:19">
      <c r="A234" s="9">
        <v>42760</v>
      </c>
      <c r="B234" s="8" t="s">
        <v>19</v>
      </c>
      <c r="C234" s="8">
        <v>10</v>
      </c>
      <c r="D234" s="8" t="s">
        <v>60</v>
      </c>
      <c r="F234" s="8">
        <v>1.06</v>
      </c>
      <c r="G234" s="8"/>
      <c r="J234">
        <f>17+39+43</f>
        <v>99</v>
      </c>
      <c r="K234">
        <v>3</v>
      </c>
      <c r="L234">
        <v>43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8.2981349999999985</v>
      </c>
      <c r="P234">
        <f>IF(O234&lt;0," ",O234)</f>
        <v>8.2981349999999985</v>
      </c>
      <c r="S234">
        <f>3.14159*((F234/2)^2)</f>
        <v>0.88247263100000006</v>
      </c>
    </row>
    <row r="235" spans="1:19">
      <c r="A235" s="9">
        <v>42760</v>
      </c>
      <c r="B235" s="8" t="s">
        <v>19</v>
      </c>
      <c r="C235" s="8">
        <v>10</v>
      </c>
      <c r="D235" s="8" t="s">
        <v>60</v>
      </c>
      <c r="F235" s="8">
        <v>1.19</v>
      </c>
      <c r="J235">
        <f>20+40+54+55</f>
        <v>169</v>
      </c>
      <c r="K235">
        <v>4</v>
      </c>
      <c r="L235">
        <v>55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4.2236919999999998</v>
      </c>
      <c r="P235">
        <f>IF(O235&lt;0," ",O235)</f>
        <v>4.2236919999999998</v>
      </c>
      <c r="S235">
        <f>3.14159*((F235/2)^2)</f>
        <v>1.11220139975</v>
      </c>
    </row>
    <row r="236" spans="1:19">
      <c r="A236" s="9">
        <v>42760</v>
      </c>
      <c r="B236" s="8" t="s">
        <v>19</v>
      </c>
      <c r="C236" s="8">
        <v>10</v>
      </c>
      <c r="D236" s="8" t="s">
        <v>60</v>
      </c>
      <c r="F236" s="8">
        <v>5.61</v>
      </c>
      <c r="G236" s="8"/>
      <c r="J236">
        <f>193+271+273+255+260+274</f>
        <v>1526</v>
      </c>
      <c r="K236">
        <v>6</v>
      </c>
      <c r="L236">
        <v>274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51.431866000000007</v>
      </c>
      <c r="P236">
        <f>IF(O236&lt;0," ",O236)</f>
        <v>51.431866000000007</v>
      </c>
      <c r="S236">
        <f>3.14159*((F236/2)^2)</f>
        <v>24.718108659750001</v>
      </c>
    </row>
    <row r="237" spans="1:19">
      <c r="A237" s="9">
        <v>42760</v>
      </c>
      <c r="B237" s="8" t="s">
        <v>19</v>
      </c>
      <c r="C237" s="8">
        <v>7</v>
      </c>
      <c r="D237" s="8" t="s">
        <v>64</v>
      </c>
      <c r="F237" s="8">
        <v>1.33</v>
      </c>
      <c r="G237" s="8"/>
      <c r="J237">
        <v>178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-4.5905969999999998</v>
      </c>
      <c r="P237" t="str">
        <f>IF(O237&lt;0," ",O237)</f>
        <v xml:space="preserve"> </v>
      </c>
      <c r="S237">
        <f>3.14159*((F237/2)^2)</f>
        <v>1.3892896377500001</v>
      </c>
    </row>
    <row r="238" spans="1:19">
      <c r="A238" s="9">
        <v>42760</v>
      </c>
      <c r="B238" s="8" t="s">
        <v>19</v>
      </c>
      <c r="C238" s="8">
        <v>7</v>
      </c>
      <c r="D238" s="8" t="s">
        <v>64</v>
      </c>
      <c r="F238" s="8">
        <v>0.92</v>
      </c>
      <c r="J238">
        <v>95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-4.5905969999999998</v>
      </c>
      <c r="P238" t="str">
        <f>IF(O238&lt;0," ",O238)</f>
        <v xml:space="preserve"> </v>
      </c>
      <c r="S238">
        <f>3.14159*((F238/2)^2)</f>
        <v>0.66476044400000001</v>
      </c>
    </row>
    <row r="239" spans="1:19">
      <c r="A239" s="9">
        <v>42760</v>
      </c>
      <c r="B239" s="8" t="s">
        <v>19</v>
      </c>
      <c r="C239" s="8">
        <v>7</v>
      </c>
      <c r="D239" s="8" t="s">
        <v>64</v>
      </c>
      <c r="F239" s="8">
        <v>1.07</v>
      </c>
      <c r="G239" s="8"/>
      <c r="J239">
        <v>128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-4.5905969999999998</v>
      </c>
      <c r="P239" t="str">
        <f>IF(O239&lt;0," ",O239)</f>
        <v xml:space="preserve"> </v>
      </c>
      <c r="S239">
        <f>3.14159*((F239/2)^2)</f>
        <v>0.89920159774999997</v>
      </c>
    </row>
    <row r="240" spans="1:19">
      <c r="A240" s="9">
        <v>42760</v>
      </c>
      <c r="B240" s="8" t="s">
        <v>19</v>
      </c>
      <c r="C240" s="8">
        <v>7</v>
      </c>
      <c r="D240" s="8" t="s">
        <v>64</v>
      </c>
      <c r="F240" s="8">
        <v>1.56</v>
      </c>
      <c r="G240" s="8"/>
      <c r="H240" s="8"/>
      <c r="J240">
        <v>150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-4.5905969999999998</v>
      </c>
      <c r="P240" t="str">
        <f>IF(O240&lt;0," ",O240)</f>
        <v xml:space="preserve"> </v>
      </c>
      <c r="S240">
        <f>3.14159*((F240/2)^2)</f>
        <v>1.9113433560000002</v>
      </c>
    </row>
    <row r="241" spans="1:19">
      <c r="A241" s="9">
        <v>42760</v>
      </c>
      <c r="B241" s="8" t="s">
        <v>19</v>
      </c>
      <c r="C241" s="8">
        <v>7</v>
      </c>
      <c r="D241" s="8" t="s">
        <v>64</v>
      </c>
      <c r="F241" s="8">
        <v>1.1200000000000001</v>
      </c>
      <c r="G241" s="8"/>
      <c r="J241">
        <v>123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-4.5905969999999998</v>
      </c>
      <c r="P241" t="str">
        <f>IF(O241&lt;0," ",O241)</f>
        <v xml:space="preserve"> </v>
      </c>
      <c r="S241">
        <f>3.14159*((F241/2)^2)</f>
        <v>0.98520262400000014</v>
      </c>
    </row>
    <row r="242" spans="1:19">
      <c r="A242" s="9">
        <v>42760</v>
      </c>
      <c r="B242" s="8" t="s">
        <v>19</v>
      </c>
      <c r="C242" s="8">
        <v>7</v>
      </c>
      <c r="D242" s="8" t="s">
        <v>64</v>
      </c>
      <c r="F242" s="8">
        <v>2.0299999999999998</v>
      </c>
      <c r="G242" s="8"/>
      <c r="J242">
        <v>129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-4.5905969999999998</v>
      </c>
      <c r="P242" t="str">
        <f>IF(O242&lt;0," ",O242)</f>
        <v xml:space="preserve"> </v>
      </c>
      <c r="S242">
        <f>3.14159*((F242/2)^2)</f>
        <v>3.2365445577499989</v>
      </c>
    </row>
    <row r="243" spans="1:19">
      <c r="A243" s="9">
        <v>42760</v>
      </c>
      <c r="B243" s="8" t="s">
        <v>19</v>
      </c>
      <c r="C243" s="8">
        <v>7</v>
      </c>
      <c r="D243" s="8" t="s">
        <v>64</v>
      </c>
      <c r="F243" s="8">
        <v>2.11</v>
      </c>
      <c r="J243">
        <v>115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-4.5905969999999998</v>
      </c>
      <c r="P243" t="str">
        <f>IF(O243&lt;0," ",O243)</f>
        <v xml:space="preserve"> </v>
      </c>
      <c r="S243">
        <f>3.14159*((F243/2)^2)</f>
        <v>3.4966682097499997</v>
      </c>
    </row>
    <row r="244" spans="1:19">
      <c r="A244" s="9">
        <v>42760</v>
      </c>
      <c r="B244" s="8" t="s">
        <v>19</v>
      </c>
      <c r="C244" s="8">
        <v>7</v>
      </c>
      <c r="D244" s="8" t="s">
        <v>64</v>
      </c>
      <c r="F244" s="8">
        <v>2.46</v>
      </c>
      <c r="G244" s="8"/>
      <c r="J244">
        <v>94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-4.5905969999999998</v>
      </c>
      <c r="P244" t="str">
        <f>IF(O244&lt;0," ",O244)</f>
        <v xml:space="preserve"> </v>
      </c>
      <c r="S244">
        <f>3.14159*((F244/2)^2)</f>
        <v>4.7529115109999998</v>
      </c>
    </row>
    <row r="245" spans="1:19">
      <c r="A245" s="9">
        <v>42760</v>
      </c>
      <c r="B245" s="8" t="s">
        <v>19</v>
      </c>
      <c r="C245" s="8">
        <v>7</v>
      </c>
      <c r="D245" s="8" t="s">
        <v>64</v>
      </c>
      <c r="F245" s="8">
        <v>0.89</v>
      </c>
      <c r="J245">
        <v>50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-4.5905969999999998</v>
      </c>
      <c r="P245" t="str">
        <f>IF(O245&lt;0," ",O245)</f>
        <v xml:space="preserve"> </v>
      </c>
      <c r="S245">
        <f>3.14159*((F245/2)^2)</f>
        <v>0.62211335975000004</v>
      </c>
    </row>
    <row r="246" spans="1:19">
      <c r="A246" s="9">
        <v>42760</v>
      </c>
      <c r="B246" s="8" t="s">
        <v>19</v>
      </c>
      <c r="C246" s="8">
        <v>7</v>
      </c>
      <c r="D246" s="8" t="s">
        <v>64</v>
      </c>
      <c r="F246" s="8">
        <v>1.19</v>
      </c>
      <c r="G246" s="8"/>
      <c r="J246">
        <v>148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-4.5905969999999998</v>
      </c>
      <c r="P246" t="str">
        <f>IF(O246&lt;0," ",O246)</f>
        <v xml:space="preserve"> </v>
      </c>
      <c r="S246">
        <f>3.14159*((F246/2)^2)</f>
        <v>1.11220139975</v>
      </c>
    </row>
    <row r="247" spans="1:19">
      <c r="A247" s="9">
        <v>42760</v>
      </c>
      <c r="B247" s="8" t="s">
        <v>19</v>
      </c>
      <c r="C247" s="8">
        <v>7</v>
      </c>
      <c r="D247" s="8" t="s">
        <v>64</v>
      </c>
      <c r="F247" s="8">
        <v>0.64</v>
      </c>
      <c r="G247" s="8"/>
      <c r="J247">
        <v>57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-4.5905969999999998</v>
      </c>
      <c r="P247" t="str">
        <f>IF(O247&lt;0," ",O247)</f>
        <v xml:space="preserve"> </v>
      </c>
      <c r="S247">
        <f>3.14159*((F247/2)^2)</f>
        <v>0.321698816</v>
      </c>
    </row>
    <row r="248" spans="1:19">
      <c r="A248" s="9">
        <v>42760</v>
      </c>
      <c r="B248" s="8" t="s">
        <v>19</v>
      </c>
      <c r="C248" s="8">
        <v>7</v>
      </c>
      <c r="D248" s="8" t="s">
        <v>64</v>
      </c>
      <c r="F248" s="8">
        <v>0.9</v>
      </c>
      <c r="G248" s="8"/>
      <c r="J248">
        <v>93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-4.5905969999999998</v>
      </c>
      <c r="P248" t="str">
        <f>IF(O248&lt;0," ",O248)</f>
        <v xml:space="preserve"> </v>
      </c>
      <c r="S248">
        <f>3.14159*((F248/2)^2)</f>
        <v>0.636171975</v>
      </c>
    </row>
    <row r="249" spans="1:19">
      <c r="A249" s="9">
        <v>42760</v>
      </c>
      <c r="B249" s="8" t="s">
        <v>19</v>
      </c>
      <c r="C249" s="8">
        <v>7</v>
      </c>
      <c r="D249" s="8" t="s">
        <v>64</v>
      </c>
      <c r="F249" s="8">
        <v>0.98</v>
      </c>
      <c r="J249">
        <v>217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-4.5905969999999998</v>
      </c>
      <c r="P249" t="str">
        <f>IF(O249&lt;0," ",O249)</f>
        <v xml:space="preserve"> </v>
      </c>
      <c r="S249">
        <f>3.14159*((F249/2)^2)</f>
        <v>0.7542957589999999</v>
      </c>
    </row>
    <row r="250" spans="1:19">
      <c r="A250" s="9">
        <v>42760</v>
      </c>
      <c r="B250" s="8" t="s">
        <v>19</v>
      </c>
      <c r="C250" s="8">
        <v>7</v>
      </c>
      <c r="D250" s="8" t="s">
        <v>64</v>
      </c>
      <c r="F250" s="8">
        <v>1.1299999999999999</v>
      </c>
      <c r="J250">
        <v>65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-4.5905969999999998</v>
      </c>
      <c r="P250" t="str">
        <f>IF(O250&lt;0," ",O250)</f>
        <v xml:space="preserve"> </v>
      </c>
      <c r="S250">
        <f>3.14159*((F250/2)^2)</f>
        <v>1.0028740677499997</v>
      </c>
    </row>
    <row r="251" spans="1:19">
      <c r="A251" s="9">
        <v>42760</v>
      </c>
      <c r="B251" s="8" t="s">
        <v>19</v>
      </c>
      <c r="C251" s="8">
        <v>7</v>
      </c>
      <c r="D251" s="8" t="s">
        <v>64</v>
      </c>
      <c r="F251" s="8">
        <v>1.48</v>
      </c>
      <c r="J251">
        <v>192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-4.5905969999999998</v>
      </c>
      <c r="P251" t="str">
        <f>IF(O251&lt;0," ",O251)</f>
        <v xml:space="preserve"> </v>
      </c>
      <c r="S251">
        <f>3.14159*((F251/2)^2)</f>
        <v>1.7203346839999998</v>
      </c>
    </row>
    <row r="252" spans="1:19">
      <c r="A252" s="9">
        <v>42760</v>
      </c>
      <c r="B252" s="8" t="s">
        <v>19</v>
      </c>
      <c r="C252" s="8">
        <v>7</v>
      </c>
      <c r="D252" s="8" t="s">
        <v>64</v>
      </c>
      <c r="F252" s="8">
        <v>1.52</v>
      </c>
      <c r="J252">
        <v>247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-4.5905969999999998</v>
      </c>
      <c r="P252" t="str">
        <f>IF(O252&lt;0," ",O252)</f>
        <v xml:space="preserve"> </v>
      </c>
      <c r="S252">
        <f>3.14159*((F252/2)^2)</f>
        <v>1.8145823839999999</v>
      </c>
    </row>
    <row r="253" spans="1:19">
      <c r="A253" s="9">
        <v>42760</v>
      </c>
      <c r="B253" s="8" t="s">
        <v>19</v>
      </c>
      <c r="C253" s="8">
        <v>7</v>
      </c>
      <c r="D253" s="8" t="s">
        <v>64</v>
      </c>
      <c r="F253" s="8">
        <v>1.65</v>
      </c>
      <c r="J253">
        <v>175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-4.5905969999999998</v>
      </c>
      <c r="P253" t="str">
        <f>IF(O253&lt;0," ",O253)</f>
        <v xml:space="preserve"> </v>
      </c>
      <c r="S253">
        <f>3.14159*((F253/2)^2)</f>
        <v>2.1382446937499995</v>
      </c>
    </row>
    <row r="254" spans="1:19">
      <c r="A254" s="9">
        <v>42760</v>
      </c>
      <c r="B254" s="8" t="s">
        <v>19</v>
      </c>
      <c r="C254" s="8">
        <v>7</v>
      </c>
      <c r="D254" s="8" t="s">
        <v>64</v>
      </c>
      <c r="F254" s="8">
        <v>0.96</v>
      </c>
      <c r="J254">
        <v>95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-4.5905969999999998</v>
      </c>
      <c r="P254" t="str">
        <f>IF(O254&lt;0," ",O254)</f>
        <v xml:space="preserve"> </v>
      </c>
      <c r="S254">
        <f>3.14159*((F254/2)^2)</f>
        <v>0.7238223359999999</v>
      </c>
    </row>
    <row r="255" spans="1:19">
      <c r="A255" s="9">
        <v>42760</v>
      </c>
      <c r="B255" s="8" t="s">
        <v>19</v>
      </c>
      <c r="C255" s="8">
        <v>7</v>
      </c>
      <c r="D255" s="8" t="s">
        <v>64</v>
      </c>
      <c r="F255" s="8">
        <v>0.97</v>
      </c>
      <c r="J255">
        <v>68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-4.5905969999999998</v>
      </c>
      <c r="P255" t="str">
        <f>IF(O255&lt;0," ",O255)</f>
        <v xml:space="preserve"> </v>
      </c>
      <c r="S255">
        <f>3.14159*((F255/2)^2)</f>
        <v>0.7389805077499999</v>
      </c>
    </row>
    <row r="256" spans="1:19">
      <c r="A256" s="9">
        <v>42760</v>
      </c>
      <c r="B256" s="8" t="s">
        <v>19</v>
      </c>
      <c r="C256" s="8">
        <v>7</v>
      </c>
      <c r="D256" s="8" t="s">
        <v>64</v>
      </c>
      <c r="F256" s="8">
        <v>1.69</v>
      </c>
      <c r="G256">
        <v>3</v>
      </c>
      <c r="J256">
        <v>238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0</v>
      </c>
      <c r="P256">
        <f>IF(O256&lt;0," ",O256)</f>
        <v>0</v>
      </c>
      <c r="S256">
        <f>3.14159*((F256/2)^2)</f>
        <v>2.2431737997499996</v>
      </c>
    </row>
    <row r="257" spans="1:19">
      <c r="A257" s="9">
        <v>42760</v>
      </c>
      <c r="B257" s="8" t="s">
        <v>19</v>
      </c>
      <c r="C257" s="8">
        <v>7</v>
      </c>
      <c r="D257" s="8" t="s">
        <v>64</v>
      </c>
      <c r="F257" s="8">
        <v>1.43</v>
      </c>
      <c r="J257">
        <v>166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-4.5905969999999998</v>
      </c>
      <c r="P257" t="str">
        <f>IF(O257&lt;0," ",O257)</f>
        <v xml:space="preserve"> </v>
      </c>
      <c r="S257">
        <f>3.14159*((F257/2)^2)</f>
        <v>1.6060593477499998</v>
      </c>
    </row>
    <row r="258" spans="1:19">
      <c r="A258" s="9">
        <v>42760</v>
      </c>
      <c r="B258" s="8" t="s">
        <v>19</v>
      </c>
      <c r="C258" s="8">
        <v>7</v>
      </c>
      <c r="D258" s="8" t="s">
        <v>64</v>
      </c>
      <c r="F258" s="8">
        <v>0.81</v>
      </c>
      <c r="J258">
        <v>41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-4.5905969999999998</v>
      </c>
      <c r="P258" t="str">
        <f>IF(O258&lt;0," ",O258)</f>
        <v xml:space="preserve"> </v>
      </c>
      <c r="S258">
        <f>3.14159*((F258/2)^2)</f>
        <v>0.51529929975000011</v>
      </c>
    </row>
    <row r="259" spans="1:19">
      <c r="A259" s="9">
        <v>42760</v>
      </c>
      <c r="B259" s="8" t="s">
        <v>19</v>
      </c>
      <c r="C259" s="8">
        <v>7</v>
      </c>
      <c r="D259" s="8" t="s">
        <v>64</v>
      </c>
      <c r="F259" s="8">
        <v>0.69</v>
      </c>
      <c r="J259">
        <v>42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-4.5905969999999998</v>
      </c>
      <c r="P259" t="str">
        <f>IF(O259&lt;0," ",O259)</f>
        <v xml:space="preserve"> </v>
      </c>
      <c r="S259">
        <f>3.14159*((F259/2)^2)</f>
        <v>0.37392774974999993</v>
      </c>
    </row>
    <row r="260" spans="1:19">
      <c r="A260" s="9">
        <v>42760</v>
      </c>
      <c r="B260" s="8" t="s">
        <v>19</v>
      </c>
      <c r="C260" s="8">
        <v>7</v>
      </c>
      <c r="D260" s="8" t="s">
        <v>64</v>
      </c>
      <c r="F260" s="8">
        <v>1.9</v>
      </c>
      <c r="J260">
        <v>299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-4.5905969999999998</v>
      </c>
      <c r="P260" t="str">
        <f>IF(O260&lt;0," ",O260)</f>
        <v xml:space="preserve"> </v>
      </c>
      <c r="S260">
        <f>3.14159*((F260/2)^2)</f>
        <v>2.835284975</v>
      </c>
    </row>
    <row r="261" spans="1:19">
      <c r="A261" s="9">
        <v>42760</v>
      </c>
      <c r="B261" s="8" t="s">
        <v>19</v>
      </c>
      <c r="C261" s="8">
        <v>7</v>
      </c>
      <c r="D261" s="8" t="s">
        <v>64</v>
      </c>
      <c r="F261" s="8">
        <v>1.76</v>
      </c>
      <c r="G261" s="8"/>
      <c r="H261" s="8"/>
      <c r="I261" s="8"/>
      <c r="J261">
        <v>91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-4.5905969999999998</v>
      </c>
      <c r="P261" t="str">
        <f>IF(O261&lt;0," ",O261)</f>
        <v xml:space="preserve"> </v>
      </c>
      <c r="S261">
        <f>3.14159*((F261/2)^2)</f>
        <v>2.4328472959999998</v>
      </c>
    </row>
    <row r="262" spans="1:19">
      <c r="A262" s="9">
        <v>42760</v>
      </c>
      <c r="B262" s="8" t="s">
        <v>19</v>
      </c>
      <c r="C262" s="8">
        <v>7</v>
      </c>
      <c r="D262" s="8" t="s">
        <v>64</v>
      </c>
      <c r="F262" s="8">
        <v>1.18</v>
      </c>
      <c r="G262" s="8"/>
      <c r="J262">
        <v>34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-4.5905969999999998</v>
      </c>
      <c r="P262" t="str">
        <f>IF(O262&lt;0," ",O262)</f>
        <v xml:space="preserve"> </v>
      </c>
      <c r="S262">
        <f>3.14159*((F262/2)^2)</f>
        <v>1.0935874789999998</v>
      </c>
    </row>
    <row r="263" spans="1:19">
      <c r="A263" s="9">
        <v>42760</v>
      </c>
      <c r="B263" s="8" t="s">
        <v>19</v>
      </c>
      <c r="C263" s="8">
        <v>7</v>
      </c>
      <c r="D263" s="8" t="s">
        <v>60</v>
      </c>
      <c r="F263" s="8">
        <v>0.76</v>
      </c>
      <c r="J263">
        <f>20+25+30+36</f>
        <v>111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43.443788999999995</v>
      </c>
      <c r="P263">
        <f>IF(O263&lt;0," ",O263)</f>
        <v>43.443788999999995</v>
      </c>
      <c r="S263">
        <f>3.14159*((F263/2)^2)</f>
        <v>0.45364559599999998</v>
      </c>
    </row>
    <row r="264" spans="1:19">
      <c r="A264" s="9">
        <v>42765</v>
      </c>
      <c r="B264" s="8" t="s">
        <v>20</v>
      </c>
      <c r="C264" s="8">
        <v>43</v>
      </c>
      <c r="D264" s="8" t="s">
        <v>67</v>
      </c>
      <c r="F264" s="8">
        <v>1.43</v>
      </c>
      <c r="G264" s="8"/>
      <c r="I264" s="8"/>
      <c r="J264">
        <f>35+47+86+96+113</f>
        <v>377</v>
      </c>
      <c r="K264">
        <v>5</v>
      </c>
      <c r="L264">
        <v>113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-0.76983099999999638</v>
      </c>
      <c r="P264" t="str">
        <f>IF(O264&lt;0," ",O264)</f>
        <v xml:space="preserve"> </v>
      </c>
      <c r="S264">
        <f>3.14159*((F264/2)^2)</f>
        <v>1.6060593477499998</v>
      </c>
    </row>
    <row r="265" spans="1:19">
      <c r="A265" s="9">
        <v>42765</v>
      </c>
      <c r="B265" s="8" t="s">
        <v>20</v>
      </c>
      <c r="C265" s="8">
        <v>43</v>
      </c>
      <c r="D265" s="8" t="s">
        <v>67</v>
      </c>
      <c r="F265" s="8">
        <v>0.88</v>
      </c>
      <c r="J265">
        <f>46+73+83</f>
        <v>202</v>
      </c>
      <c r="K265">
        <v>3</v>
      </c>
      <c r="L265">
        <v>83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5.9050999999999974</v>
      </c>
      <c r="P265">
        <f>IF(O265&lt;0," ",O265)</f>
        <v>5.9050999999999974</v>
      </c>
      <c r="S265">
        <f>3.14159*((F265/2)^2)</f>
        <v>0.60821182399999996</v>
      </c>
    </row>
    <row r="266" spans="1:19">
      <c r="A266" s="9">
        <v>42765</v>
      </c>
      <c r="B266" s="8" t="s">
        <v>20</v>
      </c>
      <c r="C266" s="8">
        <v>43</v>
      </c>
      <c r="D266" s="8" t="s">
        <v>67</v>
      </c>
      <c r="F266" s="8">
        <v>1.24</v>
      </c>
      <c r="G266" s="8"/>
      <c r="I266" s="8"/>
      <c r="J266">
        <f>56+74+105</f>
        <v>235</v>
      </c>
      <c r="K266">
        <v>3</v>
      </c>
      <c r="L266">
        <v>105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2.3716249999999981</v>
      </c>
      <c r="P266">
        <f>IF(O266&lt;0," ",O266)</f>
        <v>2.3716249999999981</v>
      </c>
      <c r="S266">
        <f>3.14159*((F266/2)^2)</f>
        <v>1.207627196</v>
      </c>
    </row>
    <row r="267" spans="1:19">
      <c r="A267" s="9">
        <v>42765</v>
      </c>
      <c r="B267" s="8" t="s">
        <v>20</v>
      </c>
      <c r="C267" s="8">
        <v>43</v>
      </c>
      <c r="D267" s="8" t="s">
        <v>67</v>
      </c>
      <c r="F267" s="8">
        <v>0.79</v>
      </c>
      <c r="G267" s="8"/>
      <c r="J267">
        <f>31+32+43</f>
        <v>106</v>
      </c>
      <c r="K267">
        <v>3</v>
      </c>
      <c r="L267">
        <v>43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8.9544199999999989</v>
      </c>
      <c r="P267">
        <f>IF(O267&lt;0," ",O267)</f>
        <v>8.9544199999999989</v>
      </c>
      <c r="S267">
        <f>3.14159*((F267/2)^2)</f>
        <v>0.49016657975000005</v>
      </c>
    </row>
    <row r="268" spans="1:19">
      <c r="A268" s="9">
        <v>42765</v>
      </c>
      <c r="B268" s="8" t="s">
        <v>20</v>
      </c>
      <c r="C268" s="8">
        <v>43</v>
      </c>
      <c r="D268" s="8" t="s">
        <v>67</v>
      </c>
      <c r="F268" s="8">
        <v>0.88</v>
      </c>
      <c r="J268">
        <f>37+54+56</f>
        <v>147</v>
      </c>
      <c r="K268">
        <v>3</v>
      </c>
      <c r="L268">
        <v>56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8.8821899999999943</v>
      </c>
      <c r="P268">
        <f>IF(O268&lt;0," ",O268)</f>
        <v>8.8821899999999943</v>
      </c>
      <c r="S268">
        <f>3.14159*((F268/2)^2)</f>
        <v>0.60821182399999996</v>
      </c>
    </row>
    <row r="269" spans="1:19">
      <c r="A269" s="9">
        <v>42765</v>
      </c>
      <c r="B269" s="8" t="s">
        <v>20</v>
      </c>
      <c r="C269" s="8">
        <v>43</v>
      </c>
      <c r="D269" s="8" t="s">
        <v>67</v>
      </c>
      <c r="F269" s="8">
        <v>2.06</v>
      </c>
      <c r="G269" s="8"/>
      <c r="J269">
        <f>69+105+178+180+210</f>
        <v>742</v>
      </c>
      <c r="K269">
        <v>5</v>
      </c>
      <c r="L269">
        <v>210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4.2299790000000002</v>
      </c>
      <c r="P269">
        <f>IF(O269&lt;0," ",O269)</f>
        <v>4.2299790000000002</v>
      </c>
      <c r="S269">
        <f>3.14159*((F269/2)^2)</f>
        <v>3.3329128309999998</v>
      </c>
    </row>
    <row r="270" spans="1:19">
      <c r="A270" s="9">
        <v>42765</v>
      </c>
      <c r="B270" s="8" t="s">
        <v>20</v>
      </c>
      <c r="C270" s="8">
        <v>43</v>
      </c>
      <c r="D270" s="8" t="s">
        <v>67</v>
      </c>
      <c r="F270" s="8">
        <v>1.1100000000000001</v>
      </c>
      <c r="J270">
        <f>36+57+69</f>
        <v>162</v>
      </c>
      <c r="K270">
        <v>3</v>
      </c>
      <c r="L270">
        <v>69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6.3723299999999981</v>
      </c>
      <c r="P270">
        <f>IF(O270&lt;0," ",O270)</f>
        <v>6.3723299999999981</v>
      </c>
      <c r="S270">
        <f>3.14159*((F270/2)^2)</f>
        <v>0.96768825975000017</v>
      </c>
    </row>
    <row r="271" spans="1:19">
      <c r="A271" s="9">
        <v>42765</v>
      </c>
      <c r="B271" s="8" t="s">
        <v>20</v>
      </c>
      <c r="C271" s="8">
        <v>33</v>
      </c>
      <c r="D271" s="8" t="s">
        <v>67</v>
      </c>
      <c r="F271" s="8">
        <v>1.07</v>
      </c>
      <c r="G271" s="8"/>
      <c r="J271">
        <f>54+55+61+79</f>
        <v>249</v>
      </c>
      <c r="K271">
        <v>4</v>
      </c>
      <c r="L271">
        <v>79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4.494212000000001</v>
      </c>
      <c r="P271">
        <f>IF(O271&lt;0," ",O271)</f>
        <v>4.494212000000001</v>
      </c>
      <c r="S271">
        <f>3.14159*((F271/2)^2)</f>
        <v>0.89920159774999997</v>
      </c>
    </row>
    <row r="272" spans="1:19">
      <c r="A272" s="9">
        <v>42765</v>
      </c>
      <c r="B272" s="8" t="s">
        <v>20</v>
      </c>
      <c r="C272" s="8">
        <v>33</v>
      </c>
      <c r="D272" s="8" t="s">
        <v>67</v>
      </c>
      <c r="F272" s="8">
        <v>1.2</v>
      </c>
      <c r="G272" s="8"/>
      <c r="J272">
        <f>41+69+71+95+97</f>
        <v>373</v>
      </c>
      <c r="K272">
        <v>5</v>
      </c>
      <c r="L272">
        <v>97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3.6750690000000006</v>
      </c>
      <c r="P272">
        <f>IF(O272&lt;0," ",O272)</f>
        <v>3.6750690000000006</v>
      </c>
      <c r="S272">
        <f>3.14159*((F272/2)^2)</f>
        <v>1.1309723999999999</v>
      </c>
    </row>
    <row r="273" spans="1:19">
      <c r="A273" s="9">
        <v>42765</v>
      </c>
      <c r="B273" s="8" t="s">
        <v>20</v>
      </c>
      <c r="C273" s="8">
        <v>33</v>
      </c>
      <c r="D273" s="8" t="s">
        <v>67</v>
      </c>
      <c r="F273" s="8">
        <v>0.75</v>
      </c>
      <c r="J273">
        <f>29+35+38</f>
        <v>102</v>
      </c>
      <c r="K273">
        <v>3</v>
      </c>
      <c r="L273">
        <v>38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10.085624999999997</v>
      </c>
      <c r="P273">
        <f>IF(O273&lt;0," ",O273)</f>
        <v>10.085624999999997</v>
      </c>
      <c r="S273">
        <f>3.14159*((F273/2)^2)</f>
        <v>0.44178609375</v>
      </c>
    </row>
    <row r="274" spans="1:19">
      <c r="A274" s="9">
        <v>42765</v>
      </c>
      <c r="B274" s="8" t="s">
        <v>20</v>
      </c>
      <c r="C274" s="8">
        <v>33</v>
      </c>
      <c r="D274" s="8" t="s">
        <v>67</v>
      </c>
      <c r="F274" s="8">
        <v>1.31</v>
      </c>
      <c r="G274" s="8"/>
      <c r="I274" s="8"/>
      <c r="J274">
        <f>52+53+69+80</f>
        <v>254</v>
      </c>
      <c r="K274">
        <v>4</v>
      </c>
      <c r="L274">
        <v>80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4.6617420000000003</v>
      </c>
      <c r="P274">
        <f>IF(O274&lt;0," ",O274)</f>
        <v>4.6617420000000003</v>
      </c>
      <c r="S274">
        <f>3.14159*((F274/2)^2)</f>
        <v>1.34782064975</v>
      </c>
    </row>
    <row r="275" spans="1:19">
      <c r="A275" s="9">
        <v>42765</v>
      </c>
      <c r="B275" s="8" t="s">
        <v>20</v>
      </c>
      <c r="C275" s="8">
        <v>33</v>
      </c>
      <c r="D275" s="8" t="s">
        <v>67</v>
      </c>
      <c r="F275" s="8">
        <v>1.36</v>
      </c>
      <c r="G275" s="8"/>
      <c r="I275" s="8"/>
      <c r="J275">
        <f>52+60+84+96</f>
        <v>292</v>
      </c>
      <c r="K275">
        <v>4</v>
      </c>
      <c r="L275">
        <v>96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3.4045120000000004</v>
      </c>
      <c r="P275">
        <f>IF(O275&lt;0," ",O275)</f>
        <v>3.4045120000000004</v>
      </c>
      <c r="S275">
        <f>3.14159*((F275/2)^2)</f>
        <v>1.4526712160000002</v>
      </c>
    </row>
    <row r="276" spans="1:19">
      <c r="A276" s="9">
        <v>42765</v>
      </c>
      <c r="B276" s="8" t="s">
        <v>20</v>
      </c>
      <c r="C276" s="8">
        <v>33</v>
      </c>
      <c r="D276" s="8" t="s">
        <v>67</v>
      </c>
      <c r="F276" s="8">
        <v>0.63</v>
      </c>
      <c r="G276" s="8"/>
      <c r="I276" s="8"/>
      <c r="J276">
        <f>6</f>
        <v>6</v>
      </c>
      <c r="K276">
        <v>1</v>
      </c>
      <c r="L276">
        <v>6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24.769690999999995</v>
      </c>
      <c r="P276">
        <f>IF(O276&lt;0," ",O276)</f>
        <v>24.769690999999995</v>
      </c>
      <c r="S276">
        <f>3.14159*((F276/2)^2)</f>
        <v>0.31172426775000001</v>
      </c>
    </row>
    <row r="277" spans="1:19">
      <c r="A277" s="9">
        <v>42765</v>
      </c>
      <c r="B277" s="8" t="s">
        <v>20</v>
      </c>
      <c r="C277" s="8">
        <v>33</v>
      </c>
      <c r="D277" s="8" t="s">
        <v>67</v>
      </c>
      <c r="F277" s="8">
        <v>0.8</v>
      </c>
      <c r="G277" s="8"/>
      <c r="J277">
        <f>24+26+12+13+44+45</f>
        <v>164</v>
      </c>
      <c r="K277">
        <v>6</v>
      </c>
      <c r="L277">
        <v>45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-7.2773390000000049</v>
      </c>
      <c r="P277" t="str">
        <f>IF(O277&lt;0," ",O277)</f>
        <v xml:space="preserve"> </v>
      </c>
      <c r="S277">
        <f>3.14159*((F277/2)^2)</f>
        <v>0.50265440000000006</v>
      </c>
    </row>
    <row r="278" spans="1:19">
      <c r="A278" s="9">
        <v>42765</v>
      </c>
      <c r="B278" s="8" t="s">
        <v>20</v>
      </c>
      <c r="C278" s="8">
        <v>33</v>
      </c>
      <c r="D278" s="8" t="s">
        <v>67</v>
      </c>
      <c r="F278" s="8">
        <v>0.69</v>
      </c>
      <c r="G278" s="8"/>
      <c r="J278">
        <f>4+4</f>
        <v>8</v>
      </c>
      <c r="K278">
        <v>2</v>
      </c>
      <c r="L278">
        <v>4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18.537337999999998</v>
      </c>
      <c r="P278">
        <f>IF(O278&lt;0," ",O278)</f>
        <v>18.537337999999998</v>
      </c>
      <c r="S278">
        <f>3.14159*((F278/2)^2)</f>
        <v>0.37392774974999993</v>
      </c>
    </row>
    <row r="279" spans="1:19">
      <c r="A279" s="9">
        <v>42765</v>
      </c>
      <c r="B279" s="8" t="s">
        <v>20</v>
      </c>
      <c r="C279" s="8">
        <v>33</v>
      </c>
      <c r="D279" s="8" t="s">
        <v>67</v>
      </c>
      <c r="F279" s="8">
        <v>1.25</v>
      </c>
      <c r="G279" s="8"/>
      <c r="J279">
        <f>49+59+83+95</f>
        <v>286</v>
      </c>
      <c r="K279">
        <v>4</v>
      </c>
      <c r="L279">
        <v>95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3.1432270000000031</v>
      </c>
      <c r="P279">
        <f>IF(O279&lt;0," ",O279)</f>
        <v>3.1432270000000031</v>
      </c>
      <c r="S279">
        <f>3.14159*((F279/2)^2)</f>
        <v>1.22718359375</v>
      </c>
    </row>
    <row r="280" spans="1:19">
      <c r="A280" s="9">
        <v>42765</v>
      </c>
      <c r="B280" s="8" t="s">
        <v>20</v>
      </c>
      <c r="C280" s="8">
        <v>33</v>
      </c>
      <c r="D280" s="8" t="s">
        <v>67</v>
      </c>
      <c r="F280" s="8">
        <v>5.15</v>
      </c>
      <c r="G280" s="8"/>
      <c r="J280">
        <f>265+274+283+291+336</f>
        <v>1449</v>
      </c>
      <c r="K280">
        <v>5</v>
      </c>
      <c r="L280">
        <v>336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32.557894000000026</v>
      </c>
      <c r="P280">
        <f>IF(O280&lt;0," ",O280)</f>
        <v>32.557894000000026</v>
      </c>
      <c r="S280">
        <f>3.14159*((F280/2)^2)</f>
        <v>20.830705193750003</v>
      </c>
    </row>
    <row r="281" spans="1:19">
      <c r="A281" s="9">
        <v>42765</v>
      </c>
      <c r="B281" s="8" t="s">
        <v>20</v>
      </c>
      <c r="C281" s="8">
        <v>32</v>
      </c>
      <c r="D281" s="8" t="s">
        <v>60</v>
      </c>
      <c r="F281" s="8">
        <v>7.9</v>
      </c>
      <c r="J281">
        <f>62+100+181+121</f>
        <v>464</v>
      </c>
      <c r="K281">
        <v>4</v>
      </c>
      <c r="L281">
        <v>181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-6.0754529999999889</v>
      </c>
      <c r="P281" t="str">
        <f>IF(O281&lt;0," ",O281)</f>
        <v xml:space="preserve"> </v>
      </c>
      <c r="S281">
        <f>3.14159*((F281/2)^2)</f>
        <v>49.016657975000001</v>
      </c>
    </row>
    <row r="282" spans="1:19">
      <c r="A282" s="9">
        <v>42765</v>
      </c>
      <c r="B282" s="8" t="s">
        <v>20</v>
      </c>
      <c r="C282" s="8">
        <v>32</v>
      </c>
      <c r="D282" s="8" t="s">
        <v>60</v>
      </c>
      <c r="F282" s="8">
        <v>1.5</v>
      </c>
      <c r="J282">
        <f>62+100+102+121</f>
        <v>385</v>
      </c>
      <c r="K282">
        <v>4</v>
      </c>
      <c r="L282">
        <v>121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4.5926019999999959</v>
      </c>
      <c r="P282">
        <f>IF(O282&lt;0," ",O282)</f>
        <v>4.5926019999999959</v>
      </c>
      <c r="S282">
        <f>3.14159*((F282/2)^2)</f>
        <v>1.767144375</v>
      </c>
    </row>
    <row r="283" spans="1:19">
      <c r="A283" s="9">
        <v>42765</v>
      </c>
      <c r="B283" s="8" t="s">
        <v>20</v>
      </c>
      <c r="C283" s="8">
        <v>32</v>
      </c>
      <c r="D283" s="8" t="s">
        <v>60</v>
      </c>
      <c r="F283" s="8">
        <v>1.01</v>
      </c>
      <c r="J283">
        <f>27+28</f>
        <v>55</v>
      </c>
      <c r="K283">
        <v>2</v>
      </c>
      <c r="L283">
        <v>28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15.713942999999997</v>
      </c>
      <c r="P283">
        <f>IF(O283&lt;0," ",O283)</f>
        <v>15.713942999999997</v>
      </c>
      <c r="S283">
        <f>3.14159*((F283/2)^2)</f>
        <v>0.80118398974999994</v>
      </c>
    </row>
    <row r="284" spans="1:19">
      <c r="A284" s="9">
        <v>42765</v>
      </c>
      <c r="B284" s="8" t="s">
        <v>20</v>
      </c>
      <c r="C284" s="8">
        <v>32</v>
      </c>
      <c r="D284" s="8" t="s">
        <v>60</v>
      </c>
      <c r="F284" s="8">
        <v>5.01</v>
      </c>
      <c r="J284">
        <f>236+239+277+310</f>
        <v>1062</v>
      </c>
      <c r="K284">
        <v>4</v>
      </c>
      <c r="L284">
        <v>310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11.129432000000016</v>
      </c>
      <c r="P284">
        <f>IF(O284&lt;0," ",O284)</f>
        <v>11.129432000000016</v>
      </c>
      <c r="S284">
        <f>3.14159*((F284/2)^2)</f>
        <v>19.713555789749996</v>
      </c>
    </row>
    <row r="285" spans="1:19">
      <c r="A285" s="9">
        <v>42765</v>
      </c>
      <c r="B285" s="8" t="s">
        <v>20</v>
      </c>
      <c r="C285" s="8">
        <v>32</v>
      </c>
      <c r="D285" s="8" t="s">
        <v>60</v>
      </c>
      <c r="F285" s="8">
        <v>0.7</v>
      </c>
      <c r="J285">
        <f>18+17</f>
        <v>35</v>
      </c>
      <c r="K285">
        <v>2</v>
      </c>
      <c r="L285">
        <v>18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16.851292999999998</v>
      </c>
      <c r="P285">
        <f>IF(O285&lt;0," ",O285)</f>
        <v>16.851292999999998</v>
      </c>
      <c r="S285">
        <f>3.14159*((F285/2)^2)</f>
        <v>0.38484477499999992</v>
      </c>
    </row>
    <row r="286" spans="1:19">
      <c r="A286" s="9">
        <v>42765</v>
      </c>
      <c r="B286" s="8" t="s">
        <v>20</v>
      </c>
      <c r="C286" s="8">
        <v>32</v>
      </c>
      <c r="D286" s="8" t="s">
        <v>60</v>
      </c>
      <c r="F286" s="8">
        <v>0.92</v>
      </c>
      <c r="J286">
        <f>17</f>
        <v>17</v>
      </c>
      <c r="K286">
        <v>1</v>
      </c>
      <c r="L286">
        <v>17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22.487300999999999</v>
      </c>
      <c r="P286">
        <f>IF(O286&lt;0," ",O286)</f>
        <v>22.487300999999999</v>
      </c>
      <c r="S286">
        <f>3.14159*((F286/2)^2)</f>
        <v>0.66476044400000001</v>
      </c>
    </row>
    <row r="287" spans="1:19">
      <c r="A287" s="9">
        <v>42765</v>
      </c>
      <c r="B287" s="8" t="s">
        <v>20</v>
      </c>
      <c r="C287" s="8">
        <v>32</v>
      </c>
      <c r="D287" s="8" t="s">
        <v>60</v>
      </c>
      <c r="F287" s="8">
        <v>5.97</v>
      </c>
      <c r="J287">
        <f>190+126+165+259+289+306</f>
        <v>1335</v>
      </c>
      <c r="K287">
        <v>6</v>
      </c>
      <c r="L287">
        <v>306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23.884820999999995</v>
      </c>
      <c r="P287">
        <f>IF(O287&lt;0," ",O287)</f>
        <v>23.884820999999995</v>
      </c>
      <c r="S287">
        <f>3.14159*((F287/2)^2)</f>
        <v>27.992273757749995</v>
      </c>
    </row>
    <row r="288" spans="1:19">
      <c r="A288" s="9">
        <v>42765</v>
      </c>
      <c r="B288" s="8" t="s">
        <v>20</v>
      </c>
      <c r="C288" s="8">
        <v>32</v>
      </c>
      <c r="D288" s="8" t="s">
        <v>60</v>
      </c>
      <c r="F288" s="8">
        <v>1.0900000000000001</v>
      </c>
      <c r="J288">
        <f>17+14+21</f>
        <v>52</v>
      </c>
      <c r="K288">
        <v>3</v>
      </c>
      <c r="L288">
        <v>21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10.519039999999997</v>
      </c>
      <c r="P288">
        <f>IF(O288&lt;0," ",O288)</f>
        <v>10.519039999999997</v>
      </c>
      <c r="S288">
        <f>3.14159*((F288/2)^2)</f>
        <v>0.93313076975000009</v>
      </c>
    </row>
    <row r="289" spans="1:19">
      <c r="A289" s="9">
        <v>42765</v>
      </c>
      <c r="B289" s="8" t="s">
        <v>20</v>
      </c>
      <c r="C289" s="8">
        <v>32</v>
      </c>
      <c r="D289" s="8" t="s">
        <v>60</v>
      </c>
      <c r="F289" s="8">
        <v>0.73</v>
      </c>
      <c r="H289" s="8"/>
      <c r="J289">
        <f>11+14+16</f>
        <v>41</v>
      </c>
      <c r="K289">
        <v>3</v>
      </c>
      <c r="L289">
        <v>16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10.993959999999998</v>
      </c>
      <c r="P289">
        <f>IF(O289&lt;0," ",O289)</f>
        <v>10.993959999999998</v>
      </c>
      <c r="S289">
        <f>3.14159*((F289/2)^2)</f>
        <v>0.41853832774999994</v>
      </c>
    </row>
    <row r="290" spans="1:19">
      <c r="A290" s="9">
        <v>42765</v>
      </c>
      <c r="B290" s="8" t="s">
        <v>20</v>
      </c>
      <c r="C290" s="8">
        <v>32</v>
      </c>
      <c r="D290" s="8" t="s">
        <v>60</v>
      </c>
      <c r="F290" s="8">
        <v>1.61</v>
      </c>
      <c r="J290">
        <f>63+90+73</f>
        <v>226</v>
      </c>
      <c r="K290">
        <v>3</v>
      </c>
      <c r="L290">
        <v>90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6.0465049999999962</v>
      </c>
      <c r="P290">
        <f>IF(O290&lt;0," ",O290)</f>
        <v>6.0465049999999962</v>
      </c>
      <c r="S290">
        <f>3.14159*((F290/2)^2)</f>
        <v>2.0358288597500001</v>
      </c>
    </row>
    <row r="291" spans="1:19">
      <c r="A291" s="9">
        <v>42765</v>
      </c>
      <c r="B291" s="8" t="s">
        <v>20</v>
      </c>
      <c r="C291" s="8">
        <v>32</v>
      </c>
      <c r="D291" s="8" t="s">
        <v>60</v>
      </c>
      <c r="F291" s="8">
        <v>1.18</v>
      </c>
      <c r="J291">
        <f>282</f>
        <v>282</v>
      </c>
      <c r="K291">
        <v>1</v>
      </c>
      <c r="L291">
        <v>282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-32.497548999999999</v>
      </c>
      <c r="P291" t="str">
        <f>IF(O291&lt;0," ",O291)</f>
        <v xml:space="preserve"> </v>
      </c>
      <c r="S291">
        <f>3.14159*((F291/2)^2)</f>
        <v>1.0935874789999998</v>
      </c>
    </row>
    <row r="292" spans="1:19">
      <c r="A292" s="9">
        <v>42765</v>
      </c>
      <c r="B292" s="8" t="s">
        <v>20</v>
      </c>
      <c r="C292" s="8">
        <v>32</v>
      </c>
      <c r="D292" s="8" t="s">
        <v>60</v>
      </c>
      <c r="F292" s="8">
        <v>0.92</v>
      </c>
      <c r="J292">
        <f>65+59+49</f>
        <v>173</v>
      </c>
      <c r="K292">
        <v>3</v>
      </c>
      <c r="L292">
        <v>65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8.6086149999999968</v>
      </c>
      <c r="P292">
        <f>IF(O292&lt;0," ",O292)</f>
        <v>8.6086149999999968</v>
      </c>
      <c r="S292">
        <f>3.14159*((F292/2)^2)</f>
        <v>0.66476044400000001</v>
      </c>
    </row>
    <row r="293" spans="1:19">
      <c r="A293" s="9">
        <v>42765</v>
      </c>
      <c r="B293" s="8" t="s">
        <v>20</v>
      </c>
      <c r="C293" s="8">
        <v>2</v>
      </c>
      <c r="D293" s="8" t="s">
        <v>64</v>
      </c>
      <c r="E293">
        <v>177</v>
      </c>
      <c r="F293" s="8">
        <v>1.37</v>
      </c>
      <c r="G293" s="8"/>
      <c r="I293" s="8"/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7.8179880000000006</v>
      </c>
      <c r="P293">
        <f>IF(O293&lt;0," ",O293)</f>
        <v>7.8179880000000006</v>
      </c>
      <c r="S293">
        <f>3.14159*((F293/2)^2)</f>
        <v>1.4741125677500002</v>
      </c>
    </row>
    <row r="294" spans="1:19">
      <c r="A294" s="9">
        <v>42765</v>
      </c>
      <c r="B294" s="8" t="s">
        <v>20</v>
      </c>
      <c r="C294" s="8">
        <v>2</v>
      </c>
      <c r="D294" s="8" t="s">
        <v>64</v>
      </c>
      <c r="E294">
        <v>272</v>
      </c>
      <c r="F294" s="8">
        <v>2.09</v>
      </c>
      <c r="G294">
        <v>6</v>
      </c>
      <c r="H294" s="8"/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6.6622592000000003</v>
      </c>
      <c r="P294">
        <f>IF(O294&lt;0," ",O294)</f>
        <v>6.6622592000000003</v>
      </c>
      <c r="S294">
        <f>3.14159*((F294/2)^2)</f>
        <v>3.4306948197499993</v>
      </c>
    </row>
    <row r="295" spans="1:19">
      <c r="A295" s="9">
        <v>42765</v>
      </c>
      <c r="B295" s="8" t="s">
        <v>20</v>
      </c>
      <c r="C295" s="8">
        <v>2</v>
      </c>
      <c r="D295" s="8" t="s">
        <v>60</v>
      </c>
      <c r="F295" s="8">
        <v>1.65</v>
      </c>
      <c r="I295" s="8"/>
      <c r="J295">
        <f>132+145</f>
        <v>277</v>
      </c>
      <c r="K295">
        <v>2</v>
      </c>
      <c r="L295">
        <v>145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1.2818880000000021</v>
      </c>
      <c r="P295">
        <f>IF(O295&lt;0," ",O295)</f>
        <v>1.2818880000000021</v>
      </c>
      <c r="S295">
        <f>3.14159*((F295/2)^2)</f>
        <v>2.1382446937499995</v>
      </c>
    </row>
    <row r="296" spans="1:19">
      <c r="A296" s="9">
        <v>42765</v>
      </c>
      <c r="B296" s="8" t="s">
        <v>20</v>
      </c>
      <c r="C296" s="8">
        <v>2</v>
      </c>
      <c r="D296" s="8" t="s">
        <v>60</v>
      </c>
      <c r="F296" s="8">
        <v>0.62</v>
      </c>
      <c r="J296">
        <f>22</f>
        <v>22</v>
      </c>
      <c r="K296">
        <v>1</v>
      </c>
      <c r="L296">
        <v>22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21.449850999999995</v>
      </c>
      <c r="P296">
        <f>IF(O296&lt;0," ",O296)</f>
        <v>21.449850999999995</v>
      </c>
      <c r="S296">
        <f>3.14159*((F296/2)^2)</f>
        <v>0.301906799</v>
      </c>
    </row>
    <row r="297" spans="1:19">
      <c r="A297" s="9">
        <v>42765</v>
      </c>
      <c r="B297" s="8" t="s">
        <v>20</v>
      </c>
      <c r="C297" s="8">
        <v>1</v>
      </c>
      <c r="D297" s="8" t="s">
        <v>60</v>
      </c>
      <c r="F297" s="8"/>
      <c r="G297" s="8"/>
      <c r="H297" s="8"/>
      <c r="I297" s="8"/>
      <c r="M297" t="s">
        <v>65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0</v>
      </c>
      <c r="P297">
        <f>IF(O297&lt;0," ",O297)</f>
        <v>0</v>
      </c>
      <c r="S297">
        <f>3.14159*((F297/2)^2)</f>
        <v>0</v>
      </c>
    </row>
    <row r="298" spans="1:19">
      <c r="A298" s="9">
        <v>42760</v>
      </c>
      <c r="B298" s="8" t="s">
        <v>21</v>
      </c>
      <c r="C298" s="8">
        <v>50</v>
      </c>
      <c r="D298" s="8" t="s">
        <v>60</v>
      </c>
      <c r="F298" s="8">
        <v>4.47</v>
      </c>
      <c r="G298" s="8"/>
      <c r="J298">
        <f>100+148+188+245</f>
        <v>681</v>
      </c>
      <c r="K298">
        <v>4</v>
      </c>
      <c r="L298">
        <v>205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7.0395020000000059</v>
      </c>
      <c r="P298">
        <f>IF(O298&lt;0," ",O298)</f>
        <v>7.0395020000000059</v>
      </c>
      <c r="S298">
        <f>3.14159*((F298/2)^2)</f>
        <v>15.692948907749997</v>
      </c>
    </row>
    <row r="299" spans="1:19">
      <c r="A299" s="9">
        <v>42760</v>
      </c>
      <c r="B299" s="8" t="s">
        <v>21</v>
      </c>
      <c r="C299" s="8">
        <v>50</v>
      </c>
      <c r="D299" s="8" t="s">
        <v>60</v>
      </c>
      <c r="F299" s="8">
        <v>1.1599999999999999</v>
      </c>
      <c r="G299" s="8"/>
      <c r="J299">
        <f>29+35</f>
        <v>64</v>
      </c>
      <c r="K299">
        <v>2</v>
      </c>
      <c r="L299">
        <v>35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14.449022999999997</v>
      </c>
      <c r="P299">
        <f>IF(O299&lt;0," ",O299)</f>
        <v>14.449022999999997</v>
      </c>
      <c r="S299">
        <f>3.14159*((F299/2)^2)</f>
        <v>1.0568308759999998</v>
      </c>
    </row>
    <row r="300" spans="1:19">
      <c r="A300" s="9">
        <v>42760</v>
      </c>
      <c r="B300" s="8" t="s">
        <v>21</v>
      </c>
      <c r="C300" s="8">
        <v>50</v>
      </c>
      <c r="D300" s="8" t="s">
        <v>60</v>
      </c>
      <c r="F300" s="8">
        <v>2.29</v>
      </c>
      <c r="G300" s="8"/>
      <c r="J300">
        <f>123+127+165+173+264</f>
        <v>852</v>
      </c>
      <c r="K300">
        <v>5</v>
      </c>
      <c r="L300">
        <v>264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-1.7242009999999937</v>
      </c>
      <c r="P300" t="str">
        <f>IF(O300&lt;0," ",O300)</f>
        <v xml:space="preserve"> </v>
      </c>
      <c r="S300">
        <f>3.14159*((F300/2)^2)</f>
        <v>4.1187030297499998</v>
      </c>
    </row>
    <row r="301" spans="1:19">
      <c r="A301" s="9">
        <v>42760</v>
      </c>
      <c r="B301" s="8" t="s">
        <v>21</v>
      </c>
      <c r="C301" s="8">
        <v>50</v>
      </c>
      <c r="D301" s="8" t="s">
        <v>60</v>
      </c>
      <c r="F301" s="8">
        <v>0.7</v>
      </c>
      <c r="G301" s="8"/>
      <c r="J301">
        <f>33+36</f>
        <v>69</v>
      </c>
      <c r="K301">
        <v>2</v>
      </c>
      <c r="L301">
        <v>36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14.616553</v>
      </c>
      <c r="P301">
        <f>IF(O301&lt;0," ",O301)</f>
        <v>14.616553</v>
      </c>
      <c r="S301">
        <f>3.14159*((F301/2)^2)</f>
        <v>0.38484477499999992</v>
      </c>
    </row>
    <row r="302" spans="1:19">
      <c r="A302" s="9">
        <v>42760</v>
      </c>
      <c r="B302" s="8" t="s">
        <v>21</v>
      </c>
      <c r="C302" s="8">
        <v>50</v>
      </c>
      <c r="D302" s="8" t="s">
        <v>60</v>
      </c>
      <c r="F302" s="8">
        <v>1.02</v>
      </c>
      <c r="G302" s="8"/>
      <c r="J302">
        <f>26+34+35</f>
        <v>95</v>
      </c>
      <c r="K302">
        <v>3</v>
      </c>
      <c r="L302">
        <v>35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10.333074999999997</v>
      </c>
      <c r="P302">
        <f>IF(O302&lt;0," ",O302)</f>
        <v>10.333074999999997</v>
      </c>
      <c r="S302">
        <f>3.14159*((F302/2)^2)</f>
        <v>0.817127559</v>
      </c>
    </row>
    <row r="303" spans="1:19">
      <c r="A303" s="9">
        <v>42760</v>
      </c>
      <c r="B303" s="8" t="s">
        <v>21</v>
      </c>
      <c r="C303" s="8">
        <v>50</v>
      </c>
      <c r="D303" s="8" t="s">
        <v>60</v>
      </c>
      <c r="F303" s="8">
        <v>0.95</v>
      </c>
      <c r="J303">
        <f>26+46</f>
        <v>72</v>
      </c>
      <c r="K303">
        <v>2</v>
      </c>
      <c r="L303">
        <v>46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11.885368</v>
      </c>
      <c r="P303">
        <f>IF(O303&lt;0," ",O303)</f>
        <v>11.885368</v>
      </c>
      <c r="S303">
        <f>3.14159*((F303/2)^2)</f>
        <v>0.70882124375</v>
      </c>
    </row>
    <row r="304" spans="1:19">
      <c r="A304" s="9">
        <v>42760</v>
      </c>
      <c r="B304" s="8" t="s">
        <v>21</v>
      </c>
      <c r="C304" s="8">
        <v>50</v>
      </c>
      <c r="D304" s="8" t="s">
        <v>60</v>
      </c>
      <c r="F304" s="8">
        <v>0.68</v>
      </c>
      <c r="G304" s="8"/>
      <c r="J304">
        <f>50</f>
        <v>50</v>
      </c>
      <c r="K304">
        <v>2</v>
      </c>
      <c r="L304">
        <v>30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14.642677999999997</v>
      </c>
      <c r="P304">
        <f>IF(O304&lt;0," ",O304)</f>
        <v>14.642677999999997</v>
      </c>
      <c r="S304">
        <f>3.14159*((F304/2)^2)</f>
        <v>0.36316780400000004</v>
      </c>
    </row>
    <row r="305" spans="1:19">
      <c r="A305" s="9">
        <v>42760</v>
      </c>
      <c r="B305" s="8" t="s">
        <v>21</v>
      </c>
      <c r="C305" s="8">
        <v>50</v>
      </c>
      <c r="D305" s="8" t="s">
        <v>60</v>
      </c>
      <c r="F305" s="8">
        <v>0.64</v>
      </c>
      <c r="J305">
        <v>28</v>
      </c>
      <c r="K305">
        <v>1</v>
      </c>
      <c r="L305">
        <v>28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20.204910999999996</v>
      </c>
      <c r="P305">
        <f>IF(O305&lt;0," ",O305)</f>
        <v>20.204910999999996</v>
      </c>
      <c r="S305">
        <f>3.14159*((F305/2)^2)</f>
        <v>0.321698816</v>
      </c>
    </row>
    <row r="306" spans="1:19">
      <c r="A306" s="9">
        <v>42760</v>
      </c>
      <c r="B306" s="8" t="s">
        <v>21</v>
      </c>
      <c r="C306" s="8">
        <v>50</v>
      </c>
      <c r="D306" s="8" t="s">
        <v>60</v>
      </c>
      <c r="F306" s="8">
        <v>1.9</v>
      </c>
      <c r="J306">
        <f>127+245+271</f>
        <v>643</v>
      </c>
      <c r="K306">
        <v>3</v>
      </c>
      <c r="L306">
        <v>271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-9.3830049999999972</v>
      </c>
      <c r="P306" t="str">
        <f>IF(O306&lt;0," ",O306)</f>
        <v xml:space="preserve"> </v>
      </c>
      <c r="S306">
        <f>3.14159*((F306/2)^2)</f>
        <v>2.835284975</v>
      </c>
    </row>
    <row r="307" spans="1:19">
      <c r="A307" s="9">
        <v>42760</v>
      </c>
      <c r="B307" s="8" t="s">
        <v>21</v>
      </c>
      <c r="C307" s="8">
        <v>49</v>
      </c>
      <c r="D307" s="8" t="s">
        <v>60</v>
      </c>
      <c r="F307" s="8">
        <v>1</v>
      </c>
      <c r="J307">
        <f>19+20+24</f>
        <v>63</v>
      </c>
      <c r="K307">
        <v>3</v>
      </c>
      <c r="L307">
        <v>24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10.646609999999995</v>
      </c>
      <c r="P307">
        <f>IF(O307&lt;0," ",O307)</f>
        <v>10.646609999999995</v>
      </c>
      <c r="S307">
        <f>3.14159*((F307/2)^2)</f>
        <v>0.78539749999999997</v>
      </c>
    </row>
    <row r="308" spans="1:19">
      <c r="A308" s="9">
        <v>42760</v>
      </c>
      <c r="B308" s="8" t="s">
        <v>21</v>
      </c>
      <c r="C308" s="8">
        <v>49</v>
      </c>
      <c r="D308" s="8" t="s">
        <v>60</v>
      </c>
      <c r="F308" s="8">
        <v>1.48</v>
      </c>
      <c r="J308">
        <f>43+50+64</f>
        <v>157</v>
      </c>
      <c r="K308">
        <v>3</v>
      </c>
      <c r="L308">
        <v>64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7.4097799999999978</v>
      </c>
      <c r="P308">
        <f>IF(O308&lt;0," ",O308)</f>
        <v>7.4097799999999978</v>
      </c>
      <c r="S308">
        <f>3.14159*((F308/2)^2)</f>
        <v>1.7203346839999998</v>
      </c>
    </row>
    <row r="309" spans="1:19">
      <c r="A309" s="9">
        <v>42760</v>
      </c>
      <c r="B309" s="8" t="s">
        <v>21</v>
      </c>
      <c r="C309" s="8">
        <v>49</v>
      </c>
      <c r="D309" s="8" t="s">
        <v>60</v>
      </c>
      <c r="F309" s="8">
        <v>1.28</v>
      </c>
      <c r="G309" s="8"/>
      <c r="J309">
        <f>33+37+43</f>
        <v>113</v>
      </c>
      <c r="K309">
        <v>3</v>
      </c>
      <c r="L309">
        <v>43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9.6107049999999958</v>
      </c>
      <c r="P309">
        <f>IF(O309&lt;0," ",O309)</f>
        <v>9.6107049999999958</v>
      </c>
      <c r="S309">
        <f>3.14159*((F309/2)^2)</f>
        <v>1.286795264</v>
      </c>
    </row>
    <row r="310" spans="1:19">
      <c r="A310" s="9">
        <v>42760</v>
      </c>
      <c r="B310" s="8" t="s">
        <v>21</v>
      </c>
      <c r="C310" s="8">
        <v>49</v>
      </c>
      <c r="D310" s="8" t="s">
        <v>60</v>
      </c>
      <c r="F310" s="8">
        <v>1.1499999999999999</v>
      </c>
      <c r="J310">
        <f>27+27+35+38</f>
        <v>127</v>
      </c>
      <c r="K310">
        <v>4</v>
      </c>
      <c r="L310">
        <v>38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5.4071469999999948</v>
      </c>
      <c r="P310">
        <f>IF(O310&lt;0," ",O310)</f>
        <v>5.4071469999999948</v>
      </c>
      <c r="S310">
        <f>3.14159*((F310/2)^2)</f>
        <v>1.0386881937499999</v>
      </c>
    </row>
    <row r="311" spans="1:19">
      <c r="A311" s="9">
        <v>42760</v>
      </c>
      <c r="B311" s="8" t="s">
        <v>21</v>
      </c>
      <c r="C311" s="8">
        <v>49</v>
      </c>
      <c r="D311" s="8" t="s">
        <v>60</v>
      </c>
      <c r="F311" s="8">
        <v>0.79</v>
      </c>
      <c r="G311" s="8"/>
      <c r="I311" s="8"/>
      <c r="J311">
        <f>38</f>
        <v>38</v>
      </c>
      <c r="K311">
        <v>2</v>
      </c>
      <c r="L311">
        <v>19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16.831312999999998</v>
      </c>
      <c r="P311">
        <f>IF(O311&lt;0," ",O311)</f>
        <v>16.831312999999998</v>
      </c>
      <c r="S311">
        <f>3.14159*((F311/2)^2)</f>
        <v>0.49016657975000005</v>
      </c>
    </row>
    <row r="312" spans="1:19">
      <c r="A312" s="9">
        <v>42760</v>
      </c>
      <c r="B312" s="8" t="s">
        <v>21</v>
      </c>
      <c r="C312" s="8">
        <v>49</v>
      </c>
      <c r="D312" s="8" t="s">
        <v>60</v>
      </c>
      <c r="F312" s="8">
        <v>2.09</v>
      </c>
      <c r="G312" s="8"/>
      <c r="I312" s="8"/>
      <c r="J312">
        <f>44+105+133+134</f>
        <v>416</v>
      </c>
      <c r="K312">
        <v>4</v>
      </c>
      <c r="L312">
        <v>134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3.5828219999999966</v>
      </c>
      <c r="P312">
        <f>IF(O312&lt;0," ",O312)</f>
        <v>3.5828219999999966</v>
      </c>
      <c r="S312">
        <f>3.14159*((F312/2)^2)</f>
        <v>3.4306948197499993</v>
      </c>
    </row>
    <row r="313" spans="1:19">
      <c r="A313" s="9">
        <v>42760</v>
      </c>
      <c r="B313" s="8" t="s">
        <v>21</v>
      </c>
      <c r="C313" s="8">
        <v>49</v>
      </c>
      <c r="D313" s="8" t="s">
        <v>60</v>
      </c>
      <c r="F313" s="8">
        <v>1</v>
      </c>
      <c r="G313" s="8"/>
      <c r="I313" s="8"/>
      <c r="J313">
        <f>30+36+41</f>
        <v>107</v>
      </c>
      <c r="K313">
        <v>3</v>
      </c>
      <c r="L313">
        <v>41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9.6506649999999965</v>
      </c>
      <c r="P313">
        <f>IF(O313&lt;0," ",O313)</f>
        <v>9.6506649999999965</v>
      </c>
      <c r="S313">
        <f>3.14159*((F313/2)^2)</f>
        <v>0.78539749999999997</v>
      </c>
    </row>
    <row r="314" spans="1:19">
      <c r="A314" s="9">
        <v>42760</v>
      </c>
      <c r="B314" s="8" t="s">
        <v>21</v>
      </c>
      <c r="C314" s="8">
        <v>49</v>
      </c>
      <c r="D314" s="8" t="s">
        <v>60</v>
      </c>
      <c r="F314" s="8">
        <v>1.2</v>
      </c>
      <c r="J314">
        <f>27+27+34+38</f>
        <v>126</v>
      </c>
      <c r="K314">
        <v>4</v>
      </c>
      <c r="L314">
        <v>38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5.3133920000000003</v>
      </c>
      <c r="P314">
        <f>IF(O314&lt;0," ",O314)</f>
        <v>5.3133920000000003</v>
      </c>
      <c r="S314">
        <f>3.14159*((F314/2)^2)</f>
        <v>1.1309723999999999</v>
      </c>
    </row>
    <row r="315" spans="1:19">
      <c r="A315" s="9">
        <v>42760</v>
      </c>
      <c r="B315" s="8" t="s">
        <v>21</v>
      </c>
      <c r="C315" s="8">
        <v>49</v>
      </c>
      <c r="D315" s="8" t="s">
        <v>60</v>
      </c>
      <c r="F315" s="8">
        <v>1.7</v>
      </c>
      <c r="J315">
        <f>39+49+66</f>
        <v>154</v>
      </c>
      <c r="K315">
        <v>3</v>
      </c>
      <c r="L315">
        <v>66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6.5260249999999971</v>
      </c>
      <c r="P315">
        <f>IF(O315&lt;0," ",O315)</f>
        <v>6.5260249999999971</v>
      </c>
      <c r="S315">
        <f>3.14159*((F315/2)^2)</f>
        <v>2.2697987749999995</v>
      </c>
    </row>
    <row r="316" spans="1:19">
      <c r="A316" s="9">
        <v>42760</v>
      </c>
      <c r="B316" s="8" t="s">
        <v>21</v>
      </c>
      <c r="C316" s="8">
        <v>49</v>
      </c>
      <c r="D316" s="8" t="s">
        <v>60</v>
      </c>
      <c r="F316" s="8">
        <v>1.44</v>
      </c>
      <c r="G316" s="8"/>
      <c r="J316">
        <f>36+125+144</f>
        <v>305</v>
      </c>
      <c r="K316">
        <v>3</v>
      </c>
      <c r="L316">
        <v>144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-2.814079999999997</v>
      </c>
      <c r="P316" t="str">
        <f>IF(O316&lt;0," ",O316)</f>
        <v xml:space="preserve"> </v>
      </c>
      <c r="S316">
        <f>3.14159*((F316/2)^2)</f>
        <v>1.6286002559999999</v>
      </c>
    </row>
    <row r="317" spans="1:19">
      <c r="A317" s="9">
        <v>42760</v>
      </c>
      <c r="B317" s="8" t="s">
        <v>21</v>
      </c>
      <c r="C317" s="8">
        <v>49</v>
      </c>
      <c r="D317" s="8" t="s">
        <v>60</v>
      </c>
      <c r="F317" s="8">
        <v>2.44</v>
      </c>
      <c r="J317">
        <f>168</f>
        <v>168</v>
      </c>
      <c r="K317">
        <v>1</v>
      </c>
      <c r="L317">
        <v>168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-8.8436889999999977</v>
      </c>
      <c r="P317" t="str">
        <f>IF(O317&lt;0," ",O317)</f>
        <v xml:space="preserve"> </v>
      </c>
      <c r="S317">
        <f>3.14159*((F317/2)^2)</f>
        <v>4.6759425559999999</v>
      </c>
    </row>
    <row r="318" spans="1:19">
      <c r="A318" s="9">
        <v>42760</v>
      </c>
      <c r="B318" s="8" t="s">
        <v>21</v>
      </c>
      <c r="C318" s="8">
        <v>46</v>
      </c>
      <c r="D318" s="8" t="s">
        <v>67</v>
      </c>
      <c r="F318" s="8">
        <v>1.59</v>
      </c>
      <c r="G318" s="8"/>
      <c r="J318">
        <f>40+63+81+84+118</f>
        <v>386</v>
      </c>
      <c r="K318">
        <v>5</v>
      </c>
      <c r="L318">
        <v>118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-1.4322609999999969</v>
      </c>
      <c r="P318" t="str">
        <f>IF(O318&lt;0," ",O318)</f>
        <v xml:space="preserve"> </v>
      </c>
      <c r="S318">
        <f>3.14159*((F318/2)^2)</f>
        <v>1.9855634197500001</v>
      </c>
    </row>
    <row r="319" spans="1:19">
      <c r="A319" s="9">
        <v>42760</v>
      </c>
      <c r="B319" s="8" t="s">
        <v>21</v>
      </c>
      <c r="C319" s="8">
        <v>46</v>
      </c>
      <c r="D319" s="8" t="s">
        <v>67</v>
      </c>
      <c r="F319" s="8">
        <v>1.01</v>
      </c>
      <c r="G319" s="8"/>
      <c r="J319">
        <f>35+64+37+88</f>
        <v>224</v>
      </c>
      <c r="K319">
        <v>4</v>
      </c>
      <c r="L319">
        <v>88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-0.56086800000000636</v>
      </c>
      <c r="P319" t="str">
        <f>IF(O319&lt;0," ",O319)</f>
        <v xml:space="preserve"> </v>
      </c>
      <c r="S319">
        <f>3.14159*((F319/2)^2)</f>
        <v>0.80118398974999994</v>
      </c>
    </row>
    <row r="320" spans="1:19">
      <c r="A320" s="9">
        <v>42760</v>
      </c>
      <c r="B320" s="8" t="s">
        <v>21</v>
      </c>
      <c r="C320" s="8">
        <v>46</v>
      </c>
      <c r="D320" s="8" t="s">
        <v>67</v>
      </c>
      <c r="F320" s="8">
        <v>0.91</v>
      </c>
      <c r="G320" s="8"/>
      <c r="J320">
        <f>16+16+21</f>
        <v>53</v>
      </c>
      <c r="K320">
        <v>3</v>
      </c>
      <c r="L320">
        <v>21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10.612794999999995</v>
      </c>
      <c r="P320">
        <f>IF(O320&lt;0," ",O320)</f>
        <v>10.612794999999995</v>
      </c>
      <c r="S320">
        <f>3.14159*((F320/2)^2)</f>
        <v>0.65038766975000006</v>
      </c>
    </row>
    <row r="321" spans="1:19">
      <c r="A321" s="9">
        <v>42760</v>
      </c>
      <c r="B321" s="8" t="s">
        <v>21</v>
      </c>
      <c r="C321" s="8">
        <v>46</v>
      </c>
      <c r="D321" s="8" t="s">
        <v>67</v>
      </c>
      <c r="F321" s="8">
        <v>0.66</v>
      </c>
      <c r="J321">
        <f>32+52</f>
        <v>84</v>
      </c>
      <c r="K321">
        <v>2</v>
      </c>
      <c r="L321">
        <v>52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11.202957999999999</v>
      </c>
      <c r="P321">
        <f>IF(O321&lt;0," ",O321)</f>
        <v>11.202957999999999</v>
      </c>
      <c r="S321">
        <f>3.14159*((F321/2)^2)</f>
        <v>0.34211915100000001</v>
      </c>
    </row>
    <row r="322" spans="1:19">
      <c r="A322" s="9">
        <v>42760</v>
      </c>
      <c r="B322" s="8" t="s">
        <v>21</v>
      </c>
      <c r="C322" s="8">
        <v>46</v>
      </c>
      <c r="D322" s="8" t="s">
        <v>67</v>
      </c>
      <c r="F322" s="8">
        <v>0.81</v>
      </c>
      <c r="G322" s="8"/>
      <c r="J322">
        <f>15+20+22</f>
        <v>57</v>
      </c>
      <c r="K322">
        <v>3</v>
      </c>
      <c r="L322">
        <v>22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10.686569999999996</v>
      </c>
      <c r="P322">
        <f>IF(O322&lt;0," ",O322)</f>
        <v>10.686569999999996</v>
      </c>
      <c r="S322">
        <f>3.14159*((F322/2)^2)</f>
        <v>0.51529929975000011</v>
      </c>
    </row>
    <row r="323" spans="1:19">
      <c r="A323" s="9">
        <v>42760</v>
      </c>
      <c r="B323" s="8" t="s">
        <v>21</v>
      </c>
      <c r="C323" s="8">
        <v>44</v>
      </c>
      <c r="D323" s="8" t="s">
        <v>67</v>
      </c>
      <c r="F323" s="8">
        <v>2.76</v>
      </c>
      <c r="G323" s="8"/>
      <c r="I323" s="8"/>
      <c r="J323">
        <f>89+85+125+164+173+173+186</f>
        <v>995</v>
      </c>
      <c r="K323">
        <v>7</v>
      </c>
      <c r="L323">
        <v>186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21.135168000000007</v>
      </c>
      <c r="P323">
        <f>IF(O323&lt;0," ",O323)</f>
        <v>21.135168000000007</v>
      </c>
      <c r="S323">
        <f>3.14159*((F323/2)^2)</f>
        <v>5.9828439959999988</v>
      </c>
    </row>
    <row r="324" spans="1:19">
      <c r="A324" s="9">
        <v>42760</v>
      </c>
      <c r="B324" s="8" t="s">
        <v>21</v>
      </c>
      <c r="C324" s="8">
        <v>44</v>
      </c>
      <c r="D324" s="8" t="s">
        <v>67</v>
      </c>
      <c r="F324" s="8">
        <v>1.98</v>
      </c>
      <c r="G324" s="8"/>
      <c r="J324">
        <f>15+27+33+42</f>
        <v>117</v>
      </c>
      <c r="K324">
        <v>4</v>
      </c>
      <c r="L324">
        <v>42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3.2646170000000012</v>
      </c>
      <c r="P324">
        <f>IF(O324&lt;0," ",O324)</f>
        <v>3.2646170000000012</v>
      </c>
      <c r="S324">
        <f>3.14159*((F324/2)^2)</f>
        <v>3.079072359</v>
      </c>
    </row>
    <row r="325" spans="1:19">
      <c r="A325" s="9">
        <v>42760</v>
      </c>
      <c r="B325" s="8" t="s">
        <v>21</v>
      </c>
      <c r="C325" s="8">
        <v>44</v>
      </c>
      <c r="D325" s="8" t="s">
        <v>67</v>
      </c>
      <c r="F325" s="8">
        <v>1.1299999999999999</v>
      </c>
      <c r="G325" s="8"/>
      <c r="J325">
        <f>18+22+27</f>
        <v>67</v>
      </c>
      <c r="K325">
        <v>3</v>
      </c>
      <c r="L325">
        <v>27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10.117894999999997</v>
      </c>
      <c r="P325">
        <f>IF(O325&lt;0," ",O325)</f>
        <v>10.117894999999997</v>
      </c>
      <c r="S325">
        <f>3.14159*((F325/2)^2)</f>
        <v>1.0028740677499997</v>
      </c>
    </row>
    <row r="326" spans="1:19">
      <c r="A326" s="9">
        <v>42760</v>
      </c>
      <c r="B326" s="8" t="s">
        <v>21</v>
      </c>
      <c r="C326" s="8">
        <v>44</v>
      </c>
      <c r="D326" s="8" t="s">
        <v>67</v>
      </c>
      <c r="F326" s="8">
        <v>0.56000000000000005</v>
      </c>
      <c r="J326">
        <f>12+19+20</f>
        <v>51</v>
      </c>
      <c r="K326">
        <v>3</v>
      </c>
      <c r="L326">
        <v>20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10.726529999999997</v>
      </c>
      <c r="P326">
        <f>IF(O326&lt;0," ",O326)</f>
        <v>10.726529999999997</v>
      </c>
      <c r="S326">
        <f>3.14159*((F326/2)^2)</f>
        <v>0.24630065600000003</v>
      </c>
    </row>
    <row r="327" spans="1:19">
      <c r="A327" s="9">
        <v>42760</v>
      </c>
      <c r="B327" s="8" t="s">
        <v>21</v>
      </c>
      <c r="C327" s="8">
        <v>44</v>
      </c>
      <c r="D327" s="8" t="s">
        <v>67</v>
      </c>
      <c r="F327" s="8">
        <v>0.82</v>
      </c>
      <c r="G327" s="8"/>
      <c r="J327">
        <f>12+13+15</f>
        <v>40</v>
      </c>
      <c r="K327">
        <v>3</v>
      </c>
      <c r="L327">
        <v>15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11.201449999999994</v>
      </c>
      <c r="P327">
        <f>IF(O327&lt;0," ",O327)</f>
        <v>11.201449999999994</v>
      </c>
      <c r="S327">
        <f>3.14159*((F327/2)^2)</f>
        <v>0.52810127899999992</v>
      </c>
    </row>
    <row r="328" spans="1:19">
      <c r="A328" s="9">
        <v>42760</v>
      </c>
      <c r="B328" s="8" t="s">
        <v>21</v>
      </c>
      <c r="C328" s="8">
        <v>27</v>
      </c>
      <c r="D328" s="8" t="s">
        <v>60</v>
      </c>
      <c r="F328" s="8">
        <v>0.82</v>
      </c>
      <c r="G328" s="8"/>
      <c r="I328" s="8"/>
      <c r="J328">
        <f>47+66+71</f>
        <v>184</v>
      </c>
      <c r="K328">
        <v>3</v>
      </c>
      <c r="L328">
        <v>71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7.8324499999999979</v>
      </c>
      <c r="P328">
        <f>IF(O328&lt;0," ",O328)</f>
        <v>7.8324499999999979</v>
      </c>
      <c r="S328">
        <f>3.14159*((F328/2)^2)</f>
        <v>0.52810127899999992</v>
      </c>
    </row>
    <row r="329" spans="1:19">
      <c r="A329" s="9">
        <v>42760</v>
      </c>
      <c r="B329" s="8" t="s">
        <v>21</v>
      </c>
      <c r="C329" s="8">
        <v>27</v>
      </c>
      <c r="D329" s="8" t="s">
        <v>60</v>
      </c>
      <c r="F329" s="8">
        <v>1.48</v>
      </c>
      <c r="J329">
        <f>35+57+75</f>
        <v>167</v>
      </c>
      <c r="K329">
        <v>3</v>
      </c>
      <c r="L329">
        <v>75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5.0336349999999968</v>
      </c>
      <c r="P329">
        <f>IF(O329&lt;0," ",O329)</f>
        <v>5.0336349999999968</v>
      </c>
      <c r="S329">
        <f>3.14159*((F329/2)^2)</f>
        <v>1.7203346839999998</v>
      </c>
    </row>
    <row r="330" spans="1:19">
      <c r="A330" s="9">
        <v>42760</v>
      </c>
      <c r="B330" s="8" t="s">
        <v>21</v>
      </c>
      <c r="C330" s="8">
        <v>27</v>
      </c>
      <c r="D330" s="8" t="s">
        <v>60</v>
      </c>
      <c r="F330" s="8">
        <v>1.99</v>
      </c>
      <c r="J330">
        <f>26+34+37</f>
        <v>97</v>
      </c>
      <c r="K330">
        <v>3</v>
      </c>
      <c r="L330">
        <v>37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9.9180949999999974</v>
      </c>
      <c r="P330">
        <f>IF(O330&lt;0," ",O330)</f>
        <v>9.9180949999999974</v>
      </c>
      <c r="S330">
        <f>3.14159*((F330/2)^2)</f>
        <v>3.1102526397500001</v>
      </c>
    </row>
    <row r="331" spans="1:19">
      <c r="A331" s="9">
        <v>42760</v>
      </c>
      <c r="B331" s="8" t="s">
        <v>21</v>
      </c>
      <c r="C331" s="8">
        <v>27</v>
      </c>
      <c r="D331" s="8" t="s">
        <v>60</v>
      </c>
      <c r="F331" s="8">
        <v>1.1100000000000001</v>
      </c>
      <c r="J331">
        <f>61+88+133+190</f>
        <v>472</v>
      </c>
      <c r="K331">
        <v>4</v>
      </c>
      <c r="L331">
        <v>190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-8.0366179999999972</v>
      </c>
      <c r="P331" t="str">
        <f>IF(O331&lt;0," ",O331)</f>
        <v xml:space="preserve"> </v>
      </c>
      <c r="S331">
        <f>3.14159*((F331/2)^2)</f>
        <v>0.96768825975000017</v>
      </c>
    </row>
    <row r="332" spans="1:19">
      <c r="A332" s="9">
        <v>42760</v>
      </c>
      <c r="B332" s="8" t="s">
        <v>21</v>
      </c>
      <c r="C332" s="8">
        <v>27</v>
      </c>
      <c r="D332" s="8" t="s">
        <v>60</v>
      </c>
      <c r="F332" s="8">
        <v>1.95</v>
      </c>
      <c r="J332">
        <f>25+25+25+24+165+181</f>
        <v>445</v>
      </c>
      <c r="K332">
        <v>6</v>
      </c>
      <c r="L332">
        <v>181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-21.901503999999996</v>
      </c>
      <c r="P332" t="str">
        <f>IF(O332&lt;0," ",O332)</f>
        <v xml:space="preserve"> </v>
      </c>
      <c r="S332">
        <f>3.14159*((F332/2)^2)</f>
        <v>2.9864739937499998</v>
      </c>
    </row>
    <row r="333" spans="1:19">
      <c r="A333" s="9">
        <v>42760</v>
      </c>
      <c r="B333" s="8" t="s">
        <v>21</v>
      </c>
      <c r="C333" s="8">
        <v>27</v>
      </c>
      <c r="D333" s="8" t="s">
        <v>60</v>
      </c>
      <c r="F333" s="8">
        <v>0.67</v>
      </c>
      <c r="J333">
        <f>21+23+30</f>
        <v>74</v>
      </c>
      <c r="K333">
        <v>3</v>
      </c>
      <c r="L333">
        <v>30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9.8704449999999966</v>
      </c>
      <c r="P333">
        <f>IF(O333&lt;0," ",O333)</f>
        <v>9.8704449999999966</v>
      </c>
      <c r="S333">
        <f>3.14159*((F333/2)^2)</f>
        <v>0.35256493775000003</v>
      </c>
    </row>
    <row r="334" spans="1:19">
      <c r="A334" s="9">
        <v>42760</v>
      </c>
      <c r="B334" s="8" t="s">
        <v>21</v>
      </c>
      <c r="C334" s="8">
        <v>27</v>
      </c>
      <c r="D334" s="8" t="s">
        <v>60</v>
      </c>
      <c r="F334" s="8">
        <v>0.84</v>
      </c>
      <c r="G334" s="8"/>
      <c r="I334" s="8"/>
      <c r="J334">
        <f>29+50+72</f>
        <v>151</v>
      </c>
      <c r="K334">
        <v>3</v>
      </c>
      <c r="L334">
        <v>72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4.4372900000000008</v>
      </c>
      <c r="P334">
        <f>IF(O334&lt;0," ",O334)</f>
        <v>4.4372900000000008</v>
      </c>
      <c r="S334">
        <f>3.14159*((F334/2)^2)</f>
        <v>0.55417647599999986</v>
      </c>
    </row>
    <row r="335" spans="1:19">
      <c r="A335" s="9">
        <v>42760</v>
      </c>
      <c r="B335" s="8" t="s">
        <v>21</v>
      </c>
      <c r="C335" s="8">
        <v>27</v>
      </c>
      <c r="D335" s="8" t="s">
        <v>60</v>
      </c>
      <c r="F335" s="8">
        <v>1.32</v>
      </c>
      <c r="J335">
        <f>62+89+136+194</f>
        <v>481</v>
      </c>
      <c r="K335">
        <v>4</v>
      </c>
      <c r="L335">
        <v>194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-8.3978030000000032</v>
      </c>
      <c r="P335" t="str">
        <f>IF(O335&lt;0," ",O335)</f>
        <v xml:space="preserve"> </v>
      </c>
      <c r="S335">
        <f>3.14159*((F335/2)^2)</f>
        <v>1.368476604</v>
      </c>
    </row>
    <row r="336" spans="1:19">
      <c r="A336" s="9">
        <v>42760</v>
      </c>
      <c r="B336" s="8" t="s">
        <v>21</v>
      </c>
      <c r="C336" s="8">
        <v>27</v>
      </c>
      <c r="D336" s="8" t="s">
        <v>60</v>
      </c>
      <c r="F336" s="8">
        <v>0.96</v>
      </c>
      <c r="G336" s="8"/>
      <c r="I336" s="8"/>
      <c r="J336">
        <f>30+32+37</f>
        <v>99</v>
      </c>
      <c r="K336">
        <v>3</v>
      </c>
      <c r="L336">
        <v>37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10.105604999999997</v>
      </c>
      <c r="P336">
        <f>IF(O336&lt;0," ",O336)</f>
        <v>10.105604999999997</v>
      </c>
      <c r="S336">
        <f>3.14159*((F336/2)^2)</f>
        <v>0.7238223359999999</v>
      </c>
    </row>
    <row r="337" spans="1:19">
      <c r="A337" s="9">
        <v>42760</v>
      </c>
      <c r="B337" s="8" t="s">
        <v>21</v>
      </c>
      <c r="C337" s="8">
        <v>27</v>
      </c>
      <c r="D337" s="8" t="s">
        <v>60</v>
      </c>
      <c r="F337" s="8">
        <v>0.56999999999999995</v>
      </c>
      <c r="J337">
        <f>22+17</f>
        <v>39</v>
      </c>
      <c r="K337">
        <v>3</v>
      </c>
      <c r="L337">
        <v>17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10.505204999999997</v>
      </c>
      <c r="P337">
        <f>IF(O337&lt;0," ",O337)</f>
        <v>10.505204999999997</v>
      </c>
      <c r="S337">
        <f>3.14159*((F337/2)^2)</f>
        <v>0.25517564774999996</v>
      </c>
    </row>
    <row r="338" spans="1:19">
      <c r="A338" s="9">
        <v>42765</v>
      </c>
      <c r="B338" s="8" t="s">
        <v>54</v>
      </c>
      <c r="C338" s="8">
        <v>45</v>
      </c>
      <c r="D338" s="8" t="s">
        <v>60</v>
      </c>
      <c r="F338" s="8">
        <v>1.2</v>
      </c>
      <c r="G338" s="8"/>
      <c r="J338">
        <f>53+50+31</f>
        <v>134</v>
      </c>
      <c r="K338">
        <v>3</v>
      </c>
      <c r="L338">
        <v>53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8.5671099999999996</v>
      </c>
      <c r="P338">
        <f>IF(O338&lt;0," ",O338)</f>
        <v>8.5671099999999996</v>
      </c>
      <c r="S338">
        <f>3.14159*((F338/2)^2)</f>
        <v>1.1309723999999999</v>
      </c>
    </row>
    <row r="339" spans="1:19">
      <c r="A339" s="9">
        <v>42765</v>
      </c>
      <c r="B339" s="8" t="s">
        <v>54</v>
      </c>
      <c r="C339" s="8">
        <v>45</v>
      </c>
      <c r="D339" s="8" t="s">
        <v>60</v>
      </c>
      <c r="F339" s="8">
        <v>0.88</v>
      </c>
      <c r="J339">
        <f>26+33</f>
        <v>59</v>
      </c>
      <c r="K339">
        <v>2</v>
      </c>
      <c r="L339">
        <v>33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14.582737999999999</v>
      </c>
      <c r="P339">
        <f>IF(O339&lt;0," ",O339)</f>
        <v>14.582737999999999</v>
      </c>
      <c r="S339">
        <f>3.14159*((F339/2)^2)</f>
        <v>0.60821182399999996</v>
      </c>
    </row>
    <row r="340" spans="1:19">
      <c r="A340" s="9">
        <v>42765</v>
      </c>
      <c r="B340" s="8" t="s">
        <v>54</v>
      </c>
      <c r="C340" s="8">
        <v>45</v>
      </c>
      <c r="D340" s="8" t="s">
        <v>60</v>
      </c>
      <c r="F340" s="8">
        <v>1.07</v>
      </c>
      <c r="J340">
        <f>45+43+62</f>
        <v>150</v>
      </c>
      <c r="K340">
        <v>3</v>
      </c>
      <c r="L340">
        <v>62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7.3559849999999969</v>
      </c>
      <c r="P340">
        <f>IF(O340&lt;0," ",O340)</f>
        <v>7.3559849999999969</v>
      </c>
      <c r="S340">
        <f>3.14159*((F340/2)^2)</f>
        <v>0.89920159774999997</v>
      </c>
    </row>
    <row r="341" spans="1:19">
      <c r="A341" s="9">
        <v>42765</v>
      </c>
      <c r="B341" s="8" t="s">
        <v>54</v>
      </c>
      <c r="C341" s="8">
        <v>45</v>
      </c>
      <c r="D341" s="8" t="s">
        <v>60</v>
      </c>
      <c r="F341" s="8">
        <v>1.45</v>
      </c>
      <c r="J341">
        <f>65+87+120</f>
        <v>272</v>
      </c>
      <c r="K341">
        <v>3</v>
      </c>
      <c r="L341">
        <v>120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1.3218849999999982</v>
      </c>
      <c r="P341">
        <f>IF(O341&lt;0," ",O341)</f>
        <v>1.3218849999999982</v>
      </c>
      <c r="S341">
        <f>3.14159*((F341/2)^2)</f>
        <v>1.6512982437499999</v>
      </c>
    </row>
    <row r="342" spans="1:19">
      <c r="A342" s="9">
        <v>42765</v>
      </c>
      <c r="B342" s="8" t="s">
        <v>54</v>
      </c>
      <c r="C342" s="8">
        <v>45</v>
      </c>
      <c r="D342" s="8" t="s">
        <v>60</v>
      </c>
      <c r="F342" s="8">
        <v>1.45</v>
      </c>
      <c r="J342">
        <f>115+67</f>
        <v>182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50.100393999999994</v>
      </c>
      <c r="P342">
        <f>IF(O342&lt;0," ",O342)</f>
        <v>50.100393999999994</v>
      </c>
      <c r="S342">
        <f>3.14159*((F342/2)^2)</f>
        <v>1.6512982437499999</v>
      </c>
    </row>
    <row r="343" spans="1:19">
      <c r="A343" s="9">
        <v>42765</v>
      </c>
      <c r="B343" s="8" t="s">
        <v>54</v>
      </c>
      <c r="C343" s="8">
        <v>28</v>
      </c>
      <c r="D343" s="8" t="s">
        <v>60</v>
      </c>
      <c r="F343" s="8"/>
      <c r="M343" t="s">
        <v>65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0</v>
      </c>
      <c r="P343">
        <f>IF(O343&lt;0," ",O343)</f>
        <v>0</v>
      </c>
      <c r="S343">
        <f>3.14159*((F343/2)^2)</f>
        <v>0</v>
      </c>
    </row>
    <row r="344" spans="1:19">
      <c r="A344" s="9">
        <v>42765</v>
      </c>
      <c r="B344" s="8" t="s">
        <v>54</v>
      </c>
      <c r="C344" s="8">
        <v>22</v>
      </c>
      <c r="D344" s="8" t="s">
        <v>67</v>
      </c>
      <c r="F344" s="8">
        <v>0.5</v>
      </c>
      <c r="I344" s="8"/>
      <c r="J344">
        <f>18</f>
        <v>18</v>
      </c>
      <c r="K344">
        <v>1</v>
      </c>
      <c r="L344">
        <v>18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22.279810999999999</v>
      </c>
      <c r="P344">
        <f>IF(O344&lt;0," ",O344)</f>
        <v>22.279810999999999</v>
      </c>
      <c r="S344">
        <f>3.14159*((F344/2)^2)</f>
        <v>0.19634937499999999</v>
      </c>
    </row>
    <row r="345" spans="1:19">
      <c r="A345" s="9">
        <v>42765</v>
      </c>
      <c r="B345" s="8" t="s">
        <v>54</v>
      </c>
      <c r="C345" s="8">
        <v>22</v>
      </c>
      <c r="D345" s="8" t="s">
        <v>67</v>
      </c>
      <c r="F345" s="8">
        <v>1.29</v>
      </c>
      <c r="J345">
        <f>44+68+78+97</f>
        <v>287</v>
      </c>
      <c r="K345">
        <v>4</v>
      </c>
      <c r="L345">
        <v>97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2.6344919999999981</v>
      </c>
      <c r="P345">
        <f>IF(O345&lt;0," ",O345)</f>
        <v>2.6344919999999981</v>
      </c>
      <c r="S345">
        <f>3.14159*((F345/2)^2)</f>
        <v>1.3069799797500001</v>
      </c>
    </row>
    <row r="346" spans="1:19">
      <c r="A346" s="9">
        <v>42765</v>
      </c>
      <c r="B346" s="8" t="s">
        <v>54</v>
      </c>
      <c r="C346" s="8">
        <v>22</v>
      </c>
      <c r="D346" s="8" t="s">
        <v>67</v>
      </c>
      <c r="F346" s="8">
        <v>0.99</v>
      </c>
      <c r="G346" s="8"/>
      <c r="I346" s="8"/>
      <c r="J346">
        <v>13</v>
      </c>
      <c r="K346">
        <v>1</v>
      </c>
      <c r="L346">
        <v>13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23.317260999999998</v>
      </c>
      <c r="P346">
        <f>IF(O346&lt;0," ",O346)</f>
        <v>23.317260999999998</v>
      </c>
      <c r="S346">
        <f>3.14159*((F346/2)^2)</f>
        <v>0.76976808975</v>
      </c>
    </row>
    <row r="347" spans="1:19">
      <c r="A347" s="9">
        <v>42765</v>
      </c>
      <c r="B347" s="8" t="s">
        <v>54</v>
      </c>
      <c r="C347" s="8">
        <v>22</v>
      </c>
      <c r="D347" s="8" t="s">
        <v>67</v>
      </c>
      <c r="F347" s="8">
        <v>1.25</v>
      </c>
      <c r="G347" s="8"/>
      <c r="I347" s="8"/>
      <c r="J347">
        <f>37+76+101+122</f>
        <v>336</v>
      </c>
      <c r="K347">
        <v>4</v>
      </c>
      <c r="L347">
        <v>122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-0.30263799999999463</v>
      </c>
      <c r="P347" t="str">
        <f>IF(O347&lt;0," ",O347)</f>
        <v xml:space="preserve"> </v>
      </c>
      <c r="S347">
        <f>3.14159*((F347/2)^2)</f>
        <v>1.22718359375</v>
      </c>
    </row>
    <row r="348" spans="1:19">
      <c r="A348" s="9">
        <v>42765</v>
      </c>
      <c r="B348" s="8" t="s">
        <v>54</v>
      </c>
      <c r="C348" s="8">
        <v>22</v>
      </c>
      <c r="D348" s="8" t="s">
        <v>67</v>
      </c>
      <c r="F348" s="8">
        <v>3.17</v>
      </c>
      <c r="G348" s="8"/>
      <c r="I348" s="8"/>
      <c r="J348">
        <f>62+93+145+161+204+212</f>
        <v>877</v>
      </c>
      <c r="K348">
        <v>6</v>
      </c>
      <c r="L348">
        <v>212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9.2620609999999957</v>
      </c>
      <c r="P348">
        <f>IF(O348&lt;0," ",O348)</f>
        <v>9.2620609999999957</v>
      </c>
      <c r="S348">
        <f>3.14159*((F348/2)^2)</f>
        <v>7.8923809377499996</v>
      </c>
    </row>
    <row r="349" spans="1:19">
      <c r="A349" s="9">
        <v>42765</v>
      </c>
      <c r="B349" s="8" t="s">
        <v>54</v>
      </c>
      <c r="C349" s="8">
        <v>22</v>
      </c>
      <c r="D349" s="8" t="s">
        <v>67</v>
      </c>
      <c r="F349" s="8">
        <v>1.03</v>
      </c>
      <c r="G349" s="8"/>
      <c r="I349" s="8"/>
      <c r="J349">
        <f>32+35+43</f>
        <v>110</v>
      </c>
      <c r="K349">
        <v>3</v>
      </c>
      <c r="L349">
        <v>43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9.3294399999999982</v>
      </c>
      <c r="P349">
        <f>IF(O349&lt;0," ",O349)</f>
        <v>9.3294399999999982</v>
      </c>
      <c r="S349">
        <f>3.14159*((F349/2)^2)</f>
        <v>0.83322820774999995</v>
      </c>
    </row>
    <row r="350" spans="1:19">
      <c r="A350" s="9">
        <v>42765</v>
      </c>
      <c r="B350" s="8" t="s">
        <v>54</v>
      </c>
      <c r="C350" s="8">
        <v>13</v>
      </c>
      <c r="D350" s="8"/>
      <c r="F350" s="8"/>
      <c r="I350" s="8"/>
      <c r="M350" t="s">
        <v>65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0</v>
      </c>
      <c r="P350">
        <f>IF(O350&lt;0," ",O350)</f>
        <v>0</v>
      </c>
      <c r="S350">
        <f>3.14159*((F350/2)^2)</f>
        <v>0</v>
      </c>
    </row>
    <row r="351" spans="1:19">
      <c r="A351" s="9">
        <v>42765</v>
      </c>
      <c r="B351" s="8" t="s">
        <v>54</v>
      </c>
      <c r="C351" s="8">
        <v>4</v>
      </c>
      <c r="D351" s="8" t="s">
        <v>64</v>
      </c>
      <c r="E351">
        <v>88</v>
      </c>
      <c r="F351" s="8">
        <v>1.28</v>
      </c>
      <c r="G351" s="8"/>
      <c r="I351" s="8"/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1.5786430000000005</v>
      </c>
      <c r="P351">
        <f>IF(O351&lt;0," ",O351)</f>
        <v>1.5786430000000005</v>
      </c>
      <c r="S351">
        <f>3.14159*((F351/2)^2)</f>
        <v>1.286795264</v>
      </c>
    </row>
    <row r="352" spans="1:19">
      <c r="A352" s="9">
        <v>42765</v>
      </c>
      <c r="B352" s="8" t="s">
        <v>54</v>
      </c>
      <c r="C352" s="8">
        <v>4</v>
      </c>
      <c r="D352" s="8" t="s">
        <v>64</v>
      </c>
      <c r="E352">
        <v>100</v>
      </c>
      <c r="F352" s="8">
        <v>1.38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2.4199030000000006</v>
      </c>
      <c r="P352">
        <f>IF(O352&lt;0," ",O352)</f>
        <v>2.4199030000000006</v>
      </c>
      <c r="S352">
        <f>3.14159*((F352/2)^2)</f>
        <v>1.4957109989999997</v>
      </c>
    </row>
    <row r="353" spans="1:19">
      <c r="A353" s="9">
        <v>42765</v>
      </c>
      <c r="B353" s="8" t="s">
        <v>54</v>
      </c>
      <c r="C353" s="8">
        <v>4</v>
      </c>
      <c r="D353" s="8" t="s">
        <v>64</v>
      </c>
      <c r="E353">
        <v>124</v>
      </c>
      <c r="F353" s="8">
        <v>1.65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4.1024230000000008</v>
      </c>
      <c r="P353">
        <f>IF(O353&lt;0," ",O353)</f>
        <v>4.1024230000000008</v>
      </c>
      <c r="S353">
        <f>3.14159*((F353/2)^2)</f>
        <v>2.1382446937499995</v>
      </c>
    </row>
    <row r="354" spans="1:19">
      <c r="A354" s="9">
        <v>42765</v>
      </c>
      <c r="B354" s="8" t="s">
        <v>54</v>
      </c>
      <c r="C354" s="8">
        <v>4</v>
      </c>
      <c r="D354" s="8" t="s">
        <v>64</v>
      </c>
      <c r="E354">
        <v>112</v>
      </c>
      <c r="F354" s="8">
        <v>1.37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3.2611630000000007</v>
      </c>
      <c r="P354">
        <f>IF(O354&lt;0," ",O354)</f>
        <v>3.2611630000000007</v>
      </c>
      <c r="S354">
        <f>3.14159*((F354/2)^2)</f>
        <v>1.4741125677500002</v>
      </c>
    </row>
    <row r="355" spans="1:19">
      <c r="A355" s="9">
        <v>42765</v>
      </c>
      <c r="B355" s="8" t="s">
        <v>54</v>
      </c>
      <c r="C355" s="8">
        <v>4</v>
      </c>
      <c r="D355" s="8" t="s">
        <v>64</v>
      </c>
      <c r="E355">
        <v>68</v>
      </c>
      <c r="F355" s="8">
        <v>1.47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0.17654300000000056</v>
      </c>
      <c r="P355">
        <f>IF(O355&lt;0," ",O355)</f>
        <v>0.17654300000000056</v>
      </c>
      <c r="S355">
        <f>3.14159*((F355/2)^2)</f>
        <v>1.6971654577499997</v>
      </c>
    </row>
    <row r="356" spans="1:19">
      <c r="A356" s="9">
        <v>42765</v>
      </c>
      <c r="B356" s="8" t="s">
        <v>54</v>
      </c>
      <c r="C356" s="8">
        <v>4</v>
      </c>
      <c r="D356" s="8" t="s">
        <v>64</v>
      </c>
      <c r="E356">
        <v>182</v>
      </c>
      <c r="F356" s="8">
        <v>1.95</v>
      </c>
      <c r="G356" s="8"/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8.1685130000000008</v>
      </c>
      <c r="P356">
        <f>IF(O356&lt;0," ",O356)</f>
        <v>8.1685130000000008</v>
      </c>
      <c r="S356">
        <f>3.14159*((F356/2)^2)</f>
        <v>2.9864739937499998</v>
      </c>
    </row>
    <row r="357" spans="1:19">
      <c r="A357" s="9">
        <v>42765</v>
      </c>
      <c r="B357" s="8" t="s">
        <v>54</v>
      </c>
      <c r="C357" s="8">
        <v>4</v>
      </c>
      <c r="D357" s="8" t="s">
        <v>64</v>
      </c>
      <c r="E357">
        <v>115</v>
      </c>
      <c r="F357" s="8">
        <v>1.58</v>
      </c>
      <c r="G357" s="8"/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3.4714780000000003</v>
      </c>
      <c r="P357">
        <f>IF(O357&lt;0," ",O357)</f>
        <v>3.4714780000000003</v>
      </c>
      <c r="S357">
        <f>3.14159*((F357/2)^2)</f>
        <v>1.9606663190000002</v>
      </c>
    </row>
    <row r="358" spans="1:19">
      <c r="A358" s="9">
        <v>42765</v>
      </c>
      <c r="B358" s="8" t="s">
        <v>54</v>
      </c>
      <c r="C358" s="8">
        <v>4</v>
      </c>
      <c r="D358" s="8" t="s">
        <v>64</v>
      </c>
      <c r="E358">
        <v>52</v>
      </c>
      <c r="F358" s="8">
        <v>1.31</v>
      </c>
      <c r="G358" s="8"/>
      <c r="I358" s="8"/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-0.94513699999999989</v>
      </c>
      <c r="P358" t="str">
        <f>IF(O358&lt;0," ",O358)</f>
        <v xml:space="preserve"> </v>
      </c>
      <c r="S358">
        <f>3.14159*((F358/2)^2)</f>
        <v>1.34782064975</v>
      </c>
    </row>
    <row r="359" spans="1:19">
      <c r="A359" s="9">
        <v>42765</v>
      </c>
      <c r="B359" s="8" t="s">
        <v>54</v>
      </c>
      <c r="C359" s="8">
        <v>4</v>
      </c>
      <c r="D359" s="8" t="s">
        <v>64</v>
      </c>
      <c r="E359">
        <v>177</v>
      </c>
      <c r="F359" s="8">
        <v>2.0299999999999998</v>
      </c>
      <c r="G359" s="8"/>
      <c r="I359" s="8"/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7.8179880000000006</v>
      </c>
      <c r="P359">
        <f>IF(O359&lt;0," ",O359)</f>
        <v>7.8179880000000006</v>
      </c>
      <c r="S359">
        <f>3.14159*((F359/2)^2)</f>
        <v>3.2365445577499989</v>
      </c>
    </row>
    <row r="360" spans="1:19">
      <c r="A360" s="9">
        <v>42765</v>
      </c>
      <c r="B360" s="8" t="s">
        <v>54</v>
      </c>
      <c r="C360" s="8">
        <v>4</v>
      </c>
      <c r="D360" s="8" t="s">
        <v>64</v>
      </c>
      <c r="E360">
        <v>99</v>
      </c>
      <c r="F360" s="8">
        <v>1.44</v>
      </c>
      <c r="G360" s="8"/>
      <c r="I360" s="8"/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2.3497979999999998</v>
      </c>
      <c r="P360">
        <f>IF(O360&lt;0," ",O360)</f>
        <v>2.3497979999999998</v>
      </c>
      <c r="S360">
        <f>3.14159*((F360/2)^2)</f>
        <v>1.6286002559999999</v>
      </c>
    </row>
    <row r="361" spans="1:19">
      <c r="A361" s="9">
        <v>42765</v>
      </c>
      <c r="B361" s="8" t="s">
        <v>54</v>
      </c>
      <c r="C361" s="8">
        <v>4</v>
      </c>
      <c r="D361" s="8" t="s">
        <v>60</v>
      </c>
      <c r="F361" s="8">
        <v>10.26</v>
      </c>
      <c r="G361" s="8"/>
      <c r="J361">
        <f>118+232+297+302+335+336+374+365</f>
        <v>2359</v>
      </c>
      <c r="K361">
        <v>8</v>
      </c>
      <c r="L361">
        <v>374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85.360575000000011</v>
      </c>
      <c r="P361">
        <f>IF(O361&lt;0," ",O361)</f>
        <v>85.360575000000011</v>
      </c>
      <c r="S361">
        <f>3.14159*((F361/2)^2)</f>
        <v>82.676909870999992</v>
      </c>
    </row>
    <row r="362" spans="1:19">
      <c r="A362" s="9">
        <v>42765</v>
      </c>
      <c r="B362" s="8" t="s">
        <v>54</v>
      </c>
      <c r="C362" s="8">
        <v>4</v>
      </c>
      <c r="D362" s="8" t="s">
        <v>60</v>
      </c>
      <c r="F362" s="8">
        <v>4.5999999999999996</v>
      </c>
      <c r="J362">
        <f>55+88+163+171+219+224</f>
        <v>920</v>
      </c>
      <c r="K362">
        <v>6</v>
      </c>
      <c r="L362">
        <v>224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9.6785860000000028</v>
      </c>
      <c r="P362">
        <f>IF(O362&lt;0," ",O362)</f>
        <v>9.6785860000000028</v>
      </c>
      <c r="S362">
        <f>3.14159*((F362/2)^2)</f>
        <v>16.619011099999998</v>
      </c>
    </row>
    <row r="363" spans="1:19">
      <c r="A363" s="9">
        <v>42765</v>
      </c>
      <c r="B363" s="8" t="s">
        <v>54</v>
      </c>
      <c r="C363" s="8">
        <v>4</v>
      </c>
      <c r="D363" s="8" t="s">
        <v>60</v>
      </c>
      <c r="F363" s="8">
        <v>8.35</v>
      </c>
      <c r="J363">
        <f>72+127+189+235+222+261+296+299+324+330</f>
        <v>2355</v>
      </c>
      <c r="K363">
        <v>10</v>
      </c>
      <c r="L363">
        <v>330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84.195629000000025</v>
      </c>
      <c r="P363">
        <f>IF(O363&lt;0," ",O363)</f>
        <v>84.195629000000025</v>
      </c>
      <c r="S363">
        <f>3.14159*((F363/2)^2)</f>
        <v>54.759877193749993</v>
      </c>
    </row>
    <row r="364" spans="1:19">
      <c r="A364" s="9">
        <v>42760</v>
      </c>
      <c r="B364" s="8" t="s">
        <v>22</v>
      </c>
      <c r="C364" s="8">
        <v>47</v>
      </c>
      <c r="D364" s="8" t="s">
        <v>60</v>
      </c>
      <c r="F364" s="8">
        <v>4.7</v>
      </c>
      <c r="G364" s="8"/>
      <c r="J364">
        <f>79+117+148+159+168</f>
        <v>671</v>
      </c>
      <c r="K364">
        <v>5</v>
      </c>
      <c r="L364">
        <v>168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10.225664000000009</v>
      </c>
      <c r="P364">
        <f>IF(O364&lt;0," ",O364)</f>
        <v>10.225664000000009</v>
      </c>
      <c r="S364">
        <f>3.14159*((F364/2)^2)</f>
        <v>17.349430775000002</v>
      </c>
    </row>
    <row r="365" spans="1:19">
      <c r="A365" s="9">
        <v>42760</v>
      </c>
      <c r="B365" s="8" t="s">
        <v>22</v>
      </c>
      <c r="C365" s="8">
        <v>47</v>
      </c>
      <c r="D365" s="8" t="s">
        <v>60</v>
      </c>
      <c r="F365" s="8">
        <v>1.18</v>
      </c>
      <c r="G365" s="8"/>
      <c r="J365">
        <f>18+21+25</f>
        <v>64</v>
      </c>
      <c r="K365">
        <v>3</v>
      </c>
      <c r="L365">
        <v>25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10.439119999999996</v>
      </c>
      <c r="P365">
        <f>IF(O365&lt;0," ",O365)</f>
        <v>10.439119999999996</v>
      </c>
      <c r="S365">
        <f>3.14159*((F365/2)^2)</f>
        <v>1.0935874789999998</v>
      </c>
    </row>
    <row r="366" spans="1:19">
      <c r="A366" s="9">
        <v>42760</v>
      </c>
      <c r="B366" s="8" t="s">
        <v>22</v>
      </c>
      <c r="C366" s="8">
        <v>47</v>
      </c>
      <c r="D366" s="8" t="s">
        <v>60</v>
      </c>
      <c r="F366" s="8">
        <v>1.57</v>
      </c>
      <c r="G366" s="8"/>
      <c r="J366">
        <f>29+39+49+63+75</f>
        <v>255</v>
      </c>
      <c r="K366">
        <v>5</v>
      </c>
      <c r="L366">
        <v>75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-0.7606309999999965</v>
      </c>
      <c r="P366" t="str">
        <f>IF(O366&lt;0," ",O366)</f>
        <v xml:space="preserve"> </v>
      </c>
      <c r="S366">
        <f>3.14159*((F366/2)^2)</f>
        <v>1.93592629775</v>
      </c>
    </row>
    <row r="367" spans="1:19">
      <c r="A367" s="9">
        <v>42760</v>
      </c>
      <c r="B367" s="8" t="s">
        <v>22</v>
      </c>
      <c r="C367" s="8">
        <v>47</v>
      </c>
      <c r="D367" s="8" t="s">
        <v>60</v>
      </c>
      <c r="F367" s="8">
        <v>4.1399999999999997</v>
      </c>
      <c r="G367" s="8"/>
      <c r="H367" s="8"/>
      <c r="J367">
        <f>79+131+140+148+189</f>
        <v>687</v>
      </c>
      <c r="K367">
        <v>5</v>
      </c>
      <c r="L367">
        <v>189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5.3995990000000091</v>
      </c>
      <c r="P367">
        <f>IF(O367&lt;0," ",O367)</f>
        <v>5.3995990000000091</v>
      </c>
      <c r="S367">
        <f>3.14159*((F367/2)^2)</f>
        <v>13.461398990999998</v>
      </c>
    </row>
    <row r="368" spans="1:19">
      <c r="A368" s="9">
        <v>42760</v>
      </c>
      <c r="B368" s="8" t="s">
        <v>22</v>
      </c>
      <c r="C368" s="8">
        <v>47</v>
      </c>
      <c r="D368" s="8" t="s">
        <v>60</v>
      </c>
      <c r="F368" s="8">
        <v>1.24</v>
      </c>
      <c r="G368" s="8"/>
      <c r="J368">
        <f>25+37+40</f>
        <v>102</v>
      </c>
      <c r="K368">
        <v>3</v>
      </c>
      <c r="L368">
        <v>40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9.4831349999999972</v>
      </c>
      <c r="P368">
        <f>IF(O368&lt;0," ",O368)</f>
        <v>9.4831349999999972</v>
      </c>
      <c r="S368">
        <f>3.14159*((F368/2)^2)</f>
        <v>1.207627196</v>
      </c>
    </row>
    <row r="369" spans="1:19">
      <c r="A369" s="9">
        <v>42760</v>
      </c>
      <c r="B369" s="8" t="s">
        <v>22</v>
      </c>
      <c r="C369" s="8">
        <v>47</v>
      </c>
      <c r="D369" s="8" t="s">
        <v>60</v>
      </c>
      <c r="F369" s="8">
        <v>1.07</v>
      </c>
      <c r="J369">
        <f>21+22+27</f>
        <v>70</v>
      </c>
      <c r="K369">
        <v>3</v>
      </c>
      <c r="L369">
        <v>27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10.399159999999998</v>
      </c>
      <c r="P369">
        <f>IF(O369&lt;0," ",O369)</f>
        <v>10.399159999999998</v>
      </c>
      <c r="S369">
        <f>3.14159*((F369/2)^2)</f>
        <v>0.89920159774999997</v>
      </c>
    </row>
    <row r="370" spans="1:19">
      <c r="A370" s="9">
        <v>42760</v>
      </c>
      <c r="B370" s="8" t="s">
        <v>22</v>
      </c>
      <c r="C370" s="8">
        <v>42</v>
      </c>
      <c r="D370" s="8" t="s">
        <v>67</v>
      </c>
      <c r="F370" s="8">
        <v>1.47</v>
      </c>
      <c r="G370" s="8"/>
      <c r="J370">
        <f>44+124+129+140</f>
        <v>437</v>
      </c>
      <c r="K370">
        <v>4</v>
      </c>
      <c r="L370">
        <v>140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3.7442070000000065</v>
      </c>
      <c r="P370">
        <f>IF(O370&lt;0," ",O370)</f>
        <v>3.7442070000000065</v>
      </c>
      <c r="S370">
        <f>3.14159*((F370/2)^2)</f>
        <v>1.6971654577499997</v>
      </c>
    </row>
    <row r="371" spans="1:19">
      <c r="A371" s="9">
        <v>42760</v>
      </c>
      <c r="B371" s="8" t="s">
        <v>22</v>
      </c>
      <c r="C371" s="8">
        <v>42</v>
      </c>
      <c r="D371" s="8" t="s">
        <v>67</v>
      </c>
      <c r="F371" s="8">
        <v>1.42</v>
      </c>
      <c r="G371" s="8"/>
      <c r="J371">
        <f>37+95+127</f>
        <v>259</v>
      </c>
      <c r="K371">
        <v>3</v>
      </c>
      <c r="L371">
        <v>127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-2.0056449999999941</v>
      </c>
      <c r="P371" t="str">
        <f>IF(O371&lt;0," ",O371)</f>
        <v xml:space="preserve"> </v>
      </c>
      <c r="S371">
        <f>3.14159*((F371/2)^2)</f>
        <v>1.5836755189999998</v>
      </c>
    </row>
    <row r="372" spans="1:19">
      <c r="A372" s="9">
        <v>42760</v>
      </c>
      <c r="B372" s="8" t="s">
        <v>22</v>
      </c>
      <c r="C372" s="8">
        <v>42</v>
      </c>
      <c r="D372" s="8" t="s">
        <v>67</v>
      </c>
      <c r="F372" s="8">
        <v>1.86</v>
      </c>
      <c r="G372" s="8"/>
      <c r="J372">
        <f>60+64+97+104</f>
        <v>325</v>
      </c>
      <c r="K372">
        <v>4</v>
      </c>
      <c r="L372">
        <v>104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4.0884670000000014</v>
      </c>
      <c r="P372">
        <f>IF(O372&lt;0," ",O372)</f>
        <v>4.0884670000000014</v>
      </c>
      <c r="S372">
        <f>3.14159*((F372/2)^2)</f>
        <v>2.7171611910000002</v>
      </c>
    </row>
    <row r="373" spans="1:19">
      <c r="A373" s="9">
        <v>42760</v>
      </c>
      <c r="B373" s="8" t="s">
        <v>22</v>
      </c>
      <c r="C373" s="8">
        <v>42</v>
      </c>
      <c r="D373" s="8" t="s">
        <v>67</v>
      </c>
      <c r="F373" s="8">
        <v>1.04</v>
      </c>
      <c r="J373">
        <f>27+30+38</f>
        <v>95</v>
      </c>
      <c r="K373">
        <v>3</v>
      </c>
      <c r="L373">
        <v>38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9.4293399999999963</v>
      </c>
      <c r="P373">
        <f>IF(O373&lt;0," ",O373)</f>
        <v>9.4293399999999963</v>
      </c>
      <c r="S373">
        <f>3.14159*((F373/2)^2)</f>
        <v>0.84948593600000011</v>
      </c>
    </row>
    <row r="374" spans="1:19">
      <c r="A374" s="9">
        <v>42760</v>
      </c>
      <c r="B374" s="8" t="s">
        <v>22</v>
      </c>
      <c r="C374" s="8">
        <v>42</v>
      </c>
      <c r="D374" s="8" t="s">
        <v>67</v>
      </c>
      <c r="F374" s="8">
        <v>0.76</v>
      </c>
      <c r="G374" s="8"/>
      <c r="J374">
        <f>114+132</f>
        <v>246</v>
      </c>
      <c r="K374">
        <v>2</v>
      </c>
      <c r="L374">
        <v>132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2.2916680000000014</v>
      </c>
      <c r="P374">
        <f>IF(O374&lt;0," ",O374)</f>
        <v>2.2916680000000014</v>
      </c>
      <c r="S374">
        <f>3.14159*((F374/2)^2)</f>
        <v>0.45364559599999998</v>
      </c>
    </row>
    <row r="375" spans="1:19">
      <c r="A375" s="9">
        <v>42760</v>
      </c>
      <c r="B375" s="8" t="s">
        <v>22</v>
      </c>
      <c r="C375" s="8">
        <v>42</v>
      </c>
      <c r="D375" s="8" t="s">
        <v>67</v>
      </c>
      <c r="F375" s="8">
        <v>2.69</v>
      </c>
      <c r="G375" s="8"/>
      <c r="J375">
        <f>258+357</f>
        <v>615</v>
      </c>
      <c r="K375">
        <v>2</v>
      </c>
      <c r="L375">
        <v>357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-30.892861999999987</v>
      </c>
      <c r="P375" t="str">
        <f>IF(O375&lt;0," ",O375)</f>
        <v xml:space="preserve"> </v>
      </c>
      <c r="S375">
        <f>3.14159*((F375/2)^2)</f>
        <v>5.6832148497499997</v>
      </c>
    </row>
    <row r="376" spans="1:19">
      <c r="A376" s="9">
        <v>42760</v>
      </c>
      <c r="B376" s="8" t="s">
        <v>22</v>
      </c>
      <c r="C376" s="8">
        <v>42</v>
      </c>
      <c r="D376" s="8" t="s">
        <v>67</v>
      </c>
      <c r="F376" s="8">
        <v>1.1399999999999999</v>
      </c>
      <c r="J376">
        <f>59+181+150</f>
        <v>390</v>
      </c>
      <c r="K376">
        <v>3</v>
      </c>
      <c r="L376">
        <v>181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-5.9909699999999972</v>
      </c>
      <c r="P376" t="str">
        <f>IF(O376&lt;0," ",O376)</f>
        <v xml:space="preserve"> </v>
      </c>
      <c r="S376">
        <f>3.14159*((F376/2)^2)</f>
        <v>1.0207025909999998</v>
      </c>
    </row>
    <row r="377" spans="1:19">
      <c r="A377" s="9">
        <v>42760</v>
      </c>
      <c r="B377" s="8" t="s">
        <v>22</v>
      </c>
      <c r="C377" s="8">
        <v>42</v>
      </c>
      <c r="D377" s="8" t="s">
        <v>67</v>
      </c>
      <c r="F377" s="8">
        <v>1.29</v>
      </c>
      <c r="G377" s="8"/>
      <c r="J377">
        <f>167+176+221</f>
        <v>564</v>
      </c>
      <c r="K377">
        <v>3</v>
      </c>
      <c r="L377">
        <v>221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-1.7273999999999958</v>
      </c>
      <c r="P377" t="str">
        <f>IF(O377&lt;0," ",O377)</f>
        <v xml:space="preserve"> </v>
      </c>
      <c r="S377">
        <f>3.14159*((F377/2)^2)</f>
        <v>1.3069799797500001</v>
      </c>
    </row>
    <row r="378" spans="1:19">
      <c r="A378" s="9">
        <v>42760</v>
      </c>
      <c r="B378" s="8" t="s">
        <v>22</v>
      </c>
      <c r="C378" s="8">
        <v>42</v>
      </c>
      <c r="D378" s="8" t="s">
        <v>67</v>
      </c>
      <c r="F378" s="8">
        <v>0.95</v>
      </c>
      <c r="J378">
        <f>33+44+47</f>
        <v>124</v>
      </c>
      <c r="K378">
        <v>3</v>
      </c>
      <c r="L378">
        <v>47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9.43703</v>
      </c>
      <c r="P378">
        <f>IF(O378&lt;0," ",O378)</f>
        <v>9.43703</v>
      </c>
      <c r="S378">
        <f>3.14159*((F378/2)^2)</f>
        <v>0.70882124375</v>
      </c>
    </row>
    <row r="379" spans="1:19">
      <c r="A379" s="9">
        <v>42760</v>
      </c>
      <c r="B379" s="8" t="s">
        <v>22</v>
      </c>
      <c r="C379" s="8">
        <v>42</v>
      </c>
      <c r="D379" s="8" t="s">
        <v>67</v>
      </c>
      <c r="F379" s="8">
        <v>2.2599999999999998</v>
      </c>
      <c r="G379" s="8"/>
      <c r="J379">
        <f>251+268+274</f>
        <v>793</v>
      </c>
      <c r="K379">
        <v>3</v>
      </c>
      <c r="L379">
        <v>274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3.7765100000000089</v>
      </c>
      <c r="P379">
        <f>IF(O379&lt;0," ",O379)</f>
        <v>3.7765100000000089</v>
      </c>
      <c r="S379">
        <f>3.14159*((F379/2)^2)</f>
        <v>4.0114962709999986</v>
      </c>
    </row>
    <row r="380" spans="1:19">
      <c r="A380" s="9">
        <v>42760</v>
      </c>
      <c r="B380" s="8" t="s">
        <v>22</v>
      </c>
      <c r="C380" s="8">
        <v>36</v>
      </c>
      <c r="D380" s="8" t="s">
        <v>60</v>
      </c>
      <c r="F380" s="8">
        <v>2.5499999999999998</v>
      </c>
      <c r="J380">
        <f>94+124+148+157</f>
        <v>523</v>
      </c>
      <c r="K380">
        <v>4</v>
      </c>
      <c r="L380">
        <v>157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6.6859720000000031</v>
      </c>
      <c r="P380">
        <f>IF(O380&lt;0," ",O380)</f>
        <v>6.6859720000000031</v>
      </c>
      <c r="S380">
        <f>3.14159*((F380/2)^2)</f>
        <v>5.1070472437499994</v>
      </c>
    </row>
    <row r="381" spans="1:19">
      <c r="A381" s="9">
        <v>42760</v>
      </c>
      <c r="B381" s="8" t="s">
        <v>22</v>
      </c>
      <c r="C381" s="8">
        <v>36</v>
      </c>
      <c r="D381" s="8" t="s">
        <v>60</v>
      </c>
      <c r="F381" s="8">
        <v>1.42</v>
      </c>
      <c r="G381" s="8"/>
      <c r="J381">
        <f>24+36+42+43</f>
        <v>145</v>
      </c>
      <c r="K381">
        <v>4</v>
      </c>
      <c r="L381">
        <v>43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5.5885120000000015</v>
      </c>
      <c r="P381">
        <f>IF(O381&lt;0," ",O381)</f>
        <v>5.5885120000000015</v>
      </c>
      <c r="S381">
        <f>3.14159*((F381/2)^2)</f>
        <v>1.5836755189999998</v>
      </c>
    </row>
    <row r="382" spans="1:19">
      <c r="A382" s="9">
        <v>42760</v>
      </c>
      <c r="B382" s="8" t="s">
        <v>22</v>
      </c>
      <c r="C382" s="8">
        <v>36</v>
      </c>
      <c r="D382" s="8" t="s">
        <v>60</v>
      </c>
      <c r="F382" s="8">
        <v>0.56000000000000005</v>
      </c>
      <c r="G382" s="8"/>
      <c r="J382">
        <f>42+85+89</f>
        <v>216</v>
      </c>
      <c r="K382">
        <v>3</v>
      </c>
      <c r="L382">
        <v>89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5.4101999999999997</v>
      </c>
      <c r="P382">
        <f>IF(O382&lt;0," ",O382)</f>
        <v>5.4101999999999997</v>
      </c>
      <c r="S382">
        <f>3.14159*((F382/2)^2)</f>
        <v>0.24630065600000003</v>
      </c>
    </row>
    <row r="383" spans="1:19">
      <c r="A383" s="9">
        <v>42760</v>
      </c>
      <c r="B383" s="8" t="s">
        <v>22</v>
      </c>
      <c r="C383" s="8">
        <v>31</v>
      </c>
      <c r="D383" s="8" t="s">
        <v>60</v>
      </c>
      <c r="F383" s="8">
        <v>7.03</v>
      </c>
      <c r="G383" s="8"/>
      <c r="J383">
        <f>190+240+240+250</f>
        <v>920</v>
      </c>
      <c r="K383">
        <v>4</v>
      </c>
      <c r="L383">
        <v>250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15.89092200000001</v>
      </c>
      <c r="P383">
        <f>IF(O383&lt;0," ",O383)</f>
        <v>15.89092200000001</v>
      </c>
      <c r="S383">
        <f>3.14159*((F383/2)^2)</f>
        <v>38.815051307750004</v>
      </c>
    </row>
    <row r="384" spans="1:19">
      <c r="A384" s="9">
        <v>42760</v>
      </c>
      <c r="B384" s="8" t="s">
        <v>22</v>
      </c>
      <c r="C384" s="8">
        <v>31</v>
      </c>
      <c r="D384" s="8" t="s">
        <v>60</v>
      </c>
      <c r="F384" s="8">
        <v>4.95</v>
      </c>
      <c r="G384" s="8"/>
      <c r="J384">
        <f>267+279+293+300</f>
        <v>1139</v>
      </c>
      <c r="K384">
        <v>4</v>
      </c>
      <c r="L384">
        <v>300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21.361017000000011</v>
      </c>
      <c r="P384">
        <f>IF(O384&lt;0," ",O384)</f>
        <v>21.361017000000011</v>
      </c>
      <c r="S384">
        <f>3.14159*((F384/2)^2)</f>
        <v>19.244202243749999</v>
      </c>
    </row>
    <row r="385" spans="1:19">
      <c r="A385" s="9">
        <v>42760</v>
      </c>
      <c r="B385" s="8" t="s">
        <v>22</v>
      </c>
      <c r="C385" s="8">
        <v>31</v>
      </c>
      <c r="D385" s="8" t="s">
        <v>60</v>
      </c>
      <c r="F385" s="8">
        <v>2.68</v>
      </c>
      <c r="G385" s="8"/>
      <c r="J385">
        <f>126+136+144+152+178</f>
        <v>736</v>
      </c>
      <c r="K385">
        <v>5</v>
      </c>
      <c r="L385">
        <v>178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13.307289000000004</v>
      </c>
      <c r="P385">
        <f>IF(O385&lt;0," ",O385)</f>
        <v>13.307289000000004</v>
      </c>
      <c r="S385">
        <f>3.14159*((F385/2)^2)</f>
        <v>5.6410390040000005</v>
      </c>
    </row>
    <row r="386" spans="1:19">
      <c r="A386" s="9">
        <v>42760</v>
      </c>
      <c r="B386" s="8" t="s">
        <v>22</v>
      </c>
      <c r="C386" s="8">
        <v>13</v>
      </c>
      <c r="D386" s="8" t="s">
        <v>60</v>
      </c>
      <c r="F386" s="8">
        <v>2.46</v>
      </c>
      <c r="J386">
        <f>108+144+138+131</f>
        <v>521</v>
      </c>
      <c r="K386">
        <v>4</v>
      </c>
      <c r="L386">
        <v>144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10.414647000000006</v>
      </c>
      <c r="P386">
        <f>IF(O386&lt;0," ",O386)</f>
        <v>10.414647000000006</v>
      </c>
      <c r="S386">
        <f>3.14159*((F386/2)^2)</f>
        <v>4.7529115109999998</v>
      </c>
    </row>
    <row r="387" spans="1:19">
      <c r="A387" s="9">
        <v>42760</v>
      </c>
      <c r="B387" s="8" t="s">
        <v>22</v>
      </c>
      <c r="C387" s="8">
        <v>13</v>
      </c>
      <c r="D387" s="8" t="s">
        <v>60</v>
      </c>
      <c r="F387" s="8">
        <v>1.03</v>
      </c>
      <c r="J387">
        <f>13+22+17</f>
        <v>52</v>
      </c>
      <c r="K387">
        <v>3</v>
      </c>
      <c r="L387">
        <v>22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10.217794999999995</v>
      </c>
      <c r="P387">
        <f>IF(O387&lt;0," ",O387)</f>
        <v>10.217794999999995</v>
      </c>
      <c r="S387">
        <f>3.14159*((F387/2)^2)</f>
        <v>0.83322820774999995</v>
      </c>
    </row>
    <row r="388" spans="1:19">
      <c r="A388" s="9">
        <v>42760</v>
      </c>
      <c r="B388" s="8" t="s">
        <v>22</v>
      </c>
      <c r="C388" s="8">
        <v>13</v>
      </c>
      <c r="D388" s="8" t="s">
        <v>60</v>
      </c>
      <c r="F388" s="8">
        <v>2.09</v>
      </c>
      <c r="G388" s="8"/>
      <c r="J388">
        <f>34+34+45</f>
        <v>113</v>
      </c>
      <c r="K388">
        <v>3</v>
      </c>
      <c r="L388">
        <v>45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9.0082149999999963</v>
      </c>
      <c r="P388">
        <f>IF(O388&lt;0," ",O388)</f>
        <v>9.0082149999999963</v>
      </c>
      <c r="S388">
        <f>3.14159*((F388/2)^2)</f>
        <v>3.4306948197499993</v>
      </c>
    </row>
    <row r="389" spans="1:19">
      <c r="A389" s="9">
        <v>42760</v>
      </c>
      <c r="B389" s="8" t="s">
        <v>22</v>
      </c>
      <c r="C389" s="8">
        <v>13</v>
      </c>
      <c r="D389" s="8" t="s">
        <v>60</v>
      </c>
      <c r="F389" s="8">
        <v>0.73</v>
      </c>
      <c r="G389" s="8"/>
      <c r="J389">
        <f>26+46+48</f>
        <v>120</v>
      </c>
      <c r="K389">
        <v>3</v>
      </c>
      <c r="L389">
        <v>48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8.7607649999999992</v>
      </c>
      <c r="P389">
        <f>IF(O389&lt;0," ",O389)</f>
        <v>8.7607649999999992</v>
      </c>
      <c r="S389">
        <f>3.14159*((F389/2)^2)</f>
        <v>0.41853832774999994</v>
      </c>
    </row>
    <row r="390" spans="1:19">
      <c r="A390" s="9">
        <v>42760</v>
      </c>
      <c r="B390" s="8" t="s">
        <v>22</v>
      </c>
      <c r="C390" s="8">
        <v>13</v>
      </c>
      <c r="D390" s="8" t="s">
        <v>60</v>
      </c>
      <c r="F390" s="8">
        <v>0.93</v>
      </c>
      <c r="G390" s="8"/>
      <c r="J390">
        <f>14+17+20</f>
        <v>51</v>
      </c>
      <c r="K390">
        <v>3</v>
      </c>
      <c r="L390">
        <v>20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10.726529999999997</v>
      </c>
      <c r="P390">
        <f>IF(O390&lt;0," ",O390)</f>
        <v>10.726529999999997</v>
      </c>
      <c r="S390">
        <f>3.14159*((F390/2)^2)</f>
        <v>0.67929029775000005</v>
      </c>
    </row>
    <row r="391" spans="1:19">
      <c r="A391" s="9">
        <v>42760</v>
      </c>
      <c r="B391" s="8" t="s">
        <v>22</v>
      </c>
      <c r="C391" s="8">
        <v>13</v>
      </c>
      <c r="D391" s="8" t="s">
        <v>60</v>
      </c>
      <c r="F391" s="8">
        <v>2.12</v>
      </c>
      <c r="G391" s="8"/>
      <c r="J391">
        <f>45+62+98+110+118</f>
        <v>433</v>
      </c>
      <c r="K391">
        <v>5</v>
      </c>
      <c r="L391">
        <v>118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2.9742240000000066</v>
      </c>
      <c r="P391">
        <f>IF(O391&lt;0," ",O391)</f>
        <v>2.9742240000000066</v>
      </c>
      <c r="S391">
        <f>3.14159*((F391/2)^2)</f>
        <v>3.5298905240000003</v>
      </c>
    </row>
    <row r="392" spans="1:19">
      <c r="A392" s="9"/>
      <c r="B392" s="8"/>
      <c r="D392" s="8"/>
      <c r="F392" s="8"/>
    </row>
    <row r="393" spans="1:19">
      <c r="A393" s="9"/>
      <c r="B393" s="8"/>
      <c r="C393" s="8"/>
      <c r="D393" s="8"/>
      <c r="F393" s="8"/>
      <c r="H393" s="8"/>
    </row>
    <row r="394" spans="1:19">
      <c r="A394" s="9"/>
      <c r="B394" s="8"/>
      <c r="C394" s="8"/>
      <c r="D394" s="8"/>
      <c r="F394" s="8"/>
    </row>
    <row r="395" spans="1:19">
      <c r="A395" s="9"/>
      <c r="B395" s="8"/>
      <c r="C395" s="8"/>
      <c r="D395" s="8"/>
      <c r="F395" s="8"/>
    </row>
    <row r="396" spans="1:19">
      <c r="A396" s="9"/>
      <c r="B396" s="8"/>
      <c r="D396" s="8"/>
      <c r="F396" s="8"/>
    </row>
    <row r="397" spans="1:19">
      <c r="A397" s="9"/>
      <c r="B397" s="8"/>
      <c r="D397" s="8"/>
      <c r="F397" s="8"/>
    </row>
    <row r="398" spans="1:19">
      <c r="A398" s="9"/>
      <c r="B398" s="8"/>
      <c r="D398" s="8"/>
      <c r="F398" s="8"/>
    </row>
    <row r="399" spans="1:19">
      <c r="A399" s="9"/>
      <c r="B399" s="8"/>
      <c r="D399" s="8"/>
      <c r="F399" s="8"/>
    </row>
    <row r="400" spans="1:19">
      <c r="A400" s="9"/>
      <c r="B400" s="8"/>
      <c r="D400" s="8"/>
      <c r="F400" s="8"/>
    </row>
    <row r="401" spans="1:8">
      <c r="A401" s="9"/>
      <c r="B401" s="8"/>
      <c r="D401" s="8"/>
      <c r="F401" s="8"/>
    </row>
    <row r="402" spans="1:8">
      <c r="A402" s="9"/>
      <c r="B402" s="8"/>
      <c r="D402" s="8"/>
      <c r="F402" s="8"/>
    </row>
    <row r="403" spans="1:8">
      <c r="A403" s="9"/>
      <c r="B403" s="8"/>
      <c r="D403" s="8"/>
      <c r="F403" s="8"/>
    </row>
    <row r="404" spans="1:8">
      <c r="A404" s="9"/>
      <c r="B404" s="8"/>
      <c r="D404" s="8"/>
      <c r="F404" s="8"/>
    </row>
    <row r="405" spans="1:8">
      <c r="A405" s="9"/>
      <c r="B405" s="8"/>
      <c r="C405" s="8"/>
      <c r="D405" s="8"/>
      <c r="F405" s="8"/>
    </row>
    <row r="406" spans="1:8">
      <c r="A406" s="9"/>
      <c r="B406" s="8"/>
      <c r="C406" s="8"/>
      <c r="D406" s="8"/>
      <c r="F406" s="8"/>
    </row>
    <row r="407" spans="1:8">
      <c r="A407" s="9"/>
      <c r="B407" s="8"/>
      <c r="C407" s="8"/>
      <c r="D407" s="8"/>
      <c r="F407" s="8"/>
    </row>
    <row r="408" spans="1:8">
      <c r="A408" s="9"/>
      <c r="B408" s="8"/>
      <c r="C408" s="8"/>
      <c r="D408" s="8"/>
      <c r="F408" s="8"/>
    </row>
    <row r="409" spans="1:8">
      <c r="A409" s="9"/>
      <c r="B409" s="8"/>
      <c r="C409" s="8"/>
      <c r="D409" s="8"/>
      <c r="F409" s="8"/>
    </row>
    <row r="410" spans="1:8">
      <c r="A410" s="9"/>
      <c r="B410" s="8"/>
      <c r="C410" s="8"/>
      <c r="D410" s="8"/>
      <c r="F410" s="8"/>
    </row>
    <row r="411" spans="1:8">
      <c r="A411" s="9"/>
      <c r="B411" s="8"/>
      <c r="C411" s="8"/>
      <c r="D411" s="8"/>
      <c r="F411" s="8"/>
    </row>
    <row r="412" spans="1:8">
      <c r="A412" s="9"/>
      <c r="B412" s="8"/>
      <c r="C412" s="8"/>
      <c r="D412" s="8"/>
      <c r="F412" s="8"/>
      <c r="H412" s="8"/>
    </row>
    <row r="413" spans="1:8">
      <c r="A413" s="9"/>
      <c r="B413" s="8"/>
      <c r="C413" s="8"/>
      <c r="D413" s="8"/>
      <c r="F413" s="8"/>
    </row>
    <row r="414" spans="1:8">
      <c r="A414" s="9"/>
      <c r="B414" s="8"/>
      <c r="C414" s="8"/>
      <c r="D414" s="8"/>
      <c r="F414" s="8"/>
    </row>
    <row r="415" spans="1:8">
      <c r="A415" s="9"/>
      <c r="B415" s="8"/>
      <c r="C415" s="8"/>
      <c r="D415" s="8"/>
      <c r="F415" s="8"/>
    </row>
    <row r="416" spans="1:8">
      <c r="A416" s="9"/>
      <c r="B416" s="8"/>
      <c r="C416" s="8"/>
      <c r="D416" s="8"/>
      <c r="F416" s="8"/>
    </row>
    <row r="417" spans="1:9">
      <c r="A417" s="9"/>
      <c r="B417" s="8"/>
      <c r="C417" s="8"/>
      <c r="D417" s="8"/>
      <c r="F417" s="8"/>
    </row>
    <row r="418" spans="1:9">
      <c r="A418" s="9"/>
      <c r="B418" s="8"/>
      <c r="D418" s="8"/>
      <c r="F418" s="8"/>
      <c r="H418" s="8"/>
    </row>
    <row r="419" spans="1:9">
      <c r="A419" s="9"/>
      <c r="B419" s="8"/>
      <c r="D419" s="8"/>
      <c r="F419" s="8"/>
    </row>
    <row r="420" spans="1:9">
      <c r="A420" s="9"/>
      <c r="B420" s="8"/>
      <c r="D420" s="8"/>
      <c r="F420" s="8"/>
    </row>
    <row r="421" spans="1:9">
      <c r="A421" s="9"/>
      <c r="B421" s="8"/>
      <c r="D421" s="8"/>
      <c r="F421" s="8"/>
    </row>
    <row r="422" spans="1:9">
      <c r="A422" s="9"/>
      <c r="B422" s="8"/>
      <c r="D422" s="8"/>
      <c r="F422" s="8"/>
      <c r="G422" s="8"/>
      <c r="I422" s="8"/>
    </row>
    <row r="423" spans="1:9">
      <c r="A423" s="9"/>
      <c r="B423" s="8"/>
      <c r="D423" s="8"/>
      <c r="F423" s="8"/>
    </row>
    <row r="424" spans="1:9">
      <c r="A424" s="9"/>
      <c r="B424" s="8"/>
      <c r="D424" s="8"/>
      <c r="F424" s="8"/>
      <c r="G424" s="8"/>
      <c r="I424" s="8"/>
    </row>
    <row r="425" spans="1:9">
      <c r="A425" s="9"/>
      <c r="B425" s="8"/>
      <c r="D425" s="8"/>
      <c r="F425" s="8"/>
    </row>
    <row r="426" spans="1:9">
      <c r="A426" s="9"/>
      <c r="B426" s="8"/>
      <c r="D426" s="8"/>
      <c r="F426" s="8"/>
    </row>
    <row r="427" spans="1:9">
      <c r="A427" s="9"/>
      <c r="B427" s="8"/>
      <c r="D427" s="8"/>
      <c r="F427" s="8"/>
    </row>
    <row r="428" spans="1:9">
      <c r="A428" s="9"/>
      <c r="B428" s="8"/>
      <c r="D428" s="8"/>
      <c r="F428" s="8"/>
      <c r="G428" s="8"/>
      <c r="I428" s="8"/>
    </row>
    <row r="429" spans="1:9">
      <c r="A429" s="9"/>
      <c r="B429" s="8"/>
      <c r="D429" s="8"/>
      <c r="F429" s="8"/>
    </row>
    <row r="430" spans="1:9">
      <c r="A430" s="9"/>
      <c r="B430" s="8"/>
      <c r="D430" s="8"/>
      <c r="F430" s="8"/>
      <c r="G430" s="8"/>
      <c r="I430" s="8"/>
    </row>
    <row r="431" spans="1:9">
      <c r="A431" s="9"/>
      <c r="B431" s="8"/>
      <c r="D431" s="8"/>
      <c r="F431" s="8"/>
      <c r="H431" s="8"/>
      <c r="I431" s="8"/>
    </row>
    <row r="432" spans="1:9">
      <c r="A432" s="9"/>
      <c r="B432" s="8"/>
      <c r="D432" s="8"/>
      <c r="F432" s="8"/>
      <c r="I432" s="8"/>
    </row>
    <row r="433" spans="1:9">
      <c r="A433" s="9"/>
      <c r="B433" s="8"/>
      <c r="D433" s="8"/>
      <c r="F433" s="8"/>
      <c r="I433" s="8"/>
    </row>
    <row r="434" spans="1:9">
      <c r="A434" s="9"/>
      <c r="B434" s="8"/>
      <c r="D434" s="8"/>
      <c r="F434" s="8"/>
      <c r="G434" s="8"/>
      <c r="I434" s="8"/>
    </row>
    <row r="435" spans="1:9">
      <c r="A435" s="9"/>
      <c r="B435" s="8"/>
      <c r="D435" s="8"/>
      <c r="F435" s="8"/>
      <c r="I435" s="8"/>
    </row>
    <row r="436" spans="1:9">
      <c r="A436" s="9"/>
      <c r="B436" s="8"/>
      <c r="D436" s="8"/>
      <c r="F436" s="8"/>
      <c r="H436" s="8"/>
      <c r="I436" s="8"/>
    </row>
    <row r="437" spans="1:9">
      <c r="A437" s="9"/>
      <c r="B437" s="8"/>
      <c r="D437" s="8"/>
      <c r="F437" s="8"/>
      <c r="I437" s="8"/>
    </row>
    <row r="438" spans="1:9">
      <c r="A438" s="9"/>
      <c r="B438" s="8"/>
      <c r="D438" s="8"/>
      <c r="F438" s="8"/>
      <c r="I438" s="8"/>
    </row>
    <row r="439" spans="1:9">
      <c r="A439" s="9"/>
      <c r="B439" s="8"/>
      <c r="D439" s="8"/>
      <c r="F439" s="8"/>
      <c r="I439" s="8"/>
    </row>
    <row r="440" spans="1:9">
      <c r="A440" s="9"/>
      <c r="B440" s="8"/>
      <c r="D440" s="8"/>
      <c r="F440" s="8"/>
    </row>
    <row r="441" spans="1:9">
      <c r="A441" s="9"/>
      <c r="B441" s="8"/>
      <c r="C441" s="8"/>
      <c r="D441" s="8"/>
      <c r="F441" s="8"/>
    </row>
    <row r="442" spans="1:9">
      <c r="A442" s="9"/>
      <c r="B442" s="8"/>
      <c r="C442" s="8"/>
      <c r="D442" s="8"/>
      <c r="F442" s="8"/>
    </row>
    <row r="443" spans="1:9">
      <c r="A443" s="9"/>
      <c r="B443" s="8"/>
      <c r="C443" s="8"/>
      <c r="D443" s="8"/>
      <c r="F443" s="8"/>
    </row>
    <row r="444" spans="1:9">
      <c r="A444" s="9"/>
      <c r="B444" s="8"/>
      <c r="C444" s="8"/>
      <c r="D444" s="8"/>
      <c r="F444" s="8"/>
    </row>
    <row r="445" spans="1:9">
      <c r="A445" s="9"/>
      <c r="B445" s="8"/>
      <c r="C445" s="8"/>
      <c r="D445" s="8"/>
      <c r="F445" s="8"/>
    </row>
    <row r="446" spans="1:9">
      <c r="A446" s="9"/>
      <c r="B446" s="8"/>
      <c r="C446" s="8"/>
      <c r="D446" s="8"/>
      <c r="F446" s="8"/>
    </row>
    <row r="447" spans="1:9">
      <c r="A447" s="9"/>
      <c r="B447" s="8"/>
      <c r="C447" s="8"/>
      <c r="D447" s="8"/>
      <c r="F447" s="8"/>
    </row>
    <row r="448" spans="1:9">
      <c r="A448" s="9"/>
      <c r="B448" s="8"/>
      <c r="C448" s="8"/>
      <c r="D448" s="8"/>
      <c r="F448" s="8"/>
    </row>
    <row r="449" spans="1:6">
      <c r="A449" s="9"/>
      <c r="B449" s="8"/>
      <c r="C449" s="8"/>
      <c r="D449" s="8"/>
      <c r="F449" s="8"/>
    </row>
    <row r="450" spans="1:6">
      <c r="A450" s="9"/>
      <c r="B450" s="8"/>
      <c r="C450" s="8"/>
      <c r="D450" s="8"/>
      <c r="F450" s="8"/>
    </row>
    <row r="451" spans="1:6">
      <c r="A451" s="9"/>
      <c r="B451" s="8"/>
      <c r="C451" s="8"/>
      <c r="D451" s="8"/>
      <c r="F451" s="8"/>
    </row>
    <row r="452" spans="1:6">
      <c r="A452" s="9"/>
      <c r="B452" s="8"/>
      <c r="C452" s="8"/>
      <c r="D452" s="8"/>
      <c r="F452" s="8"/>
    </row>
    <row r="453" spans="1:6">
      <c r="A453" s="9"/>
      <c r="B453" s="8"/>
      <c r="C453" s="8"/>
      <c r="D453" s="8"/>
      <c r="F453" s="8"/>
    </row>
    <row r="454" spans="1:6">
      <c r="A454" s="9"/>
      <c r="B454" s="8"/>
      <c r="C454" s="8"/>
      <c r="D454" s="8"/>
      <c r="F454" s="8"/>
    </row>
    <row r="455" spans="1:6">
      <c r="A455" s="9"/>
      <c r="B455" s="8"/>
      <c r="C455" s="8"/>
      <c r="D455" s="8"/>
      <c r="F455" s="8"/>
    </row>
    <row r="456" spans="1:6">
      <c r="A456" s="9"/>
      <c r="B456" s="8"/>
      <c r="C456" s="8"/>
      <c r="D456" s="8"/>
      <c r="F456" s="8"/>
    </row>
    <row r="457" spans="1:6">
      <c r="A457" s="9"/>
      <c r="B457" s="8"/>
      <c r="C457" s="8"/>
      <c r="D457" s="8"/>
      <c r="F457" s="8"/>
    </row>
    <row r="458" spans="1:6">
      <c r="A458" s="9"/>
      <c r="B458" s="8"/>
      <c r="C458" s="8"/>
      <c r="D458" s="8"/>
      <c r="F458" s="8"/>
    </row>
    <row r="459" spans="1:6">
      <c r="A459" s="9"/>
      <c r="B459" s="8"/>
      <c r="C459" s="8"/>
      <c r="D459" s="8"/>
      <c r="F459" s="8"/>
    </row>
    <row r="460" spans="1:6">
      <c r="A460" s="9"/>
      <c r="B460" s="8"/>
      <c r="C460" s="8"/>
      <c r="D460" s="8"/>
      <c r="F460" s="8"/>
    </row>
    <row r="461" spans="1:6">
      <c r="A461" s="9"/>
      <c r="B461" s="8"/>
      <c r="C461" s="8"/>
      <c r="D461" s="8"/>
      <c r="F461" s="8"/>
    </row>
    <row r="462" spans="1:6">
      <c r="A462" s="9"/>
      <c r="B462" s="8"/>
      <c r="C462" s="8"/>
      <c r="D462" s="8"/>
      <c r="F462" s="8"/>
    </row>
    <row r="463" spans="1:6">
      <c r="A463" s="9"/>
      <c r="B463" s="8"/>
      <c r="C463" s="8"/>
      <c r="D463" s="8"/>
      <c r="F463" s="8"/>
    </row>
    <row r="464" spans="1:6">
      <c r="A464" s="9"/>
      <c r="B464" s="8"/>
      <c r="C464" s="8"/>
      <c r="D464" s="8"/>
      <c r="F464" s="8"/>
    </row>
    <row r="465" spans="1:8">
      <c r="A465" s="9"/>
      <c r="B465" s="8"/>
      <c r="C465" s="8"/>
      <c r="D465" s="8"/>
      <c r="F465" s="8"/>
      <c r="G465" s="8"/>
    </row>
    <row r="466" spans="1:8">
      <c r="A466" s="9"/>
      <c r="B466" s="8"/>
      <c r="C466" s="8"/>
      <c r="D466" s="8"/>
      <c r="F466" s="8"/>
    </row>
    <row r="467" spans="1:8">
      <c r="A467" s="9"/>
      <c r="B467" s="8"/>
      <c r="C467" s="8"/>
      <c r="D467" s="8"/>
      <c r="F467" s="8"/>
    </row>
    <row r="468" spans="1:8">
      <c r="A468" s="9"/>
      <c r="B468" s="8"/>
      <c r="C468" s="8"/>
      <c r="D468" s="8"/>
      <c r="F468" s="8"/>
      <c r="H468" s="8"/>
    </row>
    <row r="469" spans="1:8">
      <c r="A469" s="9"/>
      <c r="B469" s="8"/>
      <c r="C469" s="8"/>
      <c r="D469" s="8"/>
      <c r="F469" s="8"/>
    </row>
    <row r="470" spans="1:8">
      <c r="A470" s="9"/>
      <c r="B470" s="8"/>
      <c r="C470" s="8"/>
      <c r="D470" s="8"/>
      <c r="F470" s="8"/>
    </row>
    <row r="471" spans="1:8">
      <c r="A471" s="9"/>
      <c r="B471" s="8"/>
      <c r="C471" s="8"/>
      <c r="D471" s="8"/>
      <c r="F471" s="8"/>
    </row>
    <row r="472" spans="1:8">
      <c r="A472" s="9"/>
      <c r="B472" s="8"/>
      <c r="C472" s="8"/>
      <c r="D472" s="8"/>
      <c r="F472" s="8"/>
    </row>
    <row r="473" spans="1:8">
      <c r="A473" s="9"/>
      <c r="B473" s="8"/>
      <c r="C473" s="8"/>
      <c r="D473" s="8"/>
      <c r="F473" s="8"/>
    </row>
    <row r="474" spans="1:8">
      <c r="A474" s="9"/>
      <c r="B474" s="8"/>
      <c r="C474" s="8"/>
      <c r="D474" s="8"/>
      <c r="F474" s="8"/>
    </row>
    <row r="475" spans="1:8">
      <c r="A475" s="9"/>
      <c r="B475" s="8"/>
      <c r="C475" s="8"/>
      <c r="D475" s="8"/>
      <c r="F475" s="8"/>
    </row>
    <row r="476" spans="1:8">
      <c r="A476" s="9"/>
      <c r="B476" s="8"/>
      <c r="C476" s="8"/>
      <c r="D476" s="8"/>
      <c r="F476" s="8"/>
    </row>
    <row r="477" spans="1:8">
      <c r="A477" s="9"/>
      <c r="B477" s="8"/>
      <c r="C477" s="8"/>
      <c r="D477" s="8"/>
      <c r="F477" s="8"/>
    </row>
    <row r="478" spans="1:8">
      <c r="A478" s="9"/>
      <c r="B478" s="8"/>
      <c r="C478" s="8"/>
      <c r="D478" s="8"/>
      <c r="F478" s="8"/>
    </row>
    <row r="479" spans="1:8">
      <c r="A479" s="9"/>
      <c r="B479" s="8"/>
      <c r="C479" s="8"/>
      <c r="D479" s="8"/>
      <c r="F479" s="8"/>
    </row>
    <row r="480" spans="1:8">
      <c r="A480" s="9"/>
      <c r="B480" s="8"/>
      <c r="C480" s="8"/>
      <c r="D480" s="8"/>
      <c r="F480" s="8"/>
    </row>
    <row r="481" spans="1:9">
      <c r="A481" s="9"/>
      <c r="B481" s="8"/>
      <c r="C481" s="8"/>
      <c r="D481" s="8"/>
      <c r="F481" s="8"/>
    </row>
    <row r="482" spans="1:9">
      <c r="A482" s="9"/>
      <c r="B482" s="8"/>
      <c r="C482" s="8"/>
      <c r="D482" s="8"/>
      <c r="F482" s="8"/>
    </row>
    <row r="483" spans="1:9">
      <c r="A483" s="9"/>
      <c r="B483" s="8"/>
      <c r="C483" s="8"/>
      <c r="D483" s="8"/>
      <c r="F483" s="8"/>
    </row>
    <row r="484" spans="1:9">
      <c r="A484" s="9"/>
      <c r="B484" s="8"/>
      <c r="C484" s="8"/>
      <c r="D484" s="8"/>
      <c r="F484" s="8"/>
      <c r="H484" s="8"/>
    </row>
    <row r="485" spans="1:9">
      <c r="A485" s="9"/>
      <c r="B485" s="8"/>
      <c r="C485" s="8"/>
      <c r="D485" s="8"/>
      <c r="F485" s="8"/>
    </row>
    <row r="486" spans="1:9">
      <c r="A486" s="9"/>
      <c r="B486" s="8"/>
      <c r="C486" s="8"/>
      <c r="D486" s="8"/>
      <c r="F486" s="8"/>
    </row>
    <row r="487" spans="1:9">
      <c r="A487" s="9"/>
      <c r="B487" s="8"/>
      <c r="C487" s="8"/>
      <c r="D487" s="8"/>
      <c r="F487" s="8"/>
      <c r="G487" s="8"/>
    </row>
    <row r="488" spans="1:9">
      <c r="A488" s="9"/>
      <c r="B488" s="8"/>
      <c r="C488" s="8"/>
      <c r="D488" s="8"/>
      <c r="F488" s="8"/>
    </row>
    <row r="489" spans="1:9">
      <c r="A489" s="9"/>
      <c r="B489" s="8"/>
      <c r="C489" s="8"/>
      <c r="D489" s="8"/>
      <c r="F489" s="8"/>
    </row>
    <row r="490" spans="1:9">
      <c r="A490" s="9"/>
      <c r="B490" s="8"/>
      <c r="C490" s="8"/>
      <c r="D490" s="8"/>
      <c r="F490" s="8"/>
      <c r="H490" s="8"/>
    </row>
    <row r="491" spans="1:9">
      <c r="A491" s="9"/>
      <c r="B491" s="8"/>
      <c r="C491" s="8"/>
      <c r="D491" s="8"/>
      <c r="F491" s="8"/>
    </row>
    <row r="492" spans="1:9">
      <c r="A492" s="9"/>
      <c r="B492" s="8"/>
      <c r="C492" s="8"/>
      <c r="D492" s="8"/>
      <c r="F492" s="8"/>
    </row>
    <row r="493" spans="1:9">
      <c r="A493" s="9"/>
      <c r="B493" s="8"/>
      <c r="C493" s="8"/>
      <c r="D493" s="8"/>
      <c r="F493" s="8"/>
    </row>
    <row r="494" spans="1:9">
      <c r="A494" s="9"/>
      <c r="B494" s="8"/>
      <c r="C494" s="8"/>
      <c r="D494" s="8"/>
      <c r="F494" s="8"/>
    </row>
    <row r="495" spans="1:9">
      <c r="A495" s="9"/>
      <c r="B495" s="8"/>
      <c r="C495" s="8"/>
      <c r="D495" s="8"/>
      <c r="F495" s="8"/>
    </row>
    <row r="496" spans="1:9">
      <c r="A496" s="9"/>
      <c r="B496" s="8"/>
      <c r="C496" s="8"/>
      <c r="D496" s="8"/>
      <c r="F496" s="8"/>
      <c r="G496" s="8"/>
      <c r="I496" s="8"/>
    </row>
    <row r="497" spans="1:9">
      <c r="A497" s="9"/>
      <c r="B497" s="8"/>
      <c r="C497" s="8"/>
      <c r="D497" s="8"/>
      <c r="F497" s="8"/>
      <c r="G497" s="8"/>
      <c r="I497" s="8"/>
    </row>
    <row r="498" spans="1:9">
      <c r="A498" s="9"/>
      <c r="B498" s="8"/>
      <c r="C498" s="8"/>
      <c r="D498" s="8"/>
      <c r="F498" s="8"/>
      <c r="G498" s="8"/>
      <c r="I498" s="8"/>
    </row>
    <row r="499" spans="1:9">
      <c r="A499" s="9"/>
      <c r="B499" s="8"/>
      <c r="C499" s="8"/>
      <c r="D499" s="8"/>
      <c r="F499" s="8"/>
    </row>
    <row r="500" spans="1:9">
      <c r="A500" s="9"/>
      <c r="B500" s="8"/>
      <c r="C500" s="8"/>
      <c r="D500" s="8"/>
      <c r="F500" s="8"/>
      <c r="G500" s="8"/>
      <c r="H500" s="8"/>
      <c r="I500" s="8"/>
    </row>
    <row r="501" spans="1:9">
      <c r="A501" s="9"/>
      <c r="B501" s="8"/>
      <c r="C501" s="8"/>
      <c r="D501" s="8"/>
      <c r="F501" s="8"/>
      <c r="G501" s="8"/>
      <c r="I501" s="8"/>
    </row>
    <row r="502" spans="1:9">
      <c r="A502" s="9"/>
      <c r="B502" s="8"/>
      <c r="C502" s="8"/>
      <c r="D502" s="8"/>
      <c r="F502" s="8"/>
      <c r="I502" s="8"/>
    </row>
    <row r="503" spans="1:9">
      <c r="A503" s="9"/>
      <c r="B503" s="8"/>
      <c r="C503" s="8"/>
      <c r="D503" s="8"/>
      <c r="F503" s="8"/>
      <c r="I503" s="8"/>
    </row>
    <row r="504" spans="1:9">
      <c r="A504" s="9"/>
      <c r="B504" s="8"/>
      <c r="C504" s="8"/>
      <c r="D504" s="8"/>
      <c r="F504" s="8"/>
      <c r="G504" s="8"/>
      <c r="I504" s="8"/>
    </row>
    <row r="505" spans="1:9">
      <c r="A505" s="9"/>
      <c r="B505" s="8"/>
      <c r="C505" s="8"/>
      <c r="D505" s="8"/>
      <c r="F505" s="8"/>
      <c r="G505" s="8"/>
    </row>
    <row r="506" spans="1:9">
      <c r="A506" s="9"/>
      <c r="B506" s="8"/>
      <c r="C506" s="8"/>
      <c r="D506" s="8"/>
      <c r="F506" s="8"/>
      <c r="I506" s="8"/>
    </row>
    <row r="507" spans="1:9">
      <c r="A507" s="9"/>
      <c r="B507" s="8"/>
      <c r="C507" s="8"/>
      <c r="D507" s="8"/>
      <c r="F507" s="8"/>
      <c r="H507" s="8"/>
      <c r="I507" s="8"/>
    </row>
    <row r="508" spans="1:9">
      <c r="A508" s="9"/>
      <c r="B508" s="8"/>
      <c r="C508" s="8"/>
      <c r="D508" s="8"/>
      <c r="F508" s="8"/>
      <c r="I508" s="8"/>
    </row>
    <row r="509" spans="1:9">
      <c r="A509" s="9"/>
      <c r="B509" s="8"/>
      <c r="C509" s="8"/>
      <c r="D509" s="8"/>
      <c r="F509" s="8"/>
      <c r="G509" s="8"/>
      <c r="I509" s="8"/>
    </row>
    <row r="510" spans="1:9">
      <c r="A510" s="9"/>
      <c r="B510" s="8"/>
      <c r="C510" s="8"/>
      <c r="D510" s="8"/>
      <c r="F510" s="8"/>
      <c r="I510" s="8"/>
    </row>
    <row r="511" spans="1:9">
      <c r="A511" s="9"/>
      <c r="B511" s="8"/>
      <c r="C511" s="8"/>
      <c r="D511" s="8"/>
      <c r="F511" s="8"/>
      <c r="G511" s="8"/>
      <c r="H511" s="8"/>
      <c r="I511" s="8"/>
    </row>
    <row r="512" spans="1:9">
      <c r="A512" s="9"/>
      <c r="B512" s="8"/>
      <c r="C512" s="8"/>
      <c r="D512" s="8"/>
      <c r="F512" s="8"/>
      <c r="G512" s="8"/>
    </row>
    <row r="513" spans="1:9">
      <c r="A513" s="9"/>
      <c r="B513" s="8"/>
      <c r="C513" s="8"/>
      <c r="D513" s="8"/>
      <c r="F513" s="8"/>
      <c r="G513" s="8"/>
    </row>
    <row r="514" spans="1:9">
      <c r="A514" s="9"/>
      <c r="B514" s="8"/>
      <c r="C514" s="8"/>
      <c r="D514" s="8"/>
      <c r="F514" s="8"/>
    </row>
    <row r="515" spans="1:9">
      <c r="A515" s="9"/>
      <c r="B515" s="8"/>
      <c r="C515" s="8"/>
      <c r="D515" s="8"/>
      <c r="F515" s="8"/>
      <c r="G515" s="8"/>
      <c r="I515" s="8"/>
    </row>
    <row r="516" spans="1:9">
      <c r="A516" s="9"/>
      <c r="B516" s="8"/>
      <c r="C516" s="8"/>
      <c r="D516" s="8"/>
      <c r="F516" s="8"/>
      <c r="G516" s="8"/>
      <c r="I516" s="8"/>
    </row>
    <row r="517" spans="1:9">
      <c r="A517" s="9"/>
      <c r="B517" s="8"/>
      <c r="C517" s="8"/>
      <c r="D517" s="8"/>
      <c r="F517" s="8"/>
      <c r="G517" s="8"/>
      <c r="I517" s="8"/>
    </row>
    <row r="518" spans="1:9">
      <c r="A518" s="9"/>
      <c r="B518" s="8"/>
      <c r="C518" s="8"/>
      <c r="D518" s="8"/>
      <c r="F518" s="8"/>
    </row>
    <row r="519" spans="1:9">
      <c r="A519" s="9"/>
      <c r="B519" s="8"/>
      <c r="C519" s="8"/>
      <c r="D519" s="8"/>
      <c r="F519" s="8"/>
    </row>
    <row r="520" spans="1:9">
      <c r="A520" s="9"/>
      <c r="B520" s="8"/>
      <c r="C520" s="8"/>
      <c r="D520" s="8"/>
      <c r="F520" s="8"/>
    </row>
    <row r="521" spans="1:9">
      <c r="A521" s="9"/>
      <c r="B521" s="8"/>
      <c r="C521" s="8"/>
      <c r="D521" s="8"/>
      <c r="F521" s="8"/>
    </row>
    <row r="522" spans="1:9">
      <c r="A522" s="9"/>
      <c r="B522" s="8"/>
      <c r="C522" s="8"/>
      <c r="D522" s="8"/>
      <c r="F522" s="8"/>
    </row>
    <row r="523" spans="1:9">
      <c r="A523" s="9"/>
      <c r="B523" s="8"/>
      <c r="C523" s="8"/>
      <c r="D523" s="8"/>
      <c r="F523" s="8"/>
    </row>
    <row r="524" spans="1:9">
      <c r="A524" s="9"/>
      <c r="B524" s="8"/>
      <c r="C524" s="8"/>
      <c r="D524" s="8"/>
      <c r="F524" s="8"/>
    </row>
    <row r="525" spans="1:9">
      <c r="A525" s="9"/>
      <c r="B525" s="8"/>
      <c r="C525" s="8"/>
      <c r="D525" s="8"/>
      <c r="F525" s="8"/>
      <c r="G525" s="8"/>
      <c r="I525" s="8"/>
    </row>
    <row r="526" spans="1:9">
      <c r="A526" s="9"/>
      <c r="B526" s="8"/>
      <c r="C526" s="8"/>
      <c r="D526" s="8"/>
      <c r="F526" s="8"/>
      <c r="G526" s="8"/>
      <c r="I526" s="8"/>
    </row>
    <row r="527" spans="1:9">
      <c r="A527" s="7"/>
      <c r="B527" s="8"/>
      <c r="C527" s="8"/>
      <c r="D527" s="8"/>
      <c r="F527" s="8"/>
      <c r="H527" s="8"/>
    </row>
    <row r="528" spans="1:9">
      <c r="A528" s="7"/>
      <c r="B528" s="8"/>
      <c r="C528" s="8"/>
      <c r="D528" s="8"/>
      <c r="F528" s="8"/>
    </row>
    <row r="529" spans="1:9">
      <c r="A529" s="7"/>
      <c r="B529" s="8"/>
      <c r="C529" s="8"/>
      <c r="D529" s="8"/>
      <c r="F529" s="8"/>
      <c r="G529" s="8"/>
      <c r="I529" s="8"/>
    </row>
    <row r="530" spans="1:9">
      <c r="A530" s="7"/>
      <c r="B530" s="8"/>
      <c r="C530" s="8"/>
      <c r="D530" s="8"/>
      <c r="F530" s="8"/>
      <c r="G530" s="8"/>
      <c r="H530" s="8"/>
      <c r="I530" s="8"/>
    </row>
    <row r="531" spans="1:9">
      <c r="A531" s="7"/>
      <c r="B531" s="8"/>
      <c r="C531" s="8"/>
      <c r="D531" s="8"/>
      <c r="F531" s="8"/>
      <c r="G531" s="8"/>
      <c r="I531" s="8"/>
    </row>
    <row r="532" spans="1:9">
      <c r="A532" s="7"/>
      <c r="B532" s="8"/>
      <c r="C532" s="8"/>
      <c r="D532" s="8"/>
      <c r="F532" s="8"/>
      <c r="G532" s="8"/>
      <c r="H532" s="8"/>
      <c r="I532" s="8"/>
    </row>
    <row r="533" spans="1:9">
      <c r="A533" s="7"/>
      <c r="B533" s="8"/>
      <c r="C533" s="8"/>
      <c r="D533" s="8"/>
      <c r="F533" s="8"/>
      <c r="H533" s="8"/>
    </row>
    <row r="534" spans="1:9">
      <c r="A534" s="7"/>
      <c r="B534" s="8"/>
      <c r="C534" s="8"/>
      <c r="D534" s="8"/>
      <c r="F534" s="8"/>
    </row>
    <row r="535" spans="1:9">
      <c r="A535" s="7"/>
      <c r="B535" s="8"/>
      <c r="C535" s="8"/>
      <c r="D535" s="8"/>
      <c r="F535" s="8"/>
      <c r="G535" s="8"/>
      <c r="I535" s="8"/>
    </row>
    <row r="536" spans="1:9">
      <c r="A536" s="7"/>
      <c r="B536" s="8"/>
      <c r="C536" s="8"/>
      <c r="D536" s="8"/>
      <c r="F536" s="8"/>
      <c r="G536" s="8"/>
    </row>
    <row r="537" spans="1:9">
      <c r="A537" s="7"/>
      <c r="B537" s="8"/>
      <c r="C537" s="8"/>
      <c r="D537" s="8"/>
      <c r="F537" s="8"/>
    </row>
    <row r="538" spans="1:9">
      <c r="A538" s="7"/>
      <c r="B538" s="8"/>
      <c r="C538" s="8"/>
      <c r="D538" s="8"/>
      <c r="F538" s="8"/>
      <c r="G538" s="8"/>
      <c r="H538" s="8"/>
      <c r="I538" s="8"/>
    </row>
    <row r="539" spans="1:9">
      <c r="A539" s="7"/>
      <c r="B539" s="8"/>
      <c r="C539" s="8"/>
      <c r="D539" s="8"/>
      <c r="F539" s="8"/>
      <c r="G539" s="8"/>
      <c r="H539" s="8"/>
      <c r="I539" s="8"/>
    </row>
    <row r="540" spans="1:9">
      <c r="A540" s="7"/>
      <c r="B540" s="8"/>
      <c r="C540" s="8"/>
      <c r="D540" s="8"/>
      <c r="F540" s="8"/>
      <c r="G540" s="8"/>
      <c r="I540" s="8"/>
    </row>
    <row r="541" spans="1:9">
      <c r="A541" s="7"/>
      <c r="B541" s="8"/>
      <c r="C541" s="8"/>
      <c r="D541" s="8"/>
      <c r="F541" s="8"/>
      <c r="I541" s="8"/>
    </row>
    <row r="542" spans="1:9">
      <c r="A542" s="7"/>
      <c r="B542" s="8"/>
      <c r="C542" s="8"/>
      <c r="D542" s="8"/>
      <c r="F542" s="8"/>
      <c r="H542" s="8"/>
    </row>
    <row r="543" spans="1:9">
      <c r="A543" s="7"/>
      <c r="B543" s="8"/>
      <c r="C543" s="8"/>
      <c r="D543" s="8"/>
      <c r="F543" s="8"/>
    </row>
    <row r="544" spans="1:9">
      <c r="A544" s="7"/>
      <c r="B544" s="8"/>
      <c r="C544" s="8"/>
      <c r="D544" s="8"/>
      <c r="F544" s="8"/>
      <c r="G544" s="8"/>
    </row>
    <row r="545" spans="1:9">
      <c r="A545" s="7"/>
      <c r="B545" s="8"/>
      <c r="C545" s="8"/>
      <c r="D545" s="8"/>
      <c r="F545" s="8"/>
      <c r="G545" s="8"/>
      <c r="I545" s="8"/>
    </row>
    <row r="546" spans="1:9">
      <c r="A546" s="7"/>
      <c r="B546" s="8"/>
      <c r="C546" s="8"/>
      <c r="D546" s="8"/>
      <c r="F546" s="8"/>
    </row>
    <row r="547" spans="1:9">
      <c r="A547" s="7"/>
      <c r="B547" s="8"/>
      <c r="C547" s="8"/>
      <c r="D547" s="8"/>
      <c r="F547" s="8"/>
      <c r="H547" s="8"/>
    </row>
    <row r="548" spans="1:9">
      <c r="A548" s="7"/>
      <c r="B548" s="8"/>
      <c r="C548" s="8"/>
      <c r="D548" s="8"/>
      <c r="F548" s="8"/>
      <c r="H548" s="8"/>
    </row>
    <row r="549" spans="1:9">
      <c r="A549" s="7"/>
      <c r="B549" s="8"/>
      <c r="C549" s="8"/>
      <c r="D549" s="8"/>
      <c r="F549" s="8"/>
      <c r="G549" s="8"/>
    </row>
    <row r="550" spans="1:9">
      <c r="A550" s="7"/>
      <c r="B550" s="8"/>
      <c r="C550" s="8"/>
      <c r="D550" s="8"/>
      <c r="F550" s="8"/>
      <c r="H550" s="8"/>
    </row>
    <row r="551" spans="1:9">
      <c r="A551" s="7"/>
      <c r="B551" s="8"/>
      <c r="C551" s="8"/>
      <c r="D551" s="8"/>
      <c r="F551" s="8"/>
    </row>
    <row r="552" spans="1:9">
      <c r="A552" s="7"/>
      <c r="B552" s="8"/>
      <c r="C552" s="8"/>
      <c r="D552" s="8"/>
      <c r="F552" s="8"/>
    </row>
    <row r="553" spans="1:9">
      <c r="A553" s="7"/>
      <c r="B553" s="8"/>
      <c r="C553" s="8"/>
      <c r="D553" s="8"/>
      <c r="F553" s="8"/>
    </row>
    <row r="554" spans="1:9">
      <c r="A554" s="7"/>
      <c r="B554" s="8"/>
      <c r="C554" s="8"/>
      <c r="D554" s="8"/>
      <c r="F554" s="8"/>
    </row>
    <row r="555" spans="1:9">
      <c r="A555" s="7"/>
      <c r="B555" s="8"/>
      <c r="C555" s="8"/>
      <c r="D555" s="8"/>
      <c r="F555" s="8"/>
    </row>
    <row r="556" spans="1:9">
      <c r="A556" s="7"/>
      <c r="B556" s="8"/>
      <c r="C556" s="8"/>
      <c r="D556" s="8"/>
      <c r="F556" s="8"/>
      <c r="H556" s="8"/>
    </row>
    <row r="557" spans="1:9">
      <c r="A557" s="7"/>
      <c r="B557" s="8"/>
      <c r="C557" s="8"/>
      <c r="D557" s="8"/>
      <c r="E557" s="8"/>
      <c r="F557" s="8"/>
      <c r="H557" s="8"/>
      <c r="I557" s="8"/>
    </row>
    <row r="558" spans="1:9">
      <c r="A558" s="7"/>
      <c r="B558" s="8"/>
      <c r="C558" s="8"/>
      <c r="D558" s="8"/>
      <c r="F558" s="8"/>
    </row>
    <row r="559" spans="1:9">
      <c r="A559" s="7"/>
      <c r="B559" s="8"/>
      <c r="C559" s="8"/>
      <c r="D559" s="8"/>
      <c r="F559" s="8"/>
    </row>
    <row r="560" spans="1:9">
      <c r="A560" s="7"/>
      <c r="B560" s="8"/>
      <c r="C560" s="8"/>
      <c r="D560" s="8"/>
      <c r="F560" s="8"/>
    </row>
    <row r="561" spans="1:8">
      <c r="A561" s="7"/>
      <c r="B561" s="8"/>
      <c r="C561" s="8"/>
      <c r="D561" s="8"/>
      <c r="F561" s="8"/>
      <c r="H561" s="8"/>
    </row>
    <row r="562" spans="1:8">
      <c r="A562" s="7"/>
      <c r="B562" s="8"/>
      <c r="C562" s="8"/>
      <c r="D562" s="8"/>
      <c r="F562" s="8"/>
    </row>
    <row r="563" spans="1:8">
      <c r="A563" s="7"/>
      <c r="B563" s="8"/>
      <c r="C563" s="8"/>
      <c r="D563" s="8"/>
      <c r="F563" s="8"/>
    </row>
    <row r="564" spans="1:8">
      <c r="A564" s="7"/>
      <c r="B564" s="8"/>
      <c r="D564" s="8"/>
      <c r="F564" s="8"/>
    </row>
    <row r="565" spans="1:8">
      <c r="A565" s="7"/>
      <c r="B565" s="8"/>
      <c r="D565" s="8"/>
    </row>
    <row r="566" spans="1:8">
      <c r="A566" s="7"/>
      <c r="B566" s="8"/>
      <c r="D566" s="8"/>
    </row>
    <row r="567" spans="1:8">
      <c r="A567" s="7"/>
      <c r="B567" s="8"/>
      <c r="D567" s="8"/>
    </row>
    <row r="568" spans="1:8">
      <c r="A568" s="7"/>
      <c r="B568" s="8"/>
      <c r="D568" s="8"/>
    </row>
    <row r="569" spans="1:8">
      <c r="A569" s="7"/>
      <c r="B569" s="8"/>
      <c r="D569" s="8"/>
    </row>
    <row r="570" spans="1:8">
      <c r="A570" s="7"/>
      <c r="B570" s="8"/>
      <c r="D570" s="8"/>
    </row>
    <row r="571" spans="1:8">
      <c r="A571" s="7"/>
      <c r="B571" s="8"/>
      <c r="D571" s="8"/>
    </row>
    <row r="572" spans="1:8">
      <c r="A572" s="7"/>
      <c r="B572" s="8"/>
      <c r="D572" s="8"/>
    </row>
    <row r="573" spans="1:8">
      <c r="A573" s="7"/>
      <c r="B573" s="8"/>
      <c r="D573" s="8"/>
    </row>
    <row r="574" spans="1:8">
      <c r="A574" s="7"/>
      <c r="B574" s="8"/>
      <c r="D574" s="8"/>
    </row>
    <row r="575" spans="1:8">
      <c r="A575" s="7"/>
      <c r="B575" s="8"/>
      <c r="D575" s="8"/>
    </row>
    <row r="576" spans="1:8">
      <c r="A576" s="7"/>
      <c r="B576" s="8"/>
      <c r="D576" s="8"/>
    </row>
    <row r="577" spans="1:4">
      <c r="A577" s="7"/>
      <c r="B577" s="8"/>
      <c r="D577" s="8"/>
    </row>
    <row r="578" spans="1:4">
      <c r="A578" s="7"/>
      <c r="B578" s="8"/>
      <c r="D578" s="8"/>
    </row>
    <row r="579" spans="1:4">
      <c r="A579" s="7"/>
      <c r="B579" s="8"/>
      <c r="D579" s="8"/>
    </row>
    <row r="580" spans="1:4">
      <c r="A580" s="7"/>
      <c r="B580" s="8"/>
      <c r="D580" s="8"/>
    </row>
    <row r="581" spans="1:4">
      <c r="A581" s="7"/>
      <c r="B581" s="8"/>
      <c r="D581" s="8"/>
    </row>
    <row r="582" spans="1:4">
      <c r="A582" s="7"/>
      <c r="B582" s="8"/>
      <c r="D582" s="8"/>
    </row>
    <row r="583" spans="1:4">
      <c r="A583" s="7"/>
      <c r="B583" s="8"/>
      <c r="D583" s="8"/>
    </row>
    <row r="584" spans="1:4">
      <c r="A584" s="7"/>
      <c r="B584" s="8"/>
      <c r="D584" s="8"/>
    </row>
    <row r="585" spans="1:4">
      <c r="A585" s="7"/>
      <c r="B585" s="8"/>
      <c r="D585" s="8"/>
    </row>
    <row r="586" spans="1:4">
      <c r="A586" s="7"/>
      <c r="B586" s="8"/>
      <c r="D586" s="8"/>
    </row>
    <row r="587" spans="1:4">
      <c r="A587" s="7"/>
      <c r="B587" s="8"/>
      <c r="D587" s="8"/>
    </row>
    <row r="588" spans="1:4">
      <c r="A588" s="7"/>
      <c r="B588" s="8"/>
      <c r="D588" s="8"/>
    </row>
    <row r="589" spans="1:4">
      <c r="A589" s="7"/>
      <c r="B589" s="8"/>
      <c r="D589" s="8"/>
    </row>
    <row r="590" spans="1:4">
      <c r="A590" s="7"/>
      <c r="B590" s="8"/>
      <c r="D590" s="8"/>
    </row>
    <row r="591" spans="1:4">
      <c r="A591" s="7"/>
      <c r="B591" s="8"/>
      <c r="D591" s="8"/>
    </row>
    <row r="592" spans="1:4">
      <c r="A592" s="7"/>
      <c r="B592" s="8"/>
      <c r="D592" s="8"/>
    </row>
    <row r="593" spans="1:4">
      <c r="A593" s="7"/>
      <c r="B593" s="8"/>
      <c r="D593" s="8"/>
    </row>
    <row r="594" spans="1:4">
      <c r="A594" s="7"/>
      <c r="B594" s="8"/>
      <c r="D594" s="8"/>
    </row>
    <row r="595" spans="1:4">
      <c r="A595" s="7"/>
      <c r="B595" s="8"/>
      <c r="D595" s="8"/>
    </row>
    <row r="596" spans="1:4">
      <c r="A596" s="7"/>
      <c r="B596" s="8"/>
      <c r="D596" s="8"/>
    </row>
    <row r="597" spans="1:4">
      <c r="A597" s="7"/>
      <c r="B597" s="8"/>
      <c r="D597" s="8"/>
    </row>
    <row r="598" spans="1:4">
      <c r="A598" s="7"/>
      <c r="B598" s="8"/>
      <c r="D598" s="8"/>
    </row>
    <row r="599" spans="1:4">
      <c r="A599" s="7"/>
      <c r="B599" s="8"/>
      <c r="D599" s="8"/>
    </row>
    <row r="600" spans="1:4">
      <c r="A600" s="7"/>
      <c r="B600" s="8"/>
      <c r="D600" s="8"/>
    </row>
    <row r="601" spans="1:4">
      <c r="A601" s="7"/>
      <c r="B601" s="8"/>
      <c r="D601" s="8"/>
    </row>
    <row r="602" spans="1:4">
      <c r="A602" s="7"/>
      <c r="B602" s="8"/>
      <c r="D602" s="8"/>
    </row>
    <row r="603" spans="1:4">
      <c r="A603" s="9"/>
      <c r="B603" s="8"/>
      <c r="C603" s="8"/>
      <c r="D603" s="8"/>
    </row>
    <row r="604" spans="1:4">
      <c r="A604" s="9"/>
      <c r="B604" s="8"/>
      <c r="C604" s="8"/>
      <c r="D604" s="8"/>
    </row>
    <row r="605" spans="1:4">
      <c r="A605" s="9"/>
      <c r="B605" s="8"/>
      <c r="C605" s="8"/>
      <c r="D605" s="8"/>
    </row>
    <row r="606" spans="1:4">
      <c r="A606" s="9"/>
      <c r="B606" s="8"/>
      <c r="C606" s="8"/>
      <c r="D606" s="8"/>
    </row>
    <row r="607" spans="1:4">
      <c r="A607" s="9"/>
      <c r="B607" s="8"/>
      <c r="C607" s="8"/>
      <c r="D607" s="8"/>
    </row>
    <row r="608" spans="1:4">
      <c r="A608" s="9"/>
      <c r="B608" s="8"/>
      <c r="C608" s="8"/>
      <c r="D608" s="8"/>
    </row>
    <row r="609" spans="1:4">
      <c r="A609" s="9"/>
      <c r="B609" s="8"/>
      <c r="C609" s="8"/>
      <c r="D609" s="8"/>
    </row>
    <row r="610" spans="1:4">
      <c r="A610" s="9"/>
      <c r="B610" s="8"/>
      <c r="C610" s="8"/>
      <c r="D610" s="8"/>
    </row>
    <row r="611" spans="1:4">
      <c r="A611" s="9"/>
      <c r="B611" s="8"/>
      <c r="C611" s="8"/>
      <c r="D611" s="8"/>
    </row>
    <row r="612" spans="1:4">
      <c r="A612" s="9"/>
      <c r="B612" s="8"/>
      <c r="C612" s="8"/>
      <c r="D612" s="8"/>
    </row>
    <row r="613" spans="1:4">
      <c r="A613" s="9"/>
      <c r="B613" s="8"/>
      <c r="C613" s="8"/>
      <c r="D613" s="8"/>
    </row>
    <row r="614" spans="1:4">
      <c r="A614" s="9"/>
      <c r="B614" s="8"/>
      <c r="C614" s="8"/>
      <c r="D614" s="8"/>
    </row>
    <row r="615" spans="1:4">
      <c r="A615" s="9"/>
      <c r="B615" s="8"/>
      <c r="C615" s="8"/>
      <c r="D615" s="8"/>
    </row>
    <row r="616" spans="1:4">
      <c r="A616" s="9"/>
      <c r="B616" s="8"/>
      <c r="C616" s="8"/>
      <c r="D616" s="8"/>
    </row>
    <row r="617" spans="1:4">
      <c r="A617" s="9"/>
      <c r="B617" s="8"/>
      <c r="C617" s="8"/>
      <c r="D617" s="8"/>
    </row>
    <row r="618" spans="1:4">
      <c r="A618" s="9"/>
      <c r="B618" s="8"/>
      <c r="C618" s="8"/>
      <c r="D618" s="8"/>
    </row>
    <row r="619" spans="1:4">
      <c r="A619" s="9"/>
      <c r="B619" s="8"/>
      <c r="C619" s="8"/>
      <c r="D619" s="8"/>
    </row>
    <row r="620" spans="1:4">
      <c r="A620" s="9"/>
      <c r="B620" s="8"/>
      <c r="C620" s="8"/>
      <c r="D620" s="8"/>
    </row>
    <row r="621" spans="1:4">
      <c r="A621" s="9"/>
      <c r="B621" s="8"/>
      <c r="C621" s="8"/>
      <c r="D621" s="8"/>
    </row>
    <row r="622" spans="1:4">
      <c r="A622" s="9"/>
      <c r="B622" s="8"/>
      <c r="C622" s="8"/>
      <c r="D622" s="8"/>
    </row>
    <row r="623" spans="1:4">
      <c r="A623" s="9"/>
      <c r="B623" s="8"/>
      <c r="C623" s="8"/>
      <c r="D623" s="8"/>
    </row>
    <row r="624" spans="1:4">
      <c r="A624" s="9"/>
      <c r="B624" s="8"/>
      <c r="C624" s="8"/>
      <c r="D624" s="8"/>
    </row>
    <row r="625" spans="1:4">
      <c r="A625" s="9"/>
      <c r="B625" s="8"/>
      <c r="C625" s="8"/>
      <c r="D625" s="8"/>
    </row>
    <row r="626" spans="1:4">
      <c r="A626" s="9"/>
      <c r="B626" s="8"/>
      <c r="C626" s="8"/>
      <c r="D626" s="8"/>
    </row>
    <row r="627" spans="1:4">
      <c r="A627" s="9"/>
      <c r="B627" s="8"/>
      <c r="C627" s="8"/>
      <c r="D627" s="8"/>
    </row>
    <row r="628" spans="1:4">
      <c r="A628" s="9"/>
      <c r="B628" s="8"/>
      <c r="C628" s="8"/>
      <c r="D628" s="8"/>
    </row>
    <row r="629" spans="1:4">
      <c r="A629" s="9"/>
      <c r="B629" s="8"/>
      <c r="C629" s="8"/>
      <c r="D629" s="8"/>
    </row>
    <row r="630" spans="1:4">
      <c r="A630" s="9"/>
      <c r="B630" s="8"/>
      <c r="C630" s="8"/>
      <c r="D630" s="8"/>
    </row>
    <row r="631" spans="1:4">
      <c r="A631" s="9"/>
      <c r="B631" s="8"/>
      <c r="C631" s="8"/>
      <c r="D631" s="8"/>
    </row>
    <row r="632" spans="1:4">
      <c r="A632" s="9"/>
      <c r="B632" s="8"/>
      <c r="C632" s="8"/>
      <c r="D632" s="8"/>
    </row>
    <row r="633" spans="1:4">
      <c r="A633" s="9"/>
      <c r="B633" s="8"/>
      <c r="C633" s="8"/>
      <c r="D633" s="8"/>
    </row>
    <row r="634" spans="1:4">
      <c r="A634" s="9"/>
      <c r="B634" s="8"/>
      <c r="C634" s="8"/>
      <c r="D634" s="8"/>
    </row>
    <row r="635" spans="1:4">
      <c r="A635" s="9"/>
      <c r="B635" s="8"/>
      <c r="C635" s="8"/>
      <c r="D635" s="8"/>
    </row>
    <row r="636" spans="1:4">
      <c r="A636" s="9"/>
      <c r="B636" s="8"/>
      <c r="C636" s="8"/>
      <c r="D636" s="8"/>
    </row>
    <row r="637" spans="1:4">
      <c r="A637" s="9"/>
      <c r="B637" s="8"/>
      <c r="C637" s="8"/>
      <c r="D637" s="8"/>
    </row>
    <row r="638" spans="1:4">
      <c r="A638" s="9"/>
      <c r="B638" s="8"/>
      <c r="C638" s="8"/>
      <c r="D638" s="8"/>
    </row>
    <row r="639" spans="1:4">
      <c r="A639" s="9"/>
      <c r="B639" s="8"/>
      <c r="C639" s="8"/>
      <c r="D639" s="8"/>
    </row>
    <row r="640" spans="1:4">
      <c r="A640" s="9"/>
      <c r="B640" s="8"/>
      <c r="C640" s="8"/>
      <c r="D640" s="8"/>
    </row>
    <row r="641" spans="1:4">
      <c r="A641" s="9"/>
      <c r="B641" s="8"/>
      <c r="C641" s="8"/>
      <c r="D641" s="8"/>
    </row>
    <row r="642" spans="1:4">
      <c r="A642" s="9"/>
      <c r="B642" s="8"/>
      <c r="C642" s="8"/>
      <c r="D642" s="8"/>
    </row>
    <row r="643" spans="1:4">
      <c r="A643" s="9"/>
      <c r="B643" s="8"/>
      <c r="C643" s="8"/>
      <c r="D643" s="8"/>
    </row>
    <row r="644" spans="1:4">
      <c r="A644" s="9"/>
      <c r="B644" s="8"/>
      <c r="C644" s="8"/>
      <c r="D644" s="8"/>
    </row>
    <row r="645" spans="1:4">
      <c r="A645" s="9"/>
      <c r="B645" s="8"/>
      <c r="C645" s="8"/>
      <c r="D645" s="8"/>
    </row>
    <row r="646" spans="1:4">
      <c r="A646" s="9"/>
      <c r="B646" s="8"/>
      <c r="C646" s="8"/>
      <c r="D646" s="8"/>
    </row>
    <row r="647" spans="1:4">
      <c r="A647" s="9"/>
      <c r="B647" s="8"/>
      <c r="C647" s="8"/>
      <c r="D647" s="8"/>
    </row>
    <row r="648" spans="1:4">
      <c r="A648" s="7"/>
      <c r="B648" s="8"/>
      <c r="C648" s="8"/>
      <c r="D648" s="8"/>
    </row>
    <row r="649" spans="1:4">
      <c r="A649" s="7"/>
      <c r="B649" s="8"/>
      <c r="C649" s="8"/>
      <c r="D649" s="8"/>
    </row>
    <row r="650" spans="1:4">
      <c r="A650" s="7"/>
      <c r="B650" s="8"/>
      <c r="C650" s="8"/>
      <c r="D650" s="8"/>
    </row>
    <row r="651" spans="1:4">
      <c r="A651" s="7"/>
      <c r="B651" s="8"/>
      <c r="C651" s="8"/>
      <c r="D651" s="8"/>
    </row>
    <row r="652" spans="1:4">
      <c r="A652" s="7"/>
      <c r="B652" s="8"/>
      <c r="C652" s="8"/>
      <c r="D652" s="8"/>
    </row>
    <row r="653" spans="1:4">
      <c r="A653" s="7"/>
      <c r="B653" s="8"/>
      <c r="C653" s="8"/>
      <c r="D653" s="8"/>
    </row>
    <row r="654" spans="1:4">
      <c r="A654" s="7"/>
      <c r="B654" s="8"/>
      <c r="C654" s="8"/>
      <c r="D654" s="8"/>
    </row>
    <row r="655" spans="1:4">
      <c r="A655" s="7"/>
      <c r="B655" s="8"/>
      <c r="C655" s="8"/>
      <c r="D655" s="8"/>
    </row>
    <row r="656" spans="1:4">
      <c r="A656" s="7"/>
      <c r="B656" s="8"/>
      <c r="C656" s="8"/>
      <c r="D656" s="8"/>
    </row>
    <row r="657" spans="1:4">
      <c r="A657" s="7"/>
      <c r="B657" s="8"/>
      <c r="C657" s="8"/>
      <c r="D657" s="8"/>
    </row>
    <row r="658" spans="1:4">
      <c r="A658" s="7"/>
      <c r="B658" s="8"/>
      <c r="C658" s="8"/>
      <c r="D658" s="8"/>
    </row>
    <row r="659" spans="1:4">
      <c r="A659" s="7"/>
      <c r="B659" s="8"/>
      <c r="C659" s="8"/>
      <c r="D659" s="8"/>
    </row>
    <row r="660" spans="1:4">
      <c r="A660" s="7"/>
      <c r="B660" s="8"/>
      <c r="C660" s="8"/>
      <c r="D660" s="8"/>
    </row>
    <row r="661" spans="1:4">
      <c r="A661" s="7"/>
      <c r="B661" s="8"/>
      <c r="C661" s="8"/>
      <c r="D661" s="8"/>
    </row>
    <row r="662" spans="1:4">
      <c r="A662" s="7"/>
      <c r="B662" s="8"/>
      <c r="C662" s="8"/>
    </row>
    <row r="663" spans="1:4">
      <c r="A663" s="7"/>
      <c r="B663" s="8"/>
      <c r="C663" s="8"/>
      <c r="D663" s="8"/>
    </row>
    <row r="664" spans="1:4">
      <c r="A664" s="7"/>
      <c r="B664" s="8"/>
      <c r="C664" s="8"/>
      <c r="D664" s="8"/>
    </row>
    <row r="665" spans="1:4">
      <c r="A665" s="7"/>
      <c r="B665" s="8"/>
      <c r="C665" s="8"/>
      <c r="D665" s="8"/>
    </row>
    <row r="1048576" spans="1:1">
      <c r="A1048576" s="7"/>
    </row>
  </sheetData>
  <sortState ref="A4:S391">
    <sortCondition ref="B4:B391"/>
    <sortCondition descending="1" ref="C4:C391"/>
    <sortCondition ref="D4:D391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F4" sqref="F4"/>
    </sheetView>
  </sheetViews>
  <sheetFormatPr baseColWidth="10" defaultRowHeight="15" x14ac:dyDescent="0"/>
  <sheetData>
    <row r="1" spans="1:34" ht="20" thickBot="1">
      <c r="A1" s="44" t="s">
        <v>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2"/>
      <c r="AA1" s="12"/>
    </row>
    <row r="2" spans="1:34" ht="99" thickTop="1">
      <c r="A2" s="13" t="s">
        <v>25</v>
      </c>
      <c r="B2" s="13" t="s">
        <v>3</v>
      </c>
      <c r="C2" s="5" t="s">
        <v>26</v>
      </c>
      <c r="D2" s="14" t="s">
        <v>27</v>
      </c>
      <c r="E2" s="13" t="s">
        <v>28</v>
      </c>
      <c r="F2" s="5" t="s">
        <v>29</v>
      </c>
      <c r="G2" s="5" t="s">
        <v>27</v>
      </c>
      <c r="H2" s="13" t="s">
        <v>30</v>
      </c>
      <c r="I2" s="5" t="s">
        <v>31</v>
      </c>
      <c r="J2" s="5" t="s">
        <v>27</v>
      </c>
      <c r="K2" s="13" t="s">
        <v>32</v>
      </c>
      <c r="L2" s="5" t="s">
        <v>33</v>
      </c>
      <c r="M2" s="15" t="s">
        <v>27</v>
      </c>
      <c r="N2" s="13" t="s">
        <v>34</v>
      </c>
      <c r="O2" s="5" t="s">
        <v>35</v>
      </c>
      <c r="P2" s="5" t="s">
        <v>27</v>
      </c>
      <c r="Q2" s="13" t="s">
        <v>36</v>
      </c>
      <c r="R2" s="5" t="s">
        <v>37</v>
      </c>
      <c r="S2" s="15" t="s">
        <v>27</v>
      </c>
      <c r="T2" s="13" t="s">
        <v>38</v>
      </c>
      <c r="U2" s="5" t="s">
        <v>39</v>
      </c>
      <c r="V2" s="5" t="s">
        <v>27</v>
      </c>
      <c r="W2" s="13" t="s">
        <v>40</v>
      </c>
      <c r="X2" s="13" t="s">
        <v>41</v>
      </c>
      <c r="Y2" s="13" t="s">
        <v>42</v>
      </c>
      <c r="Z2" s="13" t="s">
        <v>43</v>
      </c>
      <c r="AA2" s="13" t="s">
        <v>44</v>
      </c>
      <c r="AB2" s="13" t="s">
        <v>45</v>
      </c>
      <c r="AC2" s="13" t="s">
        <v>46</v>
      </c>
      <c r="AD2" s="13" t="s">
        <v>47</v>
      </c>
      <c r="AE2" s="13" t="s">
        <v>48</v>
      </c>
      <c r="AF2" s="16" t="s">
        <v>49</v>
      </c>
      <c r="AG2" s="16" t="s">
        <v>50</v>
      </c>
      <c r="AH2" s="16" t="s">
        <v>51</v>
      </c>
    </row>
    <row r="3" spans="1:34">
      <c r="A3" s="17" t="s">
        <v>52</v>
      </c>
      <c r="B3" s="18">
        <v>43</v>
      </c>
      <c r="C3" s="19"/>
      <c r="D3" s="20"/>
      <c r="E3" s="18">
        <f>C3*4</f>
        <v>0</v>
      </c>
      <c r="F3" s="19"/>
      <c r="G3" s="21"/>
      <c r="H3" s="18">
        <f>F3*4</f>
        <v>0</v>
      </c>
      <c r="I3" s="19"/>
      <c r="J3" s="21"/>
      <c r="K3" s="18">
        <f>I3*4</f>
        <v>0</v>
      </c>
      <c r="L3" s="19"/>
      <c r="M3" s="21"/>
      <c r="N3" s="18">
        <f>L3*4</f>
        <v>0</v>
      </c>
      <c r="O3" s="19"/>
      <c r="P3" s="21"/>
      <c r="Q3" s="18">
        <f>O3*4</f>
        <v>0</v>
      </c>
      <c r="R3" s="19">
        <f>SUM('Plant Measurements'!P4+'Plant Measurements'!P5+'Plant Measurements'!P6+'Plant Measurements'!P7+'Plant Measurements'!P8+'Plant Measurements'!P9+'Plant Measurements'!P11)</f>
        <v>61.436001999999974</v>
      </c>
      <c r="S3" s="21"/>
      <c r="T3" s="18">
        <f>R3*4</f>
        <v>245.74400799999989</v>
      </c>
      <c r="U3" s="19"/>
      <c r="V3" s="21"/>
      <c r="W3" s="18">
        <f>U3*4</f>
        <v>0</v>
      </c>
      <c r="X3" s="18">
        <f>SUM(W3,T3,Q3,N3,K3,H3,E3)</f>
        <v>245.74400799999989</v>
      </c>
      <c r="Y3" s="22">
        <f>AVERAGE(X3:X7)</f>
        <v>183.43558239999999</v>
      </c>
      <c r="Z3" s="23">
        <f>E3+Q3</f>
        <v>0</v>
      </c>
      <c r="AA3" s="23">
        <f>W3+T3</f>
        <v>245.74400799999989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1033.7776099916925</v>
      </c>
    </row>
    <row r="4" spans="1:34">
      <c r="A4" s="24" t="s">
        <v>52</v>
      </c>
      <c r="B4" s="25">
        <v>40</v>
      </c>
      <c r="C4" s="26"/>
      <c r="D4" s="27"/>
      <c r="E4" s="18">
        <f t="shared" ref="E4:E52" si="0">C4*4</f>
        <v>0</v>
      </c>
      <c r="F4" s="26"/>
      <c r="G4" s="28"/>
      <c r="H4" s="18">
        <f>F4*4</f>
        <v>0</v>
      </c>
      <c r="I4" s="26"/>
      <c r="J4" s="28"/>
      <c r="K4" s="18">
        <f t="shared" ref="K4:K52" si="1">I4*4</f>
        <v>0</v>
      </c>
      <c r="L4" s="26"/>
      <c r="M4" s="28"/>
      <c r="N4" s="18">
        <f t="shared" ref="N4:N52" si="2">L4*4</f>
        <v>0</v>
      </c>
      <c r="O4" s="26"/>
      <c r="P4" s="28"/>
      <c r="Q4" s="18">
        <f t="shared" ref="Q4:Q52" si="3">O4*4</f>
        <v>0</v>
      </c>
      <c r="R4" s="26">
        <f>SUM('Plant Measurements'!P12+'Plant Measurements'!P14+'Plant Measurements'!P15)</f>
        <v>57.63401600000001</v>
      </c>
      <c r="S4" s="28"/>
      <c r="T4" s="18">
        <f t="shared" ref="T4:T52" si="4">R4*4</f>
        <v>230.53606400000004</v>
      </c>
      <c r="U4" s="26"/>
      <c r="V4" s="28"/>
      <c r="W4" s="18">
        <f t="shared" ref="W4:W52" si="5">U4*4</f>
        <v>0</v>
      </c>
      <c r="X4" s="25">
        <f t="shared" ref="X4:X52" si="6">SUM(W4,T4,Q4,N4,K4,H4,E4)</f>
        <v>230.53606400000004</v>
      </c>
      <c r="Y4" s="29"/>
      <c r="Z4" s="23">
        <f t="shared" ref="Z4:Z52" si="7">E4+Q4</f>
        <v>0</v>
      </c>
      <c r="AA4" s="23">
        <f t="shared" ref="AA4:AA52" si="8">W4+T4</f>
        <v>230.53606400000004</v>
      </c>
      <c r="AB4">
        <f t="shared" ref="AB4:AB52" si="9">IF(X4&gt;0,(Q4+E4)/X4," ")</f>
        <v>0</v>
      </c>
      <c r="AC4">
        <f t="shared" ref="AC4:AC52" si="10">IF(X4&gt;0,H4/X4," ")</f>
        <v>0</v>
      </c>
      <c r="AD4">
        <f t="shared" ref="AD4:AD52" si="11">IF(X4&gt;0,K4/X4," ")</f>
        <v>0</v>
      </c>
      <c r="AE4">
        <f t="shared" ref="AE4:AE52" si="12">IF(X4&gt;0,(W4+T4)/X4," ")</f>
        <v>1</v>
      </c>
      <c r="AF4">
        <f t="shared" ref="AF4:AF52" si="13">210336.2801/10</f>
        <v>21033.62801</v>
      </c>
      <c r="AG4">
        <f t="shared" ref="AG4:AG52" si="14">AF4/5</f>
        <v>4206.7256020000004</v>
      </c>
      <c r="AH4">
        <f t="shared" ref="AH4:AH52" si="15">(AG4*X4)/1000</f>
        <v>969.80196261311073</v>
      </c>
    </row>
    <row r="5" spans="1:34">
      <c r="A5" s="24" t="s">
        <v>52</v>
      </c>
      <c r="B5" s="25">
        <v>24</v>
      </c>
      <c r="C5" s="26"/>
      <c r="D5" s="27"/>
      <c r="E5" s="18">
        <f t="shared" si="0"/>
        <v>0</v>
      </c>
      <c r="F5" s="26"/>
      <c r="G5" s="28"/>
      <c r="H5" s="18">
        <f>F5*4</f>
        <v>0</v>
      </c>
      <c r="I5" s="26"/>
      <c r="J5" s="28"/>
      <c r="K5" s="18">
        <f t="shared" si="1"/>
        <v>0</v>
      </c>
      <c r="L5" s="26"/>
      <c r="M5" s="28"/>
      <c r="N5" s="18">
        <f t="shared" si="2"/>
        <v>0</v>
      </c>
      <c r="O5" s="26"/>
      <c r="P5" s="28"/>
      <c r="Q5" s="18">
        <f t="shared" si="3"/>
        <v>0</v>
      </c>
      <c r="R5" s="26"/>
      <c r="S5" s="28"/>
      <c r="T5" s="18">
        <f t="shared" si="4"/>
        <v>0</v>
      </c>
      <c r="U5" s="26"/>
      <c r="V5" s="28"/>
      <c r="W5" s="18">
        <f t="shared" si="5"/>
        <v>0</v>
      </c>
      <c r="X5" s="25">
        <f t="shared" si="6"/>
        <v>0</v>
      </c>
      <c r="Y5" s="29"/>
      <c r="Z5" s="23">
        <f t="shared" si="7"/>
        <v>0</v>
      </c>
      <c r="AA5" s="23">
        <f t="shared" si="8"/>
        <v>0</v>
      </c>
      <c r="AB5" t="str">
        <f t="shared" si="9"/>
        <v xml:space="preserve"> </v>
      </c>
      <c r="AC5" t="str">
        <f t="shared" si="10"/>
        <v xml:space="preserve"> </v>
      </c>
      <c r="AD5" t="str">
        <f t="shared" si="11"/>
        <v xml:space="preserve"> </v>
      </c>
      <c r="AE5" t="str">
        <f t="shared" si="12"/>
        <v xml:space="preserve"> </v>
      </c>
      <c r="AF5">
        <f t="shared" si="13"/>
        <v>21033.62801</v>
      </c>
      <c r="AG5">
        <f t="shared" si="14"/>
        <v>4206.7256020000004</v>
      </c>
      <c r="AH5">
        <f t="shared" si="15"/>
        <v>0</v>
      </c>
    </row>
    <row r="6" spans="1:34">
      <c r="A6" s="24" t="s">
        <v>52</v>
      </c>
      <c r="B6" s="25">
        <v>12</v>
      </c>
      <c r="C6" s="26"/>
      <c r="D6" s="27"/>
      <c r="E6" s="18">
        <f t="shared" si="0"/>
        <v>0</v>
      </c>
      <c r="F6" s="26"/>
      <c r="G6" s="28"/>
      <c r="H6" s="18">
        <f>F6*4</f>
        <v>0</v>
      </c>
      <c r="I6" s="26"/>
      <c r="J6" s="28"/>
      <c r="K6" s="18">
        <f t="shared" si="1"/>
        <v>0</v>
      </c>
      <c r="L6" s="26"/>
      <c r="M6" s="28"/>
      <c r="N6" s="18">
        <f t="shared" si="2"/>
        <v>0</v>
      </c>
      <c r="O6" s="26"/>
      <c r="P6" s="28"/>
      <c r="Q6" s="18">
        <f t="shared" si="3"/>
        <v>0</v>
      </c>
      <c r="R6" s="26">
        <f>SUM('Plant Measurements'!P18+'Plant Measurements'!P19+'Plant Measurements'!P20+'Plant Measurements'!P21)</f>
        <v>71.328147999999999</v>
      </c>
      <c r="S6" s="28"/>
      <c r="T6" s="18">
        <f t="shared" si="4"/>
        <v>285.312592</v>
      </c>
      <c r="U6" s="26"/>
      <c r="V6" s="28"/>
      <c r="W6" s="18">
        <f t="shared" si="5"/>
        <v>0</v>
      </c>
      <c r="X6" s="25">
        <f t="shared" si="6"/>
        <v>285.312592</v>
      </c>
      <c r="Y6" s="29"/>
      <c r="Z6" s="23">
        <f t="shared" si="7"/>
        <v>0</v>
      </c>
      <c r="AA6" s="23">
        <f t="shared" si="8"/>
        <v>285.312592</v>
      </c>
      <c r="AB6">
        <f t="shared" si="9"/>
        <v>0</v>
      </c>
      <c r="AC6">
        <f t="shared" si="10"/>
        <v>0</v>
      </c>
      <c r="AD6">
        <f t="shared" si="11"/>
        <v>0</v>
      </c>
      <c r="AE6">
        <f t="shared" si="12"/>
        <v>1</v>
      </c>
      <c r="AF6">
        <f t="shared" si="13"/>
        <v>21033.62801</v>
      </c>
      <c r="AG6">
        <f>AF6/5</f>
        <v>4206.7256020000004</v>
      </c>
      <c r="AH6">
        <f t="shared" si="15"/>
        <v>1200.2317853393804</v>
      </c>
    </row>
    <row r="7" spans="1:34">
      <c r="A7" s="30" t="s">
        <v>52</v>
      </c>
      <c r="B7" s="31">
        <v>5</v>
      </c>
      <c r="C7" s="32"/>
      <c r="D7" s="33"/>
      <c r="E7" s="18">
        <f t="shared" si="0"/>
        <v>0</v>
      </c>
      <c r="F7" s="32"/>
      <c r="G7" s="34"/>
      <c r="H7" s="18">
        <f>F7*4</f>
        <v>0</v>
      </c>
      <c r="I7" s="32"/>
      <c r="J7" s="34"/>
      <c r="K7" s="18">
        <f t="shared" si="1"/>
        <v>0</v>
      </c>
      <c r="L7" s="32"/>
      <c r="M7" s="34"/>
      <c r="N7" s="18">
        <f t="shared" si="2"/>
        <v>0</v>
      </c>
      <c r="O7" s="32"/>
      <c r="P7" s="34"/>
      <c r="Q7" s="18">
        <f t="shared" si="3"/>
        <v>0</v>
      </c>
      <c r="R7" s="32">
        <f>SUM('Plant Measurements'!P22+'Plant Measurements'!P23+'Plant Measurements'!P24)</f>
        <v>38.896312000000009</v>
      </c>
      <c r="S7" s="34"/>
      <c r="T7" s="18">
        <f t="shared" si="4"/>
        <v>155.58524800000004</v>
      </c>
      <c r="U7" s="32"/>
      <c r="V7" s="34"/>
      <c r="W7" s="18">
        <f t="shared" si="5"/>
        <v>0</v>
      </c>
      <c r="X7" s="31">
        <f t="shared" si="6"/>
        <v>155.58524800000004</v>
      </c>
      <c r="Y7" s="35"/>
      <c r="Z7" s="23">
        <f t="shared" si="7"/>
        <v>0</v>
      </c>
      <c r="AA7" s="23">
        <f t="shared" si="8"/>
        <v>155.58524800000004</v>
      </c>
      <c r="AB7">
        <f t="shared" si="9"/>
        <v>0</v>
      </c>
      <c r="AC7">
        <f t="shared" si="10"/>
        <v>0</v>
      </c>
      <c r="AD7">
        <f t="shared" si="11"/>
        <v>0</v>
      </c>
      <c r="AE7">
        <f t="shared" si="12"/>
        <v>1</v>
      </c>
      <c r="AF7">
        <f t="shared" si="13"/>
        <v>21033.62801</v>
      </c>
      <c r="AG7">
        <f t="shared" si="14"/>
        <v>4206.7256020000004</v>
      </c>
      <c r="AH7">
        <f t="shared" si="15"/>
        <v>654.5044460551195</v>
      </c>
    </row>
    <row r="8" spans="1:34">
      <c r="A8" s="17" t="s">
        <v>18</v>
      </c>
      <c r="B8" s="18">
        <v>40</v>
      </c>
      <c r="C8" s="19"/>
      <c r="D8" s="20"/>
      <c r="E8" s="18">
        <f t="shared" si="0"/>
        <v>0</v>
      </c>
      <c r="F8" s="19"/>
      <c r="G8" s="21"/>
      <c r="H8" s="18"/>
      <c r="I8" s="19"/>
      <c r="J8" s="21"/>
      <c r="K8" s="18">
        <f t="shared" si="1"/>
        <v>0</v>
      </c>
      <c r="L8" s="19"/>
      <c r="M8" s="21"/>
      <c r="N8" s="18">
        <f t="shared" si="2"/>
        <v>0</v>
      </c>
      <c r="O8" s="19"/>
      <c r="P8" s="21"/>
      <c r="Q8" s="18">
        <f t="shared" si="3"/>
        <v>0</v>
      </c>
      <c r="R8" s="19">
        <f>SUM('Plant Measurements'!P34+'Plant Measurements'!P35+'Plant Measurements'!P36)</f>
        <v>37.737222999999986</v>
      </c>
      <c r="S8" s="21"/>
      <c r="T8" s="18">
        <f t="shared" si="4"/>
        <v>150.94889199999994</v>
      </c>
      <c r="U8" s="19"/>
      <c r="V8" s="21"/>
      <c r="W8" s="18">
        <f t="shared" si="5"/>
        <v>0</v>
      </c>
      <c r="X8" s="18">
        <f t="shared" si="6"/>
        <v>150.94889199999994</v>
      </c>
      <c r="Y8" s="22">
        <f>AVERAGE(X8:X12)</f>
        <v>95.12713119999998</v>
      </c>
      <c r="Z8" s="23">
        <f t="shared" si="7"/>
        <v>0</v>
      </c>
      <c r="AA8" s="23">
        <f t="shared" si="8"/>
        <v>150.94889199999994</v>
      </c>
      <c r="AB8">
        <f t="shared" si="9"/>
        <v>0</v>
      </c>
      <c r="AC8">
        <f t="shared" si="10"/>
        <v>0</v>
      </c>
      <c r="AD8">
        <f t="shared" si="11"/>
        <v>0</v>
      </c>
      <c r="AE8">
        <f t="shared" si="12"/>
        <v>1</v>
      </c>
      <c r="AF8">
        <f t="shared" si="13"/>
        <v>21033.62801</v>
      </c>
      <c r="AG8">
        <f t="shared" si="14"/>
        <v>4206.7256020000004</v>
      </c>
      <c r="AH8">
        <f t="shared" si="15"/>
        <v>635.00056856993285</v>
      </c>
    </row>
    <row r="9" spans="1:34">
      <c r="A9" s="24" t="s">
        <v>18</v>
      </c>
      <c r="B9" s="25">
        <v>33</v>
      </c>
      <c r="C9" s="26"/>
      <c r="D9" s="27"/>
      <c r="E9" s="18">
        <f t="shared" si="0"/>
        <v>0</v>
      </c>
      <c r="F9" s="26"/>
      <c r="G9" s="28"/>
      <c r="H9" s="25">
        <f>F9*4</f>
        <v>0</v>
      </c>
      <c r="I9" s="26"/>
      <c r="J9" s="28"/>
      <c r="K9" s="18">
        <f t="shared" si="1"/>
        <v>0</v>
      </c>
      <c r="L9" s="26"/>
      <c r="M9" s="28"/>
      <c r="N9" s="18">
        <f t="shared" si="2"/>
        <v>0</v>
      </c>
      <c r="O9" s="26"/>
      <c r="P9" s="28"/>
      <c r="Q9" s="18">
        <f t="shared" si="3"/>
        <v>0</v>
      </c>
      <c r="R9" s="26"/>
      <c r="S9" s="28"/>
      <c r="T9" s="18">
        <f t="shared" si="4"/>
        <v>0</v>
      </c>
      <c r="U9" s="26"/>
      <c r="V9" s="28"/>
      <c r="W9" s="18">
        <f t="shared" si="5"/>
        <v>0</v>
      </c>
      <c r="X9" s="25">
        <f>SUM(W9,T9,Q9,N9,K9,H9,E9)</f>
        <v>0</v>
      </c>
      <c r="Y9" s="29"/>
      <c r="Z9" s="23">
        <f t="shared" si="7"/>
        <v>0</v>
      </c>
      <c r="AA9" s="23">
        <f t="shared" si="8"/>
        <v>0</v>
      </c>
      <c r="AB9" t="str">
        <f t="shared" si="9"/>
        <v xml:space="preserve"> </v>
      </c>
      <c r="AC9" t="str">
        <f t="shared" si="10"/>
        <v xml:space="preserve"> </v>
      </c>
      <c r="AD9" t="str">
        <f t="shared" si="11"/>
        <v xml:space="preserve"> </v>
      </c>
      <c r="AE9" t="str">
        <f t="shared" si="12"/>
        <v xml:space="preserve"> </v>
      </c>
      <c r="AF9">
        <f t="shared" si="13"/>
        <v>21033.62801</v>
      </c>
      <c r="AG9">
        <f t="shared" si="14"/>
        <v>4206.7256020000004</v>
      </c>
      <c r="AH9">
        <f t="shared" si="15"/>
        <v>0</v>
      </c>
    </row>
    <row r="10" spans="1:34">
      <c r="A10" s="24" t="s">
        <v>18</v>
      </c>
      <c r="B10" s="25">
        <v>26</v>
      </c>
      <c r="C10" s="26"/>
      <c r="D10" s="27"/>
      <c r="E10" s="18">
        <f t="shared" si="0"/>
        <v>0</v>
      </c>
      <c r="F10" s="26"/>
      <c r="G10" s="28"/>
      <c r="H10" s="25">
        <f t="shared" ref="H10:H42" si="16">F10*4</f>
        <v>0</v>
      </c>
      <c r="I10" s="26"/>
      <c r="J10" s="28"/>
      <c r="K10" s="18">
        <f t="shared" si="1"/>
        <v>0</v>
      </c>
      <c r="L10" s="26"/>
      <c r="M10" s="28"/>
      <c r="N10" s="18">
        <f t="shared" si="2"/>
        <v>0</v>
      </c>
      <c r="O10" s="26"/>
      <c r="P10" s="28"/>
      <c r="Q10" s="18">
        <f t="shared" si="3"/>
        <v>0</v>
      </c>
      <c r="R10" s="26"/>
      <c r="S10" s="28"/>
      <c r="T10" s="18">
        <f t="shared" si="4"/>
        <v>0</v>
      </c>
      <c r="U10" s="26"/>
      <c r="V10" s="28"/>
      <c r="W10" s="18">
        <f t="shared" si="5"/>
        <v>0</v>
      </c>
      <c r="X10" s="25">
        <f t="shared" si="6"/>
        <v>0</v>
      </c>
      <c r="Y10" s="29"/>
      <c r="Z10" s="23">
        <f t="shared" si="7"/>
        <v>0</v>
      </c>
      <c r="AA10" s="23">
        <f t="shared" si="8"/>
        <v>0</v>
      </c>
      <c r="AB10" t="str">
        <f t="shared" si="9"/>
        <v xml:space="preserve"> </v>
      </c>
      <c r="AC10" t="str">
        <f t="shared" si="10"/>
        <v xml:space="preserve"> </v>
      </c>
      <c r="AD10" t="str">
        <f t="shared" si="11"/>
        <v xml:space="preserve"> </v>
      </c>
      <c r="AE10" t="str">
        <f t="shared" si="12"/>
        <v xml:space="preserve"> </v>
      </c>
      <c r="AF10">
        <f t="shared" si="13"/>
        <v>21033.62801</v>
      </c>
      <c r="AG10">
        <f t="shared" si="14"/>
        <v>4206.7256020000004</v>
      </c>
      <c r="AH10">
        <f t="shared" si="15"/>
        <v>0</v>
      </c>
    </row>
    <row r="11" spans="1:34">
      <c r="A11" s="24" t="s">
        <v>18</v>
      </c>
      <c r="B11" s="25">
        <v>23</v>
      </c>
      <c r="C11" s="26"/>
      <c r="D11" s="27"/>
      <c r="E11" s="18">
        <f t="shared" si="0"/>
        <v>0</v>
      </c>
      <c r="F11" s="26"/>
      <c r="G11" s="28"/>
      <c r="H11" s="25">
        <f t="shared" si="16"/>
        <v>0</v>
      </c>
      <c r="I11" s="26"/>
      <c r="J11" s="28"/>
      <c r="K11" s="18">
        <f t="shared" si="1"/>
        <v>0</v>
      </c>
      <c r="L11" s="26"/>
      <c r="M11" s="28"/>
      <c r="N11" s="18">
        <f t="shared" si="2"/>
        <v>0</v>
      </c>
      <c r="O11" s="26"/>
      <c r="P11" s="28"/>
      <c r="Q11" s="18">
        <f t="shared" si="3"/>
        <v>0</v>
      </c>
      <c r="R11" s="26">
        <f>SUM('Plant Measurements'!P43+'Plant Measurements'!P44+'Plant Measurements'!P45)</f>
        <v>7.0888939999999891</v>
      </c>
      <c r="S11" s="28"/>
      <c r="T11" s="18">
        <f t="shared" si="4"/>
        <v>28.355575999999957</v>
      </c>
      <c r="U11" s="26"/>
      <c r="V11" s="28"/>
      <c r="W11" s="18">
        <f t="shared" si="5"/>
        <v>0</v>
      </c>
      <c r="X11" s="25">
        <f t="shared" si="6"/>
        <v>28.355575999999957</v>
      </c>
      <c r="Y11" s="29"/>
      <c r="Z11" s="23">
        <f t="shared" si="7"/>
        <v>0</v>
      </c>
      <c r="AA11" s="23">
        <f t="shared" si="8"/>
        <v>28.355575999999957</v>
      </c>
      <c r="AB11">
        <f t="shared" si="9"/>
        <v>0</v>
      </c>
      <c r="AC11">
        <f t="shared" si="10"/>
        <v>0</v>
      </c>
      <c r="AD11">
        <f t="shared" si="11"/>
        <v>0</v>
      </c>
      <c r="AE11">
        <f t="shared" si="12"/>
        <v>1</v>
      </c>
      <c r="AF11">
        <f t="shared" si="13"/>
        <v>21033.62801</v>
      </c>
      <c r="AG11">
        <f t="shared" si="14"/>
        <v>4206.7256020000004</v>
      </c>
      <c r="AH11">
        <f t="shared" si="15"/>
        <v>119.28412751865658</v>
      </c>
    </row>
    <row r="12" spans="1:34">
      <c r="A12" s="30" t="s">
        <v>18</v>
      </c>
      <c r="B12" s="31">
        <v>4</v>
      </c>
      <c r="C12" s="32"/>
      <c r="D12" s="33"/>
      <c r="E12" s="18">
        <f t="shared" si="0"/>
        <v>0</v>
      </c>
      <c r="F12" s="32"/>
      <c r="G12" s="34"/>
      <c r="H12" s="25">
        <f t="shared" si="16"/>
        <v>0</v>
      </c>
      <c r="I12" s="32"/>
      <c r="J12" s="34"/>
      <c r="K12" s="18">
        <f t="shared" si="1"/>
        <v>0</v>
      </c>
      <c r="L12" s="32"/>
      <c r="M12" s="34"/>
      <c r="N12" s="18">
        <f t="shared" si="2"/>
        <v>0</v>
      </c>
      <c r="O12" s="32"/>
      <c r="P12" s="34"/>
      <c r="Q12" s="18">
        <f t="shared" si="3"/>
        <v>0</v>
      </c>
      <c r="R12" s="32">
        <f>SUM('Plant Measurements'!P48+'Plant Measurements'!P50+'Plant Measurements'!P51+'Plant Measurements'!P52+'Plant Measurements'!P54+'Plant Measurements'!P55+'Plant Measurements'!P56+'Plant Measurements'!P57)</f>
        <v>74.082796999999999</v>
      </c>
      <c r="S12" s="34"/>
      <c r="T12" s="18">
        <f t="shared" si="4"/>
        <v>296.331188</v>
      </c>
      <c r="U12" s="32"/>
      <c r="V12" s="34"/>
      <c r="W12" s="18">
        <f t="shared" si="5"/>
        <v>0</v>
      </c>
      <c r="X12" s="31">
        <f t="shared" si="6"/>
        <v>296.331188</v>
      </c>
      <c r="Y12" s="35"/>
      <c r="Z12" s="23">
        <f t="shared" si="7"/>
        <v>0</v>
      </c>
      <c r="AA12" s="23">
        <f t="shared" si="8"/>
        <v>296.331188</v>
      </c>
      <c r="AB12">
        <f t="shared" si="9"/>
        <v>0</v>
      </c>
      <c r="AC12">
        <f t="shared" si="10"/>
        <v>0</v>
      </c>
      <c r="AD12">
        <f t="shared" si="11"/>
        <v>0</v>
      </c>
      <c r="AE12">
        <f t="shared" si="12"/>
        <v>1</v>
      </c>
      <c r="AF12">
        <f t="shared" si="13"/>
        <v>21033.62801</v>
      </c>
      <c r="AG12">
        <f t="shared" si="14"/>
        <v>4206.7256020000004</v>
      </c>
      <c r="AH12">
        <f t="shared" si="15"/>
        <v>1246.5839952306751</v>
      </c>
    </row>
    <row r="13" spans="1:34">
      <c r="A13" s="36" t="s">
        <v>16</v>
      </c>
      <c r="B13" s="37">
        <v>47</v>
      </c>
      <c r="C13" s="19"/>
      <c r="D13" s="20"/>
      <c r="E13" s="18">
        <f t="shared" si="0"/>
        <v>0</v>
      </c>
      <c r="F13" s="19"/>
      <c r="G13" s="21"/>
      <c r="H13" s="25">
        <f t="shared" si="16"/>
        <v>0</v>
      </c>
      <c r="I13" s="19"/>
      <c r="J13" s="21"/>
      <c r="K13" s="18">
        <f t="shared" si="1"/>
        <v>0</v>
      </c>
      <c r="L13" s="19"/>
      <c r="M13" s="21"/>
      <c r="N13" s="18">
        <f t="shared" si="2"/>
        <v>0</v>
      </c>
      <c r="O13" s="19"/>
      <c r="P13" s="21"/>
      <c r="Q13" s="18">
        <f t="shared" si="3"/>
        <v>0</v>
      </c>
      <c r="R13" s="19">
        <f>SUM('Plant Measurements'!P58+'Plant Measurements'!P59+'Plant Measurements'!P60+'Plant Measurements'!P61+'Plant Measurements'!P62)</f>
        <v>51.684528000000029</v>
      </c>
      <c r="S13" s="21"/>
      <c r="T13" s="18">
        <f t="shared" si="4"/>
        <v>206.73811200000011</v>
      </c>
      <c r="U13" s="19"/>
      <c r="V13" s="21"/>
      <c r="W13" s="18">
        <f t="shared" si="5"/>
        <v>0</v>
      </c>
      <c r="X13" s="18">
        <f t="shared" si="6"/>
        <v>206.73811200000011</v>
      </c>
      <c r="Y13" s="22">
        <f>AVERAGE(X13:X17)</f>
        <v>240.94725200000002</v>
      </c>
      <c r="Z13" s="23">
        <f t="shared" si="7"/>
        <v>0</v>
      </c>
      <c r="AA13" s="23">
        <f t="shared" si="8"/>
        <v>206.73811200000011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1</v>
      </c>
      <c r="AF13">
        <f t="shared" si="13"/>
        <v>21033.62801</v>
      </c>
      <c r="AG13">
        <f t="shared" si="14"/>
        <v>4206.7256020000004</v>
      </c>
      <c r="AH13">
        <f t="shared" si="15"/>
        <v>869.69050865954409</v>
      </c>
    </row>
    <row r="14" spans="1:34">
      <c r="A14" s="24" t="s">
        <v>16</v>
      </c>
      <c r="B14" s="25">
        <v>40</v>
      </c>
      <c r="C14" s="26"/>
      <c r="D14" s="27"/>
      <c r="E14" s="18">
        <f t="shared" si="0"/>
        <v>0</v>
      </c>
      <c r="F14" s="26"/>
      <c r="G14" s="28"/>
      <c r="H14" s="25">
        <f t="shared" si="16"/>
        <v>0</v>
      </c>
      <c r="I14" s="26"/>
      <c r="J14" s="28"/>
      <c r="K14" s="18">
        <f t="shared" si="1"/>
        <v>0</v>
      </c>
      <c r="L14" s="26"/>
      <c r="M14" s="28"/>
      <c r="N14" s="18">
        <f t="shared" si="2"/>
        <v>0</v>
      </c>
      <c r="O14" s="26"/>
      <c r="P14" s="28"/>
      <c r="Q14" s="18">
        <f t="shared" si="3"/>
        <v>0</v>
      </c>
      <c r="R14" s="26">
        <f>SUM('Plant Measurements'!P64+'Plant Measurements'!P65+'Plant Measurements'!P68+'Plant Measurements'!P69+'Plant Measurements'!P70+'Plant Measurements'!P71)</f>
        <v>71.933567000000011</v>
      </c>
      <c r="S14" s="28"/>
      <c r="T14" s="18">
        <f t="shared" si="4"/>
        <v>287.73426800000004</v>
      </c>
      <c r="U14" s="26"/>
      <c r="V14" s="28"/>
      <c r="W14" s="18">
        <f t="shared" si="5"/>
        <v>0</v>
      </c>
      <c r="X14" s="25">
        <f t="shared" si="6"/>
        <v>287.73426800000004</v>
      </c>
      <c r="Y14" s="29"/>
      <c r="Z14" s="23">
        <f t="shared" si="7"/>
        <v>0</v>
      </c>
      <c r="AA14" s="23">
        <f t="shared" si="8"/>
        <v>287.73426800000004</v>
      </c>
      <c r="AB14">
        <f t="shared" si="9"/>
        <v>0</v>
      </c>
      <c r="AC14">
        <f t="shared" si="10"/>
        <v>0</v>
      </c>
      <c r="AD14">
        <f t="shared" si="11"/>
        <v>0</v>
      </c>
      <c r="AE14">
        <f t="shared" si="12"/>
        <v>1</v>
      </c>
      <c r="AF14">
        <f t="shared" si="13"/>
        <v>21033.62801</v>
      </c>
      <c r="AG14">
        <f t="shared" si="14"/>
        <v>4206.7256020000004</v>
      </c>
      <c r="AH14">
        <f t="shared" si="15"/>
        <v>1210.4191117683297</v>
      </c>
    </row>
    <row r="15" spans="1:34">
      <c r="A15" s="24" t="s">
        <v>16</v>
      </c>
      <c r="B15" s="25">
        <v>28</v>
      </c>
      <c r="C15" s="26"/>
      <c r="D15" s="27"/>
      <c r="E15" s="18">
        <f t="shared" si="0"/>
        <v>0</v>
      </c>
      <c r="F15" s="26"/>
      <c r="G15" s="28"/>
      <c r="H15" s="25">
        <f t="shared" si="16"/>
        <v>0</v>
      </c>
      <c r="I15" s="26"/>
      <c r="J15" s="28"/>
      <c r="K15" s="18">
        <f t="shared" si="1"/>
        <v>0</v>
      </c>
      <c r="L15" s="26"/>
      <c r="M15" s="28"/>
      <c r="N15" s="18">
        <f t="shared" si="2"/>
        <v>0</v>
      </c>
      <c r="O15" s="26"/>
      <c r="P15" s="28"/>
      <c r="Q15" s="18">
        <f t="shared" si="3"/>
        <v>0</v>
      </c>
      <c r="R15" s="26">
        <f>SUM('Plant Measurements'!P72+'Plant Measurements'!P73+'Plant Measurements'!P75+'Plant Measurements'!P76+'Plant Measurements'!P77+'Plant Measurements'!P78+'Plant Measurements'!P79+'Plant Measurements'!P80)</f>
        <v>91.080013000000008</v>
      </c>
      <c r="S15" s="28"/>
      <c r="T15" s="18">
        <f t="shared" si="4"/>
        <v>364.32005200000003</v>
      </c>
      <c r="U15" s="26"/>
      <c r="V15" s="28"/>
      <c r="W15" s="18">
        <f t="shared" si="5"/>
        <v>0</v>
      </c>
      <c r="X15" s="25">
        <f t="shared" si="6"/>
        <v>364.32005200000003</v>
      </c>
      <c r="Y15" s="29"/>
      <c r="Z15" s="23">
        <f t="shared" si="7"/>
        <v>0</v>
      </c>
      <c r="AA15" s="23">
        <f t="shared" si="8"/>
        <v>364.32005200000003</v>
      </c>
      <c r="AB15">
        <f t="shared" si="9"/>
        <v>0</v>
      </c>
      <c r="AC15">
        <f t="shared" si="10"/>
        <v>0</v>
      </c>
      <c r="AD15">
        <f t="shared" si="11"/>
        <v>0</v>
      </c>
      <c r="AE15">
        <f t="shared" si="12"/>
        <v>1</v>
      </c>
      <c r="AF15">
        <f t="shared" si="13"/>
        <v>21033.62801</v>
      </c>
      <c r="AG15">
        <f t="shared" si="14"/>
        <v>4206.7256020000004</v>
      </c>
      <c r="AH15">
        <f t="shared" si="15"/>
        <v>1532.5944900703716</v>
      </c>
    </row>
    <row r="16" spans="1:34">
      <c r="A16" s="24" t="s">
        <v>16</v>
      </c>
      <c r="B16" s="25">
        <v>14</v>
      </c>
      <c r="C16" s="26"/>
      <c r="D16" s="27"/>
      <c r="E16" s="18">
        <f t="shared" si="0"/>
        <v>0</v>
      </c>
      <c r="F16" s="26"/>
      <c r="G16" s="28"/>
      <c r="H16" s="25">
        <f t="shared" si="16"/>
        <v>0</v>
      </c>
      <c r="I16" s="26"/>
      <c r="J16" s="28"/>
      <c r="K16" s="18">
        <f t="shared" si="1"/>
        <v>0</v>
      </c>
      <c r="L16" s="26"/>
      <c r="M16" s="28"/>
      <c r="N16" s="18">
        <f t="shared" si="2"/>
        <v>0</v>
      </c>
      <c r="O16" s="26"/>
      <c r="P16" s="28"/>
      <c r="Q16" s="18">
        <f t="shared" si="3"/>
        <v>0</v>
      </c>
      <c r="R16" s="26">
        <f>SUM('Plant Measurements'!P81+'Plant Measurements'!P82+'Plant Measurements'!P83+'Plant Measurements'!P84+'Plant Measurements'!P85)</f>
        <v>86.485956999999985</v>
      </c>
      <c r="S16" s="28"/>
      <c r="T16" s="18">
        <f t="shared" si="4"/>
        <v>345.94382799999994</v>
      </c>
      <c r="U16" s="26"/>
      <c r="V16" s="28"/>
      <c r="W16" s="18">
        <f t="shared" si="5"/>
        <v>0</v>
      </c>
      <c r="X16" s="25">
        <f t="shared" si="6"/>
        <v>345.94382799999994</v>
      </c>
      <c r="Y16" s="29"/>
      <c r="Z16" s="23">
        <f t="shared" si="7"/>
        <v>0</v>
      </c>
      <c r="AA16" s="23">
        <f t="shared" si="8"/>
        <v>345.94382799999994</v>
      </c>
      <c r="AB16">
        <f t="shared" si="9"/>
        <v>0</v>
      </c>
      <c r="AC16">
        <f t="shared" si="10"/>
        <v>0</v>
      </c>
      <c r="AD16">
        <f t="shared" si="11"/>
        <v>0</v>
      </c>
      <c r="AE16">
        <f t="shared" si="12"/>
        <v>1</v>
      </c>
      <c r="AF16">
        <f t="shared" si="13"/>
        <v>21033.62801</v>
      </c>
      <c r="AG16">
        <f t="shared" si="14"/>
        <v>4206.7256020000004</v>
      </c>
      <c r="AH16">
        <f t="shared" si="15"/>
        <v>1455.2907581014842</v>
      </c>
    </row>
    <row r="17" spans="1:34">
      <c r="A17" s="30" t="s">
        <v>16</v>
      </c>
      <c r="B17" s="31">
        <v>1</v>
      </c>
      <c r="C17" s="32"/>
      <c r="D17" s="33"/>
      <c r="E17" s="18">
        <f t="shared" si="0"/>
        <v>0</v>
      </c>
      <c r="F17" s="32"/>
      <c r="G17" s="34"/>
      <c r="H17" s="25">
        <f t="shared" si="16"/>
        <v>0</v>
      </c>
      <c r="I17" s="32"/>
      <c r="J17" s="34"/>
      <c r="K17" s="18">
        <f t="shared" si="1"/>
        <v>0</v>
      </c>
      <c r="L17" s="32"/>
      <c r="M17" s="34"/>
      <c r="N17" s="18">
        <f t="shared" si="2"/>
        <v>0</v>
      </c>
      <c r="O17" s="32"/>
      <c r="P17" s="34"/>
      <c r="Q17" s="18">
        <f t="shared" si="3"/>
        <v>0</v>
      </c>
      <c r="R17" s="32"/>
      <c r="S17" s="34"/>
      <c r="T17" s="18">
        <f t="shared" si="4"/>
        <v>0</v>
      </c>
      <c r="U17" s="32"/>
      <c r="V17" s="34"/>
      <c r="W17" s="18">
        <f t="shared" si="5"/>
        <v>0</v>
      </c>
      <c r="X17" s="31">
        <f t="shared" si="6"/>
        <v>0</v>
      </c>
      <c r="Y17" s="35"/>
      <c r="Z17" s="23">
        <f t="shared" si="7"/>
        <v>0</v>
      </c>
      <c r="AA17" s="23">
        <f t="shared" si="8"/>
        <v>0</v>
      </c>
      <c r="AB17" t="str">
        <f t="shared" si="9"/>
        <v xml:space="preserve"> </v>
      </c>
      <c r="AC17" t="str">
        <f t="shared" si="10"/>
        <v xml:space="preserve"> </v>
      </c>
      <c r="AD17" t="str">
        <f t="shared" si="11"/>
        <v xml:space="preserve"> </v>
      </c>
      <c r="AE17" t="str">
        <f t="shared" si="12"/>
        <v xml:space="preserve"> </v>
      </c>
      <c r="AF17">
        <f t="shared" si="13"/>
        <v>21033.62801</v>
      </c>
      <c r="AG17">
        <f t="shared" si="14"/>
        <v>4206.7256020000004</v>
      </c>
      <c r="AH17">
        <f t="shared" si="15"/>
        <v>0</v>
      </c>
    </row>
    <row r="18" spans="1:34">
      <c r="A18" s="17" t="s">
        <v>53</v>
      </c>
      <c r="B18" s="18">
        <v>37</v>
      </c>
      <c r="C18" s="19"/>
      <c r="D18" s="20"/>
      <c r="E18" s="18">
        <f t="shared" si="0"/>
        <v>0</v>
      </c>
      <c r="F18" s="19"/>
      <c r="G18" s="21"/>
      <c r="H18" s="25">
        <f t="shared" si="16"/>
        <v>0</v>
      </c>
      <c r="I18" s="19"/>
      <c r="J18" s="21"/>
      <c r="K18" s="18">
        <f t="shared" si="1"/>
        <v>0</v>
      </c>
      <c r="L18" s="19"/>
      <c r="M18" s="21"/>
      <c r="N18" s="18">
        <f t="shared" si="2"/>
        <v>0</v>
      </c>
      <c r="O18" s="19"/>
      <c r="P18" s="21"/>
      <c r="Q18" s="18">
        <f t="shared" si="3"/>
        <v>0</v>
      </c>
      <c r="R18" s="19">
        <f>SUM('Plant Measurements'!P87+'Plant Measurements'!P88+'Plant Measurements'!P89+'Plant Measurements'!P90+'Plant Measurements'!P91+'Plant Measurements'!P92+'Plant Measurements'!P93+'Plant Measurements'!P94+'Plant Measurements'!P96+'Plant Measurements'!P97+'Plant Measurements'!P98+'Plant Measurements'!P99+'Plant Measurements'!P100+'Plant Measurements'!P101+'Plant Measurements'!P102+'Plant Measurements'!P103)</f>
        <v>164.46854599999998</v>
      </c>
      <c r="S18" s="21"/>
      <c r="T18" s="18">
        <f t="shared" si="4"/>
        <v>657.8741839999999</v>
      </c>
      <c r="U18" s="19"/>
      <c r="V18" s="21"/>
      <c r="W18" s="18">
        <f t="shared" si="5"/>
        <v>0</v>
      </c>
      <c r="X18" s="18">
        <f t="shared" si="6"/>
        <v>657.8741839999999</v>
      </c>
      <c r="Y18" s="22">
        <f>AVERAGE(X18:X22)</f>
        <v>706.20745599999998</v>
      </c>
      <c r="Z18" s="23">
        <f t="shared" si="7"/>
        <v>0</v>
      </c>
      <c r="AA18" s="23">
        <f t="shared" si="8"/>
        <v>657.8741839999999</v>
      </c>
      <c r="AB18">
        <f t="shared" si="9"/>
        <v>0</v>
      </c>
      <c r="AC18">
        <f t="shared" si="10"/>
        <v>0</v>
      </c>
      <c r="AD18">
        <f t="shared" si="11"/>
        <v>0</v>
      </c>
      <c r="AE18">
        <f t="shared" si="12"/>
        <v>1</v>
      </c>
      <c r="AF18">
        <f t="shared" si="13"/>
        <v>21033.62801</v>
      </c>
      <c r="AG18">
        <f t="shared" si="14"/>
        <v>4206.7256020000004</v>
      </c>
      <c r="AH18">
        <f t="shared" si="15"/>
        <v>2767.4961727276586</v>
      </c>
    </row>
    <row r="19" spans="1:34">
      <c r="A19" s="24" t="s">
        <v>53</v>
      </c>
      <c r="B19" s="38">
        <v>33</v>
      </c>
      <c r="C19" s="26"/>
      <c r="D19" s="27"/>
      <c r="E19" s="18">
        <f t="shared" si="0"/>
        <v>0</v>
      </c>
      <c r="F19" s="26"/>
      <c r="G19" s="28"/>
      <c r="H19" s="25">
        <f t="shared" si="16"/>
        <v>0</v>
      </c>
      <c r="I19" s="26"/>
      <c r="J19" s="28"/>
      <c r="K19" s="18">
        <f t="shared" si="1"/>
        <v>0</v>
      </c>
      <c r="L19" s="26"/>
      <c r="M19" s="28"/>
      <c r="N19" s="18">
        <f t="shared" si="2"/>
        <v>0</v>
      </c>
      <c r="O19" s="26"/>
      <c r="P19" s="28"/>
      <c r="Q19" s="18">
        <f t="shared" si="3"/>
        <v>0</v>
      </c>
      <c r="R19" s="26">
        <f>SUM('Plant Measurements'!P104+'Plant Measurements'!P105+'Plant Measurements'!P106+'Plant Measurements'!P107+'Plant Measurements'!P108+'Plant Measurements'!P109+'Plant Measurements'!P111+'Plant Measurements'!P112+'Plant Measurements'!P113+'Plant Measurements'!P114+'Plant Measurements'!P115+'Plant Measurements'!P116+'Plant Measurements'!P117+'Plant Measurements'!P118+'Plant Measurements'!P119)</f>
        <v>191.94736900000001</v>
      </c>
      <c r="S19" s="28"/>
      <c r="T19" s="18">
        <f t="shared" si="4"/>
        <v>767.78947600000004</v>
      </c>
      <c r="U19" s="26"/>
      <c r="V19" s="28"/>
      <c r="W19" s="18">
        <f t="shared" si="5"/>
        <v>0</v>
      </c>
      <c r="X19" s="25">
        <f t="shared" si="6"/>
        <v>767.78947600000004</v>
      </c>
      <c r="Y19" s="29"/>
      <c r="Z19" s="23">
        <f t="shared" si="7"/>
        <v>0</v>
      </c>
      <c r="AA19" s="23">
        <f t="shared" si="8"/>
        <v>767.78947600000004</v>
      </c>
      <c r="AB19">
        <f t="shared" si="9"/>
        <v>0</v>
      </c>
      <c r="AC19">
        <f t="shared" si="10"/>
        <v>0</v>
      </c>
      <c r="AD19">
        <f t="shared" si="11"/>
        <v>0</v>
      </c>
      <c r="AE19">
        <f t="shared" si="12"/>
        <v>1</v>
      </c>
      <c r="AF19">
        <f t="shared" si="13"/>
        <v>21033.62801</v>
      </c>
      <c r="AG19">
        <f t="shared" si="14"/>
        <v>4206.7256020000004</v>
      </c>
      <c r="AH19">
        <f t="shared" si="15"/>
        <v>3229.8796456353653</v>
      </c>
    </row>
    <row r="20" spans="1:34">
      <c r="A20" s="24" t="s">
        <v>53</v>
      </c>
      <c r="B20" s="25">
        <v>29</v>
      </c>
      <c r="C20" s="26"/>
      <c r="D20" s="27"/>
      <c r="E20" s="18">
        <f t="shared" si="0"/>
        <v>0</v>
      </c>
      <c r="F20" s="26"/>
      <c r="G20" s="28"/>
      <c r="H20" s="25">
        <f t="shared" si="16"/>
        <v>0</v>
      </c>
      <c r="I20" s="26"/>
      <c r="J20" s="28"/>
      <c r="K20" s="18">
        <f t="shared" si="1"/>
        <v>0</v>
      </c>
      <c r="L20" s="26"/>
      <c r="M20" s="28"/>
      <c r="N20" s="18">
        <f t="shared" si="2"/>
        <v>0</v>
      </c>
      <c r="O20" s="26"/>
      <c r="P20" s="28"/>
      <c r="Q20" s="18">
        <f t="shared" si="3"/>
        <v>0</v>
      </c>
      <c r="R20" s="26">
        <f>SUM('Plant Measurements'!P120+'Plant Measurements'!P121+'Plant Measurements'!P123+'Plant Measurements'!P125+'Plant Measurements'!P126+'Plant Measurements'!P129+'Plant Measurements'!P130+'Plant Measurements'!P131+'Plant Measurements'!P128)</f>
        <v>137.54455300000001</v>
      </c>
      <c r="S20" s="28"/>
      <c r="T20" s="18">
        <f t="shared" si="4"/>
        <v>550.17821200000003</v>
      </c>
      <c r="U20" s="26"/>
      <c r="V20" s="28"/>
      <c r="W20" s="18">
        <f t="shared" si="5"/>
        <v>0</v>
      </c>
      <c r="X20" s="25">
        <f t="shared" si="6"/>
        <v>550.17821200000003</v>
      </c>
      <c r="Y20" s="29"/>
      <c r="Z20" s="23">
        <f t="shared" si="7"/>
        <v>0</v>
      </c>
      <c r="AA20" s="23">
        <f t="shared" si="8"/>
        <v>550.17821200000003</v>
      </c>
      <c r="AB20">
        <f t="shared" si="9"/>
        <v>0</v>
      </c>
      <c r="AC20">
        <f t="shared" si="10"/>
        <v>0</v>
      </c>
      <c r="AD20">
        <f t="shared" si="11"/>
        <v>0</v>
      </c>
      <c r="AE20">
        <f t="shared" si="12"/>
        <v>1</v>
      </c>
      <c r="AF20">
        <f t="shared" si="13"/>
        <v>21033.62801</v>
      </c>
      <c r="AG20">
        <f t="shared" si="14"/>
        <v>4206.7256020000004</v>
      </c>
      <c r="AH20">
        <f t="shared" si="15"/>
        <v>2314.4487700829841</v>
      </c>
    </row>
    <row r="21" spans="1:34">
      <c r="A21" s="24" t="s">
        <v>53</v>
      </c>
      <c r="B21" s="25">
        <v>15</v>
      </c>
      <c r="C21" s="26"/>
      <c r="D21" s="27"/>
      <c r="E21" s="18">
        <f t="shared" si="0"/>
        <v>0</v>
      </c>
      <c r="F21" s="26"/>
      <c r="G21" s="28"/>
      <c r="H21" s="25">
        <f t="shared" si="16"/>
        <v>0</v>
      </c>
      <c r="I21" s="26"/>
      <c r="J21" s="28"/>
      <c r="K21" s="18">
        <f t="shared" si="1"/>
        <v>0</v>
      </c>
      <c r="L21" s="26"/>
      <c r="M21" s="28"/>
      <c r="N21" s="18">
        <f t="shared" si="2"/>
        <v>0</v>
      </c>
      <c r="O21" s="26"/>
      <c r="P21" s="28"/>
      <c r="Q21" s="18">
        <f t="shared" si="3"/>
        <v>0</v>
      </c>
      <c r="R21" s="26">
        <f>SUM('Plant Measurements'!P132+'Plant Measurements'!P133+'Plant Measurements'!P134+'Plant Measurements'!P135+'Plant Measurements'!P136+'Plant Measurements'!P137+'Plant Measurements'!P138+'Plant Measurements'!P139)</f>
        <v>388.79885200000001</v>
      </c>
      <c r="S21" s="28"/>
      <c r="T21" s="18">
        <f t="shared" si="4"/>
        <v>1555.195408</v>
      </c>
      <c r="U21" s="26"/>
      <c r="V21" s="28"/>
      <c r="W21" s="18">
        <f t="shared" si="5"/>
        <v>0</v>
      </c>
      <c r="X21" s="25">
        <f t="shared" si="6"/>
        <v>1555.195408</v>
      </c>
      <c r="Y21" s="29"/>
      <c r="Z21" s="23">
        <f t="shared" si="7"/>
        <v>0</v>
      </c>
      <c r="AA21" s="23">
        <f t="shared" si="8"/>
        <v>1555.195408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1</v>
      </c>
      <c r="AF21">
        <f t="shared" si="13"/>
        <v>21033.62801</v>
      </c>
      <c r="AG21">
        <f t="shared" si="14"/>
        <v>4206.7256020000004</v>
      </c>
      <c r="AH21">
        <f t="shared" si="15"/>
        <v>6542.2803389464361</v>
      </c>
    </row>
    <row r="22" spans="1:34">
      <c r="A22" s="30" t="s">
        <v>53</v>
      </c>
      <c r="B22" s="25">
        <v>9</v>
      </c>
      <c r="C22" s="32"/>
      <c r="D22" s="33"/>
      <c r="E22" s="18">
        <f t="shared" si="0"/>
        <v>0</v>
      </c>
      <c r="F22" s="32"/>
      <c r="G22" s="34"/>
      <c r="H22" s="25">
        <f t="shared" si="16"/>
        <v>0</v>
      </c>
      <c r="I22" s="32"/>
      <c r="J22" s="34"/>
      <c r="K22" s="18">
        <f t="shared" si="1"/>
        <v>0</v>
      </c>
      <c r="L22" s="32"/>
      <c r="M22" s="34"/>
      <c r="N22" s="18">
        <f t="shared" si="2"/>
        <v>0</v>
      </c>
      <c r="O22" s="32"/>
      <c r="P22" s="34"/>
      <c r="Q22" s="18">
        <f t="shared" si="3"/>
        <v>0</v>
      </c>
      <c r="R22" s="32"/>
      <c r="S22" s="34"/>
      <c r="T22" s="18">
        <f t="shared" si="4"/>
        <v>0</v>
      </c>
      <c r="U22" s="32"/>
      <c r="V22" s="34"/>
      <c r="W22" s="18">
        <f t="shared" si="5"/>
        <v>0</v>
      </c>
      <c r="X22" s="31">
        <f t="shared" si="6"/>
        <v>0</v>
      </c>
      <c r="Y22" s="35"/>
      <c r="Z22" s="23">
        <f t="shared" si="7"/>
        <v>0</v>
      </c>
      <c r="AA22" s="23">
        <f t="shared" si="8"/>
        <v>0</v>
      </c>
      <c r="AB22" t="str">
        <f t="shared" si="9"/>
        <v xml:space="preserve"> </v>
      </c>
      <c r="AC22" t="str">
        <f t="shared" si="10"/>
        <v xml:space="preserve"> </v>
      </c>
      <c r="AD22" t="str">
        <f t="shared" si="11"/>
        <v xml:space="preserve"> </v>
      </c>
      <c r="AE22" t="str">
        <f t="shared" si="12"/>
        <v xml:space="preserve"> </v>
      </c>
      <c r="AF22">
        <f t="shared" si="13"/>
        <v>21033.62801</v>
      </c>
      <c r="AG22">
        <f t="shared" si="14"/>
        <v>4206.7256020000004</v>
      </c>
      <c r="AH22">
        <f t="shared" si="15"/>
        <v>0</v>
      </c>
    </row>
    <row r="23" spans="1:34">
      <c r="A23" s="17" t="s">
        <v>17</v>
      </c>
      <c r="B23" s="18">
        <v>38</v>
      </c>
      <c r="C23" s="19"/>
      <c r="D23" s="20"/>
      <c r="E23" s="18">
        <f t="shared" si="0"/>
        <v>0</v>
      </c>
      <c r="F23" s="19"/>
      <c r="G23" s="21"/>
      <c r="H23" s="25">
        <f t="shared" si="16"/>
        <v>0</v>
      </c>
      <c r="I23" s="19"/>
      <c r="J23" s="21"/>
      <c r="K23" s="18">
        <f t="shared" si="1"/>
        <v>0</v>
      </c>
      <c r="L23" s="19"/>
      <c r="M23" s="21"/>
      <c r="N23" s="18">
        <f t="shared" si="2"/>
        <v>0</v>
      </c>
      <c r="O23" s="19"/>
      <c r="P23" s="21"/>
      <c r="Q23" s="18">
        <f t="shared" si="3"/>
        <v>0</v>
      </c>
      <c r="R23" s="19">
        <f>SUM('Plant Measurements'!P141+'Plant Measurements'!P142+'Plant Measurements'!P143+'Plant Measurements'!P144+'Plant Measurements'!P146+'Plant Measurements'!P147+'Plant Measurements'!P148+'Plant Measurements'!P149+'Plant Measurements'!P150+'Plant Measurements'!P151+'Plant Measurements'!P152+'Plant Measurements'!P153+'Plant Measurements'!P154)</f>
        <v>227.58704699999996</v>
      </c>
      <c r="S23" s="21"/>
      <c r="T23" s="18">
        <f t="shared" si="4"/>
        <v>910.34818799999982</v>
      </c>
      <c r="U23" s="19"/>
      <c r="V23" s="21"/>
      <c r="W23" s="18">
        <f t="shared" si="5"/>
        <v>0</v>
      </c>
      <c r="X23" s="18">
        <f t="shared" si="6"/>
        <v>910.34818799999982</v>
      </c>
      <c r="Y23" s="22">
        <f>AVERAGE(X23:X27)</f>
        <v>459.94706639999993</v>
      </c>
      <c r="Z23" s="23">
        <f t="shared" si="7"/>
        <v>0</v>
      </c>
      <c r="AA23" s="23">
        <f t="shared" si="8"/>
        <v>910.34818799999982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1</v>
      </c>
      <c r="AF23">
        <f t="shared" si="13"/>
        <v>21033.62801</v>
      </c>
      <c r="AG23">
        <f t="shared" si="14"/>
        <v>4206.7256020000004</v>
      </c>
      <c r="AH23">
        <f t="shared" si="15"/>
        <v>3829.5850291939091</v>
      </c>
    </row>
    <row r="24" spans="1:34">
      <c r="A24" s="24" t="s">
        <v>17</v>
      </c>
      <c r="B24" s="25">
        <v>29</v>
      </c>
      <c r="C24" s="26"/>
      <c r="D24" s="27"/>
      <c r="E24" s="18">
        <f t="shared" si="0"/>
        <v>0</v>
      </c>
      <c r="F24" s="26"/>
      <c r="G24" s="28"/>
      <c r="H24" s="25">
        <f t="shared" si="16"/>
        <v>0</v>
      </c>
      <c r="I24" s="26"/>
      <c r="J24" s="28"/>
      <c r="K24" s="18">
        <f t="shared" si="1"/>
        <v>0</v>
      </c>
      <c r="L24" s="26"/>
      <c r="M24" s="28"/>
      <c r="N24" s="18">
        <f t="shared" si="2"/>
        <v>0</v>
      </c>
      <c r="O24" s="26"/>
      <c r="P24" s="28"/>
      <c r="Q24" s="18">
        <f t="shared" si="3"/>
        <v>0</v>
      </c>
      <c r="R24" s="26">
        <f>SUM('Plant Measurements'!P155+'Plant Measurements'!P156+'Plant Measurements'!P157+'Plant Measurements'!P158+'Plant Measurements'!P159+'Plant Measurements'!P160+'Plant Measurements'!P161+'Plant Measurements'!P162)</f>
        <v>111.40752400000001</v>
      </c>
      <c r="S24" s="28"/>
      <c r="T24" s="18">
        <f t="shared" si="4"/>
        <v>445.63009600000004</v>
      </c>
      <c r="U24" s="26"/>
      <c r="V24" s="28"/>
      <c r="W24" s="18">
        <f t="shared" si="5"/>
        <v>0</v>
      </c>
      <c r="X24" s="25">
        <f t="shared" si="6"/>
        <v>445.63009600000004</v>
      </c>
      <c r="Y24" s="29"/>
      <c r="Z24" s="23">
        <f t="shared" si="7"/>
        <v>0</v>
      </c>
      <c r="AA24" s="23">
        <f t="shared" si="8"/>
        <v>445.63009600000004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f t="shared" si="12"/>
        <v>1</v>
      </c>
      <c r="AF24">
        <f t="shared" si="13"/>
        <v>21033.62801</v>
      </c>
      <c r="AG24">
        <f t="shared" si="14"/>
        <v>4206.7256020000004</v>
      </c>
      <c r="AH24">
        <f t="shared" si="15"/>
        <v>1874.6435338649183</v>
      </c>
    </row>
    <row r="25" spans="1:34">
      <c r="A25" s="24" t="s">
        <v>17</v>
      </c>
      <c r="B25" s="25">
        <v>25</v>
      </c>
      <c r="C25" s="26"/>
      <c r="D25" s="27"/>
      <c r="E25" s="18">
        <f t="shared" si="0"/>
        <v>0</v>
      </c>
      <c r="F25" s="26"/>
      <c r="G25" s="28"/>
      <c r="H25" s="25">
        <f t="shared" si="16"/>
        <v>0</v>
      </c>
      <c r="I25" s="26"/>
      <c r="J25" s="28"/>
      <c r="K25" s="18">
        <f t="shared" si="1"/>
        <v>0</v>
      </c>
      <c r="L25" s="26"/>
      <c r="M25" s="28"/>
      <c r="N25" s="18">
        <f t="shared" si="2"/>
        <v>0</v>
      </c>
      <c r="O25" s="26"/>
      <c r="P25" s="28"/>
      <c r="Q25" s="18">
        <f t="shared" si="3"/>
        <v>0</v>
      </c>
      <c r="R25" s="26">
        <f>SUM('Plant Measurements'!P163+'Plant Measurements'!P164+'Plant Measurements'!P165+'Plant Measurements'!P167+'Plant Measurements'!P168+'Plant Measurements'!P169+'Plant Measurements'!P171)</f>
        <v>135.44423200000003</v>
      </c>
      <c r="S25" s="28"/>
      <c r="T25" s="18">
        <f t="shared" si="4"/>
        <v>541.77692800000011</v>
      </c>
      <c r="U25" s="26"/>
      <c r="V25" s="28"/>
      <c r="W25" s="18">
        <f t="shared" si="5"/>
        <v>0</v>
      </c>
      <c r="X25" s="25">
        <f t="shared" si="6"/>
        <v>541.77692800000011</v>
      </c>
      <c r="Y25" s="29"/>
      <c r="Z25" s="23">
        <f t="shared" si="7"/>
        <v>0</v>
      </c>
      <c r="AA25" s="23">
        <f t="shared" si="8"/>
        <v>541.77692800000011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1</v>
      </c>
      <c r="AF25">
        <f t="shared" si="13"/>
        <v>21033.62801</v>
      </c>
      <c r="AG25">
        <f t="shared" si="14"/>
        <v>4206.7256020000004</v>
      </c>
      <c r="AH25">
        <f t="shared" si="15"/>
        <v>2279.1068735905114</v>
      </c>
    </row>
    <row r="26" spans="1:34">
      <c r="A26" s="24" t="s">
        <v>17</v>
      </c>
      <c r="B26" s="25">
        <v>17</v>
      </c>
      <c r="C26" s="26"/>
      <c r="D26" s="27"/>
      <c r="E26" s="18">
        <f t="shared" si="0"/>
        <v>0</v>
      </c>
      <c r="F26" s="26"/>
      <c r="G26" s="28"/>
      <c r="H26" s="25">
        <f t="shared" si="16"/>
        <v>0</v>
      </c>
      <c r="I26" s="26"/>
      <c r="J26" s="28"/>
      <c r="K26" s="18">
        <f t="shared" si="1"/>
        <v>0</v>
      </c>
      <c r="L26" s="26"/>
      <c r="M26" s="28"/>
      <c r="N26" s="18">
        <f t="shared" si="2"/>
        <v>0</v>
      </c>
      <c r="O26" s="26"/>
      <c r="P26" s="28"/>
      <c r="Q26" s="18">
        <f t="shared" si="3"/>
        <v>0</v>
      </c>
      <c r="R26" s="26">
        <f>SUM('Plant Measurements'!P172+'Plant Measurements'!P173+'Plant Measurements'!P174+'Plant Measurements'!P175+'Plant Measurements'!P176+'Plant Measurements'!P177+'Plant Measurements'!P178+'Plant Measurements'!P179)</f>
        <v>81.399644999999964</v>
      </c>
      <c r="S26" s="28"/>
      <c r="T26" s="18">
        <f t="shared" si="4"/>
        <v>325.59857999999986</v>
      </c>
      <c r="U26" s="26"/>
      <c r="V26" s="28"/>
      <c r="W26" s="18">
        <f t="shared" si="5"/>
        <v>0</v>
      </c>
      <c r="X26" s="25">
        <f t="shared" si="6"/>
        <v>325.59857999999986</v>
      </c>
      <c r="Y26" s="29"/>
      <c r="Z26" s="23">
        <f t="shared" si="7"/>
        <v>0</v>
      </c>
      <c r="AA26" s="23">
        <f t="shared" si="8"/>
        <v>325.59857999999986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1</v>
      </c>
      <c r="AF26">
        <f t="shared" si="13"/>
        <v>21033.62801</v>
      </c>
      <c r="AG26">
        <f t="shared" si="14"/>
        <v>4206.7256020000004</v>
      </c>
      <c r="AH26">
        <f t="shared" si="15"/>
        <v>1369.7038824608446</v>
      </c>
    </row>
    <row r="27" spans="1:34">
      <c r="A27" s="30" t="s">
        <v>17</v>
      </c>
      <c r="B27" s="31">
        <v>3</v>
      </c>
      <c r="C27" s="32"/>
      <c r="D27" s="33"/>
      <c r="E27" s="18">
        <f t="shared" si="0"/>
        <v>0</v>
      </c>
      <c r="F27" s="32"/>
      <c r="G27" s="34"/>
      <c r="H27" s="25">
        <f t="shared" si="16"/>
        <v>0</v>
      </c>
      <c r="I27" s="32"/>
      <c r="J27" s="34"/>
      <c r="K27" s="18">
        <f t="shared" si="1"/>
        <v>0</v>
      </c>
      <c r="L27" s="32"/>
      <c r="M27" s="34"/>
      <c r="N27" s="18">
        <f t="shared" si="2"/>
        <v>0</v>
      </c>
      <c r="O27" s="32"/>
      <c r="P27" s="34"/>
      <c r="Q27" s="18">
        <f t="shared" si="3"/>
        <v>0</v>
      </c>
      <c r="R27" s="32">
        <f>SUM('Plant Measurements'!P207)</f>
        <v>4.4788320000000006</v>
      </c>
      <c r="S27" s="34"/>
      <c r="T27" s="18">
        <f t="shared" si="4"/>
        <v>17.915328000000002</v>
      </c>
      <c r="U27" s="32">
        <f>SUM('Plant Measurements'!P300:P301)</f>
        <v>14.616553</v>
      </c>
      <c r="V27" s="34"/>
      <c r="W27" s="18">
        <f t="shared" si="5"/>
        <v>58.466211999999999</v>
      </c>
      <c r="X27" s="31">
        <f t="shared" si="6"/>
        <v>76.381540000000001</v>
      </c>
      <c r="Y27" s="35"/>
      <c r="Z27" s="23">
        <f t="shared" si="7"/>
        <v>0</v>
      </c>
      <c r="AA27" s="23">
        <f t="shared" si="8"/>
        <v>76.381540000000001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1</v>
      </c>
      <c r="AF27">
        <f t="shared" si="13"/>
        <v>21033.62801</v>
      </c>
      <c r="AG27">
        <f t="shared" si="14"/>
        <v>4206.7256020000004</v>
      </c>
      <c r="AH27">
        <f t="shared" si="15"/>
        <v>321.31617983818711</v>
      </c>
    </row>
    <row r="28" spans="1:34">
      <c r="A28" s="17" t="s">
        <v>19</v>
      </c>
      <c r="B28" s="37">
        <v>31</v>
      </c>
      <c r="C28" s="19"/>
      <c r="D28" s="20"/>
      <c r="E28" s="18">
        <f t="shared" si="0"/>
        <v>0</v>
      </c>
      <c r="F28" s="19"/>
      <c r="G28" s="21"/>
      <c r="H28" s="25">
        <f t="shared" si="16"/>
        <v>0</v>
      </c>
      <c r="I28" s="19"/>
      <c r="J28" s="21"/>
      <c r="K28" s="18">
        <f t="shared" si="1"/>
        <v>0</v>
      </c>
      <c r="L28" s="19"/>
      <c r="M28" s="21"/>
      <c r="N28" s="18">
        <f t="shared" si="2"/>
        <v>0</v>
      </c>
      <c r="O28" s="19"/>
      <c r="P28" s="21"/>
      <c r="Q28" s="18">
        <f t="shared" si="3"/>
        <v>0</v>
      </c>
      <c r="R28" s="19">
        <f>SUM('Plant Measurements'!P208+'Plant Measurements'!P210+'Plant Measurements'!P211+'Plant Measurements'!P212+'Plant Measurements'!P213+'Plant Measurements'!P214+'Plant Measurements'!P215+'Plant Measurements'!P216)</f>
        <v>91.495895999999988</v>
      </c>
      <c r="S28" s="21"/>
      <c r="T28" s="18">
        <f t="shared" si="4"/>
        <v>365.98358399999995</v>
      </c>
      <c r="U28" s="19"/>
      <c r="V28" s="21"/>
      <c r="W28" s="18">
        <f t="shared" si="5"/>
        <v>0</v>
      </c>
      <c r="X28" s="18">
        <f t="shared" si="6"/>
        <v>365.98358399999995</v>
      </c>
      <c r="Y28" s="22">
        <f>AVERAGE(X28:X32)</f>
        <v>251.49108959999998</v>
      </c>
      <c r="Z28" s="23">
        <f t="shared" si="7"/>
        <v>0</v>
      </c>
      <c r="AA28" s="23">
        <f t="shared" si="8"/>
        <v>365.98358399999995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1</v>
      </c>
      <c r="AF28">
        <f t="shared" si="13"/>
        <v>21033.62801</v>
      </c>
      <c r="AG28">
        <f t="shared" si="14"/>
        <v>4206.7256020000004</v>
      </c>
      <c r="AH28">
        <f t="shared" si="15"/>
        <v>1539.5925127245175</v>
      </c>
    </row>
    <row r="29" spans="1:34">
      <c r="A29" s="24" t="s">
        <v>19</v>
      </c>
      <c r="B29" s="25">
        <v>29</v>
      </c>
      <c r="C29" s="26"/>
      <c r="D29" s="27"/>
      <c r="E29" s="18">
        <f t="shared" si="0"/>
        <v>0</v>
      </c>
      <c r="F29" s="26"/>
      <c r="G29" s="28"/>
      <c r="H29" s="25">
        <f t="shared" si="16"/>
        <v>0</v>
      </c>
      <c r="I29" s="26"/>
      <c r="J29" s="28"/>
      <c r="K29" s="18">
        <f t="shared" si="1"/>
        <v>0</v>
      </c>
      <c r="L29" s="26"/>
      <c r="M29" s="28"/>
      <c r="N29" s="18">
        <f t="shared" si="2"/>
        <v>0</v>
      </c>
      <c r="O29" s="26"/>
      <c r="P29" s="28"/>
      <c r="Q29" s="18">
        <f t="shared" si="3"/>
        <v>0</v>
      </c>
      <c r="R29" s="26">
        <f>SUM('Plant Measurements'!P217+'Plant Measurements'!P218+'Plant Measurements'!P219+'Plant Measurements'!P220+'Plant Measurements'!P221+'Plant Measurements'!P222)</f>
        <v>60.888732999999988</v>
      </c>
      <c r="S29" s="28"/>
      <c r="T29" s="18">
        <f t="shared" si="4"/>
        <v>243.55493199999995</v>
      </c>
      <c r="U29" s="26">
        <f>SUM('Plant Measurements'!P336)</f>
        <v>10.105604999999997</v>
      </c>
      <c r="V29" s="28"/>
      <c r="W29" s="18">
        <f t="shared" si="5"/>
        <v>40.422419999999988</v>
      </c>
      <c r="X29" s="25">
        <f t="shared" si="6"/>
        <v>283.97735199999994</v>
      </c>
      <c r="Y29" s="29"/>
      <c r="Z29" s="23">
        <f t="shared" si="7"/>
        <v>0</v>
      </c>
      <c r="AA29" s="23">
        <f t="shared" si="8"/>
        <v>283.97735199999994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1</v>
      </c>
      <c r="AF29">
        <f t="shared" si="13"/>
        <v>21033.62801</v>
      </c>
      <c r="AG29">
        <f t="shared" si="14"/>
        <v>4206.7256020000004</v>
      </c>
      <c r="AH29">
        <f t="shared" si="15"/>
        <v>1194.6147970465656</v>
      </c>
    </row>
    <row r="30" spans="1:34">
      <c r="A30" s="24" t="s">
        <v>19</v>
      </c>
      <c r="B30" s="38">
        <v>14</v>
      </c>
      <c r="C30" s="26"/>
      <c r="D30" s="27"/>
      <c r="E30" s="18">
        <f t="shared" si="0"/>
        <v>0</v>
      </c>
      <c r="F30" s="26"/>
      <c r="G30" s="28"/>
      <c r="H30" s="25">
        <f t="shared" si="16"/>
        <v>0</v>
      </c>
      <c r="I30" s="26"/>
      <c r="J30" s="28"/>
      <c r="K30" s="18">
        <f t="shared" si="1"/>
        <v>0</v>
      </c>
      <c r="L30" s="26"/>
      <c r="M30" s="28"/>
      <c r="N30" s="18">
        <f t="shared" si="2"/>
        <v>0</v>
      </c>
      <c r="O30" s="26"/>
      <c r="P30" s="28"/>
      <c r="Q30" s="18">
        <f t="shared" si="3"/>
        <v>0</v>
      </c>
      <c r="R30" s="26"/>
      <c r="S30" s="28"/>
      <c r="T30" s="18">
        <f t="shared" si="4"/>
        <v>0</v>
      </c>
      <c r="U30" s="26">
        <f>SUM('Plant Measurements'!P347:P350)</f>
        <v>18.591500999999994</v>
      </c>
      <c r="V30" s="28"/>
      <c r="W30" s="18">
        <f t="shared" si="5"/>
        <v>74.366003999999975</v>
      </c>
      <c r="X30" s="25">
        <f t="shared" si="6"/>
        <v>74.366003999999975</v>
      </c>
      <c r="Y30" s="29"/>
      <c r="Z30" s="23">
        <f t="shared" si="7"/>
        <v>0</v>
      </c>
      <c r="AA30" s="23">
        <f t="shared" si="8"/>
        <v>74.366003999999975</v>
      </c>
      <c r="AB30">
        <f t="shared" si="9"/>
        <v>0</v>
      </c>
      <c r="AC30">
        <f t="shared" si="10"/>
        <v>0</v>
      </c>
      <c r="AD30">
        <f t="shared" si="11"/>
        <v>0</v>
      </c>
      <c r="AE30">
        <f t="shared" si="12"/>
        <v>1</v>
      </c>
      <c r="AF30">
        <f t="shared" si="13"/>
        <v>21033.62801</v>
      </c>
      <c r="AG30">
        <f t="shared" si="14"/>
        <v>4206.7256020000004</v>
      </c>
      <c r="AH30">
        <f t="shared" si="15"/>
        <v>312.83737294523434</v>
      </c>
    </row>
    <row r="31" spans="1:34">
      <c r="A31" s="24" t="s">
        <v>19</v>
      </c>
      <c r="B31" s="25">
        <v>10</v>
      </c>
      <c r="C31" s="26"/>
      <c r="D31" s="27"/>
      <c r="E31" s="18">
        <f t="shared" si="0"/>
        <v>0</v>
      </c>
      <c r="F31" s="26"/>
      <c r="G31" s="28"/>
      <c r="H31" s="25">
        <f t="shared" si="16"/>
        <v>0</v>
      </c>
      <c r="I31" s="26"/>
      <c r="J31" s="28"/>
      <c r="K31" s="18">
        <f t="shared" si="1"/>
        <v>0</v>
      </c>
      <c r="L31" s="26"/>
      <c r="M31" s="28"/>
      <c r="N31" s="18">
        <f t="shared" si="2"/>
        <v>0</v>
      </c>
      <c r="O31" s="26"/>
      <c r="P31" s="28"/>
      <c r="Q31" s="18">
        <f t="shared" si="3"/>
        <v>0</v>
      </c>
      <c r="R31" s="26">
        <f>SUM('Plant Measurements'!P231+'Plant Measurements'!P232+'Plant Measurements'!P233+'Plant Measurements'!P234+'Plant Measurements'!P235+'Plant Measurements'!P236)</f>
        <v>80.159751999999997</v>
      </c>
      <c r="S31" s="28"/>
      <c r="T31" s="18">
        <f t="shared" si="4"/>
        <v>320.63900799999999</v>
      </c>
      <c r="U31" s="26">
        <f>SUM('Plant Measurements'!P362)</f>
        <v>9.6785860000000028</v>
      </c>
      <c r="V31" s="28"/>
      <c r="W31" s="18">
        <f t="shared" si="5"/>
        <v>38.714344000000011</v>
      </c>
      <c r="X31" s="25">
        <f t="shared" si="6"/>
        <v>359.35335199999997</v>
      </c>
      <c r="Y31" s="29"/>
      <c r="Z31" s="23">
        <f t="shared" si="7"/>
        <v>0</v>
      </c>
      <c r="AA31" s="23">
        <f t="shared" si="8"/>
        <v>359.35335199999997</v>
      </c>
      <c r="AB31">
        <f t="shared" si="9"/>
        <v>0</v>
      </c>
      <c r="AC31">
        <f t="shared" si="10"/>
        <v>0</v>
      </c>
      <c r="AD31">
        <f t="shared" si="11"/>
        <v>0</v>
      </c>
      <c r="AE31">
        <f t="shared" si="12"/>
        <v>1</v>
      </c>
      <c r="AF31">
        <f t="shared" si="13"/>
        <v>21033.62801</v>
      </c>
      <c r="AG31">
        <f t="shared" si="14"/>
        <v>4206.7256020000004</v>
      </c>
      <c r="AH31">
        <f t="shared" si="15"/>
        <v>1511.7009460229181</v>
      </c>
    </row>
    <row r="32" spans="1:34">
      <c r="A32" s="30" t="s">
        <v>19</v>
      </c>
      <c r="B32" s="25">
        <v>7</v>
      </c>
      <c r="C32" s="32"/>
      <c r="D32" s="33"/>
      <c r="E32" s="18">
        <f t="shared" si="0"/>
        <v>0</v>
      </c>
      <c r="F32" s="32"/>
      <c r="G32" s="34"/>
      <c r="H32" s="25">
        <f t="shared" si="16"/>
        <v>0</v>
      </c>
      <c r="I32" s="32"/>
      <c r="J32" s="34"/>
      <c r="K32" s="18">
        <f t="shared" si="1"/>
        <v>0</v>
      </c>
      <c r="L32" s="32"/>
      <c r="M32" s="34"/>
      <c r="N32" s="18">
        <f t="shared" si="2"/>
        <v>0</v>
      </c>
      <c r="O32" s="32"/>
      <c r="P32" s="34"/>
      <c r="Q32" s="18">
        <f t="shared" si="3"/>
        <v>0</v>
      </c>
      <c r="R32" s="32">
        <f>SUM('Plant Measurements'!P263)</f>
        <v>43.443788999999995</v>
      </c>
      <c r="S32" s="34"/>
      <c r="T32" s="18">
        <f t="shared" si="4"/>
        <v>173.77515599999998</v>
      </c>
      <c r="U32" s="32"/>
      <c r="V32" s="34"/>
      <c r="W32" s="18">
        <f t="shared" si="5"/>
        <v>0</v>
      </c>
      <c r="X32" s="31">
        <f t="shared" si="6"/>
        <v>173.77515599999998</v>
      </c>
      <c r="Y32" s="35"/>
      <c r="Z32" s="23">
        <f t="shared" si="7"/>
        <v>0</v>
      </c>
      <c r="AA32" s="23">
        <f t="shared" si="8"/>
        <v>173.77515599999998</v>
      </c>
      <c r="AB32">
        <f t="shared" si="9"/>
        <v>0</v>
      </c>
      <c r="AC32">
        <f t="shared" si="10"/>
        <v>0</v>
      </c>
      <c r="AD32">
        <f t="shared" si="11"/>
        <v>0</v>
      </c>
      <c r="AE32">
        <f t="shared" si="12"/>
        <v>1</v>
      </c>
      <c r="AF32">
        <f t="shared" si="13"/>
        <v>21033.62801</v>
      </c>
      <c r="AG32">
        <f t="shared" si="14"/>
        <v>4206.7256020000004</v>
      </c>
      <c r="AH32">
        <f t="shared" si="15"/>
        <v>731.02439773674394</v>
      </c>
    </row>
    <row r="33" spans="1:34">
      <c r="A33" s="17" t="s">
        <v>20</v>
      </c>
      <c r="B33" s="18">
        <v>43</v>
      </c>
      <c r="C33" s="19"/>
      <c r="D33" s="39"/>
      <c r="E33" s="18">
        <f t="shared" si="0"/>
        <v>0</v>
      </c>
      <c r="F33" s="19"/>
      <c r="G33" s="21"/>
      <c r="H33" s="25">
        <f t="shared" si="16"/>
        <v>0</v>
      </c>
      <c r="I33" s="19"/>
      <c r="J33" s="21"/>
      <c r="K33" s="18">
        <f t="shared" si="1"/>
        <v>0</v>
      </c>
      <c r="L33" s="19"/>
      <c r="M33" s="21"/>
      <c r="N33" s="18">
        <f t="shared" si="2"/>
        <v>0</v>
      </c>
      <c r="O33" s="19"/>
      <c r="P33" s="21"/>
      <c r="Q33" s="18">
        <f t="shared" si="3"/>
        <v>0</v>
      </c>
      <c r="R33" s="19"/>
      <c r="S33" s="21"/>
      <c r="T33" s="18">
        <f t="shared" si="4"/>
        <v>0</v>
      </c>
      <c r="U33" s="19">
        <f>SUM('Plant Measurements'!P265+'Plant Measurements'!P266+'Plant Measurements'!P267+'Plant Measurements'!P268+'Plant Measurements'!P269+'Plant Measurements'!P270)</f>
        <v>36.715643999999983</v>
      </c>
      <c r="V33" s="21"/>
      <c r="W33" s="18">
        <f t="shared" si="5"/>
        <v>146.86257599999993</v>
      </c>
      <c r="X33" s="18">
        <f t="shared" si="6"/>
        <v>146.86257599999993</v>
      </c>
      <c r="Y33" s="22">
        <f>AVERAGE(X33:X37)</f>
        <v>248.06756176000005</v>
      </c>
      <c r="Z33" s="23">
        <f t="shared" si="7"/>
        <v>0</v>
      </c>
      <c r="AA33" s="23">
        <f t="shared" si="8"/>
        <v>146.86257599999993</v>
      </c>
      <c r="AB33">
        <f t="shared" si="9"/>
        <v>0</v>
      </c>
      <c r="AC33">
        <f t="shared" si="10"/>
        <v>0</v>
      </c>
      <c r="AD33">
        <f t="shared" si="11"/>
        <v>0</v>
      </c>
      <c r="AE33">
        <f t="shared" si="12"/>
        <v>1</v>
      </c>
      <c r="AF33">
        <f t="shared" si="13"/>
        <v>21033.62801</v>
      </c>
      <c r="AG33">
        <f t="shared" si="14"/>
        <v>4206.7256020000004</v>
      </c>
      <c r="AH33">
        <f t="shared" si="15"/>
        <v>617.81055843487059</v>
      </c>
    </row>
    <row r="34" spans="1:34">
      <c r="A34" s="24" t="s">
        <v>20</v>
      </c>
      <c r="B34" s="25">
        <v>33</v>
      </c>
      <c r="C34" s="26"/>
      <c r="D34" s="27"/>
      <c r="E34" s="18">
        <f t="shared" si="0"/>
        <v>0</v>
      </c>
      <c r="F34" s="26"/>
      <c r="G34" s="28"/>
      <c r="H34" s="25">
        <f t="shared" si="16"/>
        <v>0</v>
      </c>
      <c r="I34" s="26"/>
      <c r="J34" s="28"/>
      <c r="K34" s="18">
        <f t="shared" si="1"/>
        <v>0</v>
      </c>
      <c r="L34" s="26"/>
      <c r="M34" s="28"/>
      <c r="N34" s="18">
        <f t="shared" si="2"/>
        <v>0</v>
      </c>
      <c r="O34" s="26"/>
      <c r="P34" s="28"/>
      <c r="Q34" s="18">
        <f t="shared" si="3"/>
        <v>0</v>
      </c>
      <c r="R34" s="26"/>
      <c r="S34" s="28"/>
      <c r="T34" s="18">
        <f t="shared" si="4"/>
        <v>0</v>
      </c>
      <c r="U34" s="26">
        <f>SUM('Plant Measurements'!P271+'Plant Measurements'!P272+'Plant Measurements'!P273+'Plant Measurements'!P274+'Plant Measurements'!P275+'Plant Measurements'!P276+'Plant Measurements'!P278+'Plant Measurements'!P279+'Plant Measurements'!P280)</f>
        <v>105.32931000000002</v>
      </c>
      <c r="V34" s="28"/>
      <c r="W34" s="18">
        <f t="shared" si="5"/>
        <v>421.31724000000008</v>
      </c>
      <c r="X34" s="25">
        <f t="shared" si="6"/>
        <v>421.31724000000008</v>
      </c>
      <c r="Y34" s="29"/>
      <c r="Z34" s="23">
        <f t="shared" si="7"/>
        <v>0</v>
      </c>
      <c r="AA34" s="23">
        <f t="shared" si="8"/>
        <v>421.31724000000008</v>
      </c>
      <c r="AB34">
        <f t="shared" si="9"/>
        <v>0</v>
      </c>
      <c r="AC34">
        <f t="shared" si="10"/>
        <v>0</v>
      </c>
      <c r="AD34">
        <f t="shared" si="11"/>
        <v>0</v>
      </c>
      <c r="AE34">
        <f t="shared" si="12"/>
        <v>1</v>
      </c>
      <c r="AF34">
        <f t="shared" si="13"/>
        <v>21033.62801</v>
      </c>
      <c r="AG34">
        <f t="shared" si="14"/>
        <v>4206.7256020000004</v>
      </c>
      <c r="AH34">
        <f t="shared" si="15"/>
        <v>1772.3660200719789</v>
      </c>
    </row>
    <row r="35" spans="1:34">
      <c r="A35" s="24" t="s">
        <v>20</v>
      </c>
      <c r="B35" s="25">
        <v>32</v>
      </c>
      <c r="C35" s="26"/>
      <c r="D35" s="27"/>
      <c r="E35" s="18">
        <f t="shared" si="0"/>
        <v>0</v>
      </c>
      <c r="F35" s="26"/>
      <c r="G35" s="28"/>
      <c r="H35" s="25">
        <f t="shared" si="16"/>
        <v>0</v>
      </c>
      <c r="I35" s="26"/>
      <c r="J35" s="28"/>
      <c r="K35" s="18">
        <f t="shared" si="1"/>
        <v>0</v>
      </c>
      <c r="L35" s="26"/>
      <c r="M35" s="28"/>
      <c r="N35" s="18">
        <f t="shared" si="2"/>
        <v>0</v>
      </c>
      <c r="O35" s="26"/>
      <c r="P35" s="28"/>
      <c r="Q35" s="18">
        <f t="shared" si="3"/>
        <v>0</v>
      </c>
      <c r="R35" s="26">
        <f>SUM('Plant Measurements'!P282+'Plant Measurements'!P283+'Plant Measurements'!P284+'Plant Measurements'!P285+'Plant Measurements'!P286+'Plant Measurements'!P287+'Plant Measurements'!P288+'Plant Measurements'!P289+'Plant Measurements'!P290+'Plant Measurements'!P292)</f>
        <v>130.82751199999998</v>
      </c>
      <c r="S35" s="28"/>
      <c r="T35" s="18">
        <f t="shared" si="4"/>
        <v>523.31004799999994</v>
      </c>
      <c r="U35" s="26"/>
      <c r="V35" s="28"/>
      <c r="W35" s="18">
        <f t="shared" si="5"/>
        <v>0</v>
      </c>
      <c r="X35" s="25">
        <f t="shared" si="6"/>
        <v>523.31004799999994</v>
      </c>
      <c r="Y35" s="29"/>
      <c r="Z35" s="23">
        <f t="shared" si="7"/>
        <v>0</v>
      </c>
      <c r="AA35" s="23">
        <f t="shared" si="8"/>
        <v>523.31004799999994</v>
      </c>
      <c r="AB35">
        <f t="shared" si="9"/>
        <v>0</v>
      </c>
      <c r="AC35">
        <f t="shared" si="10"/>
        <v>0</v>
      </c>
      <c r="AD35">
        <f t="shared" si="11"/>
        <v>0</v>
      </c>
      <c r="AE35">
        <f t="shared" si="12"/>
        <v>1</v>
      </c>
      <c r="AF35">
        <f t="shared" si="13"/>
        <v>21033.62801</v>
      </c>
      <c r="AG35">
        <f t="shared" si="14"/>
        <v>4206.7256020000004</v>
      </c>
      <c r="AH35">
        <f t="shared" si="15"/>
        <v>2201.4217767054488</v>
      </c>
    </row>
    <row r="36" spans="1:34">
      <c r="A36" s="24" t="s">
        <v>20</v>
      </c>
      <c r="B36" s="25">
        <v>2</v>
      </c>
      <c r="C36" s="26"/>
      <c r="D36" s="27"/>
      <c r="E36" s="18">
        <f t="shared" si="0"/>
        <v>0</v>
      </c>
      <c r="F36" s="26"/>
      <c r="G36" s="28"/>
      <c r="H36" s="25">
        <f t="shared" si="16"/>
        <v>0</v>
      </c>
      <c r="I36" s="26">
        <f>SUM('Plant Measurements'!P293+'Plant Measurements'!P294)</f>
        <v>14.480247200000001</v>
      </c>
      <c r="J36" s="28"/>
      <c r="K36" s="18">
        <f t="shared" si="1"/>
        <v>57.920988800000003</v>
      </c>
      <c r="L36" s="26"/>
      <c r="M36" s="28"/>
      <c r="N36" s="18">
        <f t="shared" si="2"/>
        <v>0</v>
      </c>
      <c r="O36" s="26"/>
      <c r="P36" s="28"/>
      <c r="Q36" s="18">
        <f t="shared" si="3"/>
        <v>0</v>
      </c>
      <c r="R36" s="26">
        <f>SUM('Plant Measurements'!P295+'Plant Measurements'!P296)</f>
        <v>22.731738999999997</v>
      </c>
      <c r="S36" s="28"/>
      <c r="T36" s="18">
        <f t="shared" si="4"/>
        <v>90.92695599999999</v>
      </c>
      <c r="U36" s="26"/>
      <c r="V36" s="28"/>
      <c r="W36" s="18">
        <f t="shared" si="5"/>
        <v>0</v>
      </c>
      <c r="X36" s="25">
        <f t="shared" si="6"/>
        <v>148.84794479999999</v>
      </c>
      <c r="Y36" s="29"/>
      <c r="Z36" s="23">
        <f t="shared" si="7"/>
        <v>0</v>
      </c>
      <c r="AA36" s="23">
        <f t="shared" si="8"/>
        <v>90.92695599999999</v>
      </c>
      <c r="AB36">
        <f t="shared" si="9"/>
        <v>0</v>
      </c>
      <c r="AC36">
        <f t="shared" si="10"/>
        <v>0</v>
      </c>
      <c r="AD36">
        <f t="shared" si="11"/>
        <v>0.38912857599630091</v>
      </c>
      <c r="AE36">
        <f t="shared" si="12"/>
        <v>0.61087142400369909</v>
      </c>
      <c r="AF36">
        <f t="shared" si="13"/>
        <v>21033.62801</v>
      </c>
      <c r="AG36">
        <f t="shared" si="14"/>
        <v>4206.7256020000004</v>
      </c>
      <c r="AH36">
        <f t="shared" si="15"/>
        <v>626.16246019524283</v>
      </c>
    </row>
    <row r="37" spans="1:34">
      <c r="A37" s="30" t="s">
        <v>20</v>
      </c>
      <c r="B37" s="31">
        <v>1</v>
      </c>
      <c r="C37" s="32"/>
      <c r="D37" s="33"/>
      <c r="E37" s="18">
        <f t="shared" si="0"/>
        <v>0</v>
      </c>
      <c r="F37" s="32"/>
      <c r="G37" s="34"/>
      <c r="H37" s="25">
        <f t="shared" si="16"/>
        <v>0</v>
      </c>
      <c r="I37" s="32"/>
      <c r="J37" s="34"/>
      <c r="K37" s="18">
        <f t="shared" si="1"/>
        <v>0</v>
      </c>
      <c r="L37" s="32"/>
      <c r="M37" s="34"/>
      <c r="N37" s="18">
        <f t="shared" si="2"/>
        <v>0</v>
      </c>
      <c r="O37" s="32"/>
      <c r="P37" s="34"/>
      <c r="Q37" s="18">
        <f t="shared" si="3"/>
        <v>0</v>
      </c>
      <c r="R37" s="32"/>
      <c r="S37" s="34"/>
      <c r="T37" s="18">
        <f t="shared" si="4"/>
        <v>0</v>
      </c>
      <c r="U37" s="32"/>
      <c r="V37" s="34"/>
      <c r="W37" s="18">
        <f t="shared" si="5"/>
        <v>0</v>
      </c>
      <c r="X37" s="31">
        <f t="shared" si="6"/>
        <v>0</v>
      </c>
      <c r="Y37" s="35"/>
      <c r="Z37" s="23">
        <f t="shared" si="7"/>
        <v>0</v>
      </c>
      <c r="AA37" s="23">
        <f t="shared" si="8"/>
        <v>0</v>
      </c>
      <c r="AB37" t="str">
        <f t="shared" si="9"/>
        <v xml:space="preserve"> </v>
      </c>
      <c r="AC37" t="str">
        <f t="shared" si="10"/>
        <v xml:space="preserve"> </v>
      </c>
      <c r="AD37" t="str">
        <f t="shared" si="11"/>
        <v xml:space="preserve"> </v>
      </c>
      <c r="AE37" t="str">
        <f t="shared" si="12"/>
        <v xml:space="preserve"> </v>
      </c>
      <c r="AF37">
        <f t="shared" si="13"/>
        <v>21033.62801</v>
      </c>
      <c r="AG37">
        <f t="shared" si="14"/>
        <v>4206.7256020000004</v>
      </c>
      <c r="AH37">
        <f t="shared" si="15"/>
        <v>0</v>
      </c>
    </row>
    <row r="38" spans="1:34">
      <c r="A38" s="17" t="s">
        <v>21</v>
      </c>
      <c r="B38" s="18">
        <v>50</v>
      </c>
      <c r="C38" s="19"/>
      <c r="D38" s="20"/>
      <c r="E38" s="18">
        <f t="shared" si="0"/>
        <v>0</v>
      </c>
      <c r="F38" s="19"/>
      <c r="G38" s="21"/>
      <c r="H38" s="25">
        <f t="shared" si="16"/>
        <v>0</v>
      </c>
      <c r="I38" s="19"/>
      <c r="J38" s="21"/>
      <c r="K38" s="18">
        <f t="shared" si="1"/>
        <v>0</v>
      </c>
      <c r="L38" s="19"/>
      <c r="M38" s="21"/>
      <c r="N38" s="18">
        <f t="shared" si="2"/>
        <v>0</v>
      </c>
      <c r="O38" s="19"/>
      <c r="P38" s="21"/>
      <c r="Q38" s="18">
        <f t="shared" si="3"/>
        <v>0</v>
      </c>
      <c r="R38" s="19">
        <f>SUM('Plant Measurements'!P298+'Plant Measurements'!P299+'Plant Measurements'!P301+'Plant Measurements'!P302+'Plant Measurements'!P303+'Plant Measurements'!P304+'Plant Measurements'!P305)</f>
        <v>93.171109999999985</v>
      </c>
      <c r="S38" s="21"/>
      <c r="T38" s="18">
        <f t="shared" si="4"/>
        <v>372.68443999999994</v>
      </c>
      <c r="U38" s="19"/>
      <c r="V38" s="21"/>
      <c r="W38" s="18">
        <f t="shared" si="5"/>
        <v>0</v>
      </c>
      <c r="X38" s="18">
        <f t="shared" si="6"/>
        <v>372.68443999999994</v>
      </c>
      <c r="Y38" s="22">
        <f>AVERAGE(X38:X42)</f>
        <v>251.84022159999989</v>
      </c>
      <c r="Z38" s="23">
        <f t="shared" si="7"/>
        <v>0</v>
      </c>
      <c r="AA38" s="23">
        <f t="shared" si="8"/>
        <v>372.68443999999994</v>
      </c>
      <c r="AB38">
        <f t="shared" si="9"/>
        <v>0</v>
      </c>
      <c r="AC38">
        <f t="shared" si="10"/>
        <v>0</v>
      </c>
      <c r="AD38">
        <f t="shared" si="11"/>
        <v>0</v>
      </c>
      <c r="AE38">
        <f t="shared" si="12"/>
        <v>1</v>
      </c>
      <c r="AF38">
        <f t="shared" si="13"/>
        <v>21033.62801</v>
      </c>
      <c r="AG38">
        <f t="shared" si="14"/>
        <v>4206.7256020000004</v>
      </c>
      <c r="AH38">
        <f t="shared" si="15"/>
        <v>1567.7811752150328</v>
      </c>
    </row>
    <row r="39" spans="1:34">
      <c r="A39" s="24" t="s">
        <v>21</v>
      </c>
      <c r="B39" s="25">
        <v>49</v>
      </c>
      <c r="C39" s="26"/>
      <c r="D39" s="27"/>
      <c r="E39" s="18">
        <f t="shared" si="0"/>
        <v>0</v>
      </c>
      <c r="F39" s="26"/>
      <c r="G39" s="28"/>
      <c r="H39" s="25">
        <f t="shared" si="16"/>
        <v>0</v>
      </c>
      <c r="I39" s="26"/>
      <c r="J39" s="28"/>
      <c r="K39" s="18">
        <f t="shared" si="1"/>
        <v>0</v>
      </c>
      <c r="L39" s="26"/>
      <c r="M39" s="28"/>
      <c r="N39" s="18">
        <f t="shared" si="2"/>
        <v>0</v>
      </c>
      <c r="O39" s="26"/>
      <c r="P39" s="28"/>
      <c r="Q39" s="18">
        <f t="shared" si="3"/>
        <v>0</v>
      </c>
      <c r="R39" s="26">
        <f>SUM('Plant Measurements'!P307+'Plant Measurements'!P308+'Plant Measurements'!P309+'Plant Measurements'!P310+'Plant Measurements'!P311+'Plant Measurements'!P312+'Plant Measurements'!P313+'Plant Measurements'!P314+'Plant Measurements'!P315)</f>
        <v>74.978458999999958</v>
      </c>
      <c r="S39" s="28"/>
      <c r="T39" s="18">
        <f t="shared" si="4"/>
        <v>299.91383599999983</v>
      </c>
      <c r="U39" s="26"/>
      <c r="V39" s="28"/>
      <c r="W39" s="18">
        <f t="shared" si="5"/>
        <v>0</v>
      </c>
      <c r="X39" s="25">
        <f t="shared" si="6"/>
        <v>299.91383599999983</v>
      </c>
      <c r="Y39" s="29"/>
      <c r="Z39" s="23">
        <f t="shared" si="7"/>
        <v>0</v>
      </c>
      <c r="AA39" s="23">
        <f t="shared" si="8"/>
        <v>299.91383599999983</v>
      </c>
      <c r="AB39">
        <f t="shared" si="9"/>
        <v>0</v>
      </c>
      <c r="AC39">
        <f t="shared" si="10"/>
        <v>0</v>
      </c>
      <c r="AD39">
        <f t="shared" si="11"/>
        <v>0</v>
      </c>
      <c r="AE39">
        <f t="shared" si="12"/>
        <v>1</v>
      </c>
      <c r="AF39">
        <f t="shared" si="13"/>
        <v>21033.62801</v>
      </c>
      <c r="AG39">
        <f t="shared" si="14"/>
        <v>4206.7256020000004</v>
      </c>
      <c r="AH39">
        <f t="shared" si="15"/>
        <v>1261.6552122952287</v>
      </c>
    </row>
    <row r="40" spans="1:34">
      <c r="A40" s="24" t="s">
        <v>21</v>
      </c>
      <c r="B40" s="25">
        <v>46</v>
      </c>
      <c r="C40" s="26"/>
      <c r="D40" s="27"/>
      <c r="E40" s="18">
        <f t="shared" si="0"/>
        <v>0</v>
      </c>
      <c r="F40" s="26"/>
      <c r="G40" s="28"/>
      <c r="H40" s="25">
        <f t="shared" si="16"/>
        <v>0</v>
      </c>
      <c r="I40" s="26"/>
      <c r="J40" s="28"/>
      <c r="K40" s="18">
        <f t="shared" si="1"/>
        <v>0</v>
      </c>
      <c r="L40" s="26"/>
      <c r="M40" s="28"/>
      <c r="N40" s="18">
        <f t="shared" si="2"/>
        <v>0</v>
      </c>
      <c r="O40" s="26"/>
      <c r="P40" s="28"/>
      <c r="Q40" s="18">
        <f t="shared" si="3"/>
        <v>0</v>
      </c>
      <c r="R40" s="26"/>
      <c r="S40" s="28"/>
      <c r="T40" s="18">
        <f t="shared" si="4"/>
        <v>0</v>
      </c>
      <c r="U40" s="26">
        <f>SUM('Plant Measurements'!P320+'Plant Measurements'!P321+'Plant Measurements'!P322)</f>
        <v>32.50232299999999</v>
      </c>
      <c r="V40" s="28"/>
      <c r="W40" s="18">
        <f t="shared" si="5"/>
        <v>130.00929199999996</v>
      </c>
      <c r="X40" s="25">
        <f t="shared" si="6"/>
        <v>130.00929199999996</v>
      </c>
      <c r="Y40" s="29"/>
      <c r="Z40" s="23">
        <f t="shared" si="7"/>
        <v>0</v>
      </c>
      <c r="AA40" s="23">
        <f t="shared" si="8"/>
        <v>130.00929199999996</v>
      </c>
      <c r="AB40">
        <f t="shared" si="9"/>
        <v>0</v>
      </c>
      <c r="AC40">
        <f t="shared" si="10"/>
        <v>0</v>
      </c>
      <c r="AD40">
        <f t="shared" si="11"/>
        <v>0</v>
      </c>
      <c r="AE40">
        <f t="shared" si="12"/>
        <v>1</v>
      </c>
      <c r="AF40">
        <f t="shared" si="13"/>
        <v>21033.62801</v>
      </c>
      <c r="AG40">
        <f t="shared" si="14"/>
        <v>4206.7256020000004</v>
      </c>
      <c r="AH40">
        <f t="shared" si="15"/>
        <v>546.9134171542936</v>
      </c>
    </row>
    <row r="41" spans="1:34">
      <c r="A41" s="24" t="s">
        <v>21</v>
      </c>
      <c r="B41" s="25">
        <v>44</v>
      </c>
      <c r="C41" s="26"/>
      <c r="D41" s="27"/>
      <c r="E41" s="18">
        <f t="shared" si="0"/>
        <v>0</v>
      </c>
      <c r="F41" s="26"/>
      <c r="G41" s="28"/>
      <c r="H41" s="25">
        <f t="shared" si="16"/>
        <v>0</v>
      </c>
      <c r="I41" s="26"/>
      <c r="J41" s="28"/>
      <c r="K41" s="18">
        <f t="shared" si="1"/>
        <v>0</v>
      </c>
      <c r="L41" s="26"/>
      <c r="M41" s="28"/>
      <c r="N41" s="18">
        <f t="shared" si="2"/>
        <v>0</v>
      </c>
      <c r="O41" s="26"/>
      <c r="P41" s="28"/>
      <c r="Q41" s="18">
        <f t="shared" si="3"/>
        <v>0</v>
      </c>
      <c r="R41" s="26"/>
      <c r="S41" s="28"/>
      <c r="T41" s="18">
        <f t="shared" si="4"/>
        <v>0</v>
      </c>
      <c r="U41" s="26">
        <f>SUM('Plant Measurements'!P323+'Plant Measurements'!P324+'Plant Measurements'!P326+'Plant Measurements'!P325+'Plant Measurements'!P327)</f>
        <v>56.445659999999997</v>
      </c>
      <c r="V41" s="28"/>
      <c r="W41" s="18">
        <f t="shared" si="5"/>
        <v>225.78263999999999</v>
      </c>
      <c r="X41" s="25">
        <f t="shared" si="6"/>
        <v>225.78263999999999</v>
      </c>
      <c r="Y41" s="29"/>
      <c r="Z41" s="23">
        <f t="shared" si="7"/>
        <v>0</v>
      </c>
      <c r="AA41" s="23">
        <f t="shared" si="8"/>
        <v>225.78263999999999</v>
      </c>
      <c r="AB41">
        <f t="shared" si="9"/>
        <v>0</v>
      </c>
      <c r="AC41">
        <f t="shared" si="10"/>
        <v>0</v>
      </c>
      <c r="AD41">
        <f t="shared" si="11"/>
        <v>0</v>
      </c>
      <c r="AE41">
        <f t="shared" si="12"/>
        <v>1</v>
      </c>
      <c r="AF41">
        <f t="shared" si="13"/>
        <v>21033.62801</v>
      </c>
      <c r="AG41">
        <f t="shared" si="14"/>
        <v>4206.7256020000004</v>
      </c>
      <c r="AH41">
        <f t="shared" si="15"/>
        <v>949.80561217514935</v>
      </c>
    </row>
    <row r="42" spans="1:34">
      <c r="A42" s="30" t="s">
        <v>21</v>
      </c>
      <c r="B42" s="31">
        <v>27</v>
      </c>
      <c r="C42" s="32"/>
      <c r="D42" s="33"/>
      <c r="E42" s="18">
        <f>C42*4</f>
        <v>0</v>
      </c>
      <c r="F42" s="32"/>
      <c r="G42" s="34"/>
      <c r="H42" s="25">
        <f t="shared" si="16"/>
        <v>0</v>
      </c>
      <c r="I42" s="32"/>
      <c r="J42" s="34"/>
      <c r="K42" s="18">
        <f t="shared" si="1"/>
        <v>0</v>
      </c>
      <c r="L42" s="32"/>
      <c r="M42" s="34"/>
      <c r="N42" s="18">
        <f t="shared" si="2"/>
        <v>0</v>
      </c>
      <c r="O42" s="32"/>
      <c r="P42" s="34"/>
      <c r="Q42" s="18">
        <f t="shared" si="3"/>
        <v>0</v>
      </c>
      <c r="R42" s="32">
        <f>SUM('Plant Measurements'!P328+'Plant Measurements'!P329+'Plant Measurements'!P330+'Plant Measurements'!P333+'Plant Measurements'!P334+'Plant Measurements'!P336+'Plant Measurements'!P337)</f>
        <v>57.70272499999998</v>
      </c>
      <c r="S42" s="34"/>
      <c r="T42" s="18">
        <f t="shared" si="4"/>
        <v>230.81089999999992</v>
      </c>
      <c r="U42" s="32"/>
      <c r="V42" s="34"/>
      <c r="W42" s="18">
        <f t="shared" si="5"/>
        <v>0</v>
      </c>
      <c r="X42" s="31">
        <f t="shared" si="6"/>
        <v>230.81089999999992</v>
      </c>
      <c r="Y42" s="35"/>
      <c r="Z42" s="23">
        <f t="shared" si="7"/>
        <v>0</v>
      </c>
      <c r="AA42" s="23">
        <f t="shared" si="8"/>
        <v>230.81089999999992</v>
      </c>
      <c r="AB42">
        <f t="shared" si="9"/>
        <v>0</v>
      </c>
      <c r="AC42">
        <f t="shared" si="10"/>
        <v>0</v>
      </c>
      <c r="AD42">
        <f t="shared" si="11"/>
        <v>0</v>
      </c>
      <c r="AE42">
        <f t="shared" si="12"/>
        <v>1</v>
      </c>
      <c r="AF42">
        <f t="shared" si="13"/>
        <v>21033.62801</v>
      </c>
      <c r="AG42">
        <f t="shared" si="14"/>
        <v>4206.7256020000004</v>
      </c>
      <c r="AH42">
        <f t="shared" si="15"/>
        <v>970.95812225066163</v>
      </c>
    </row>
    <row r="43" spans="1:34">
      <c r="A43" s="17" t="s">
        <v>54</v>
      </c>
      <c r="B43" s="18">
        <v>45</v>
      </c>
      <c r="C43" s="19"/>
      <c r="D43" s="40"/>
      <c r="E43" s="18">
        <f>C43*4</f>
        <v>0</v>
      </c>
      <c r="F43" s="19"/>
      <c r="G43" s="21"/>
      <c r="H43" s="25">
        <f t="shared" ref="H43:H52" si="17">F43*4</f>
        <v>0</v>
      </c>
      <c r="I43" s="19"/>
      <c r="J43" s="21"/>
      <c r="K43" s="18">
        <f t="shared" si="1"/>
        <v>0</v>
      </c>
      <c r="L43" s="19"/>
      <c r="M43" s="21"/>
      <c r="N43" s="18">
        <f t="shared" si="2"/>
        <v>0</v>
      </c>
      <c r="O43" s="19"/>
      <c r="P43" s="21"/>
      <c r="Q43" s="18">
        <f t="shared" si="3"/>
        <v>0</v>
      </c>
      <c r="R43" s="19">
        <f>SUM('Plant Measurements'!P338+'Plant Measurements'!P339+'Plant Measurements'!P340+'Plant Measurements'!P341+'Plant Measurements'!P342)</f>
        <v>81.928111999999985</v>
      </c>
      <c r="S43" s="21"/>
      <c r="T43" s="18">
        <f t="shared" si="4"/>
        <v>327.71244799999994</v>
      </c>
      <c r="U43" s="19"/>
      <c r="V43" s="20"/>
      <c r="W43" s="18">
        <f t="shared" si="5"/>
        <v>0</v>
      </c>
      <c r="X43" s="18">
        <f t="shared" si="6"/>
        <v>327.71244799999994</v>
      </c>
      <c r="Y43" s="22">
        <f>AVERAGE(X43:X47)</f>
        <v>289.06593520000001</v>
      </c>
      <c r="Z43" s="23">
        <f t="shared" si="7"/>
        <v>0</v>
      </c>
      <c r="AA43" s="23">
        <f t="shared" si="8"/>
        <v>327.71244799999994</v>
      </c>
      <c r="AB43">
        <f t="shared" si="9"/>
        <v>0</v>
      </c>
      <c r="AC43">
        <f t="shared" si="10"/>
        <v>0</v>
      </c>
      <c r="AD43">
        <f t="shared" si="11"/>
        <v>0</v>
      </c>
      <c r="AE43">
        <f t="shared" si="12"/>
        <v>1</v>
      </c>
      <c r="AF43">
        <f t="shared" si="13"/>
        <v>21033.62801</v>
      </c>
      <c r="AG43">
        <f t="shared" si="14"/>
        <v>4206.7256020000004</v>
      </c>
      <c r="AH43">
        <f t="shared" si="15"/>
        <v>1378.5963450956936</v>
      </c>
    </row>
    <row r="44" spans="1:34">
      <c r="A44" s="24" t="s">
        <v>54</v>
      </c>
      <c r="B44" s="25">
        <v>28</v>
      </c>
      <c r="C44" s="26"/>
      <c r="D44" s="27"/>
      <c r="E44" s="18">
        <f>C44*4</f>
        <v>0</v>
      </c>
      <c r="F44" s="26"/>
      <c r="G44" s="28"/>
      <c r="H44" s="25">
        <f t="shared" si="17"/>
        <v>0</v>
      </c>
      <c r="I44" s="26"/>
      <c r="J44" s="28"/>
      <c r="K44" s="18">
        <f t="shared" si="1"/>
        <v>0</v>
      </c>
      <c r="L44" s="26"/>
      <c r="M44" s="28"/>
      <c r="N44" s="18">
        <f t="shared" si="2"/>
        <v>0</v>
      </c>
      <c r="O44" s="26"/>
      <c r="P44" s="28"/>
      <c r="Q44" s="18">
        <f t="shared" si="3"/>
        <v>0</v>
      </c>
      <c r="R44" s="26"/>
      <c r="S44" s="28"/>
      <c r="T44" s="18">
        <f t="shared" si="4"/>
        <v>0</v>
      </c>
      <c r="U44" s="26"/>
      <c r="V44" s="28"/>
      <c r="W44" s="18">
        <f t="shared" si="5"/>
        <v>0</v>
      </c>
      <c r="X44" s="25">
        <f t="shared" si="6"/>
        <v>0</v>
      </c>
      <c r="Y44" s="29"/>
      <c r="Z44" s="23">
        <f t="shared" si="7"/>
        <v>0</v>
      </c>
      <c r="AA44" s="23">
        <f t="shared" si="8"/>
        <v>0</v>
      </c>
      <c r="AB44" t="str">
        <f t="shared" si="9"/>
        <v xml:space="preserve"> </v>
      </c>
      <c r="AC44" t="str">
        <f t="shared" si="10"/>
        <v xml:space="preserve"> </v>
      </c>
      <c r="AD44" t="str">
        <f t="shared" si="11"/>
        <v xml:space="preserve"> </v>
      </c>
      <c r="AE44" t="str">
        <f t="shared" si="12"/>
        <v xml:space="preserve"> </v>
      </c>
      <c r="AF44">
        <f t="shared" si="13"/>
        <v>21033.62801</v>
      </c>
      <c r="AG44">
        <f t="shared" si="14"/>
        <v>4206.7256020000004</v>
      </c>
      <c r="AH44">
        <f t="shared" si="15"/>
        <v>0</v>
      </c>
    </row>
    <row r="45" spans="1:34">
      <c r="A45" s="24" t="s">
        <v>54</v>
      </c>
      <c r="B45" s="25">
        <v>22</v>
      </c>
      <c r="C45" s="26"/>
      <c r="D45" s="27"/>
      <c r="E45" s="18">
        <f>C45*4</f>
        <v>0</v>
      </c>
      <c r="F45" s="26"/>
      <c r="G45" s="28"/>
      <c r="H45" s="25">
        <f t="shared" si="17"/>
        <v>0</v>
      </c>
      <c r="I45" s="26"/>
      <c r="J45" s="28"/>
      <c r="K45" s="18">
        <f t="shared" si="1"/>
        <v>0</v>
      </c>
      <c r="L45" s="26"/>
      <c r="M45" s="28"/>
      <c r="N45" s="18">
        <f t="shared" si="2"/>
        <v>0</v>
      </c>
      <c r="O45" s="26"/>
      <c r="P45" s="28"/>
      <c r="Q45" s="18">
        <f t="shared" si="3"/>
        <v>0</v>
      </c>
      <c r="R45" s="26"/>
      <c r="S45" s="28"/>
      <c r="T45" s="18">
        <f t="shared" si="4"/>
        <v>0</v>
      </c>
      <c r="U45" s="26">
        <f>SUM('Plant Measurements'!P344+'Plant Measurements'!P345+'Plant Measurements'!P346+'Plant Measurements'!P348+'Plant Measurements'!P349)</f>
        <v>66.823064999999986</v>
      </c>
      <c r="V45" s="28"/>
      <c r="W45" s="18">
        <f t="shared" si="5"/>
        <v>267.29225999999994</v>
      </c>
      <c r="X45" s="25">
        <f t="shared" si="6"/>
        <v>267.29225999999994</v>
      </c>
      <c r="Y45" s="29"/>
      <c r="Z45" s="23">
        <f t="shared" si="7"/>
        <v>0</v>
      </c>
      <c r="AA45" s="23">
        <f t="shared" si="8"/>
        <v>267.29225999999994</v>
      </c>
      <c r="AB45">
        <f t="shared" si="9"/>
        <v>0</v>
      </c>
      <c r="AC45">
        <f t="shared" si="10"/>
        <v>0</v>
      </c>
      <c r="AD45">
        <f t="shared" si="11"/>
        <v>0</v>
      </c>
      <c r="AE45">
        <f t="shared" si="12"/>
        <v>1</v>
      </c>
      <c r="AF45">
        <f t="shared" si="13"/>
        <v>21033.62801</v>
      </c>
      <c r="AG45">
        <f t="shared" si="14"/>
        <v>4206.7256020000004</v>
      </c>
      <c r="AH45">
        <f t="shared" si="15"/>
        <v>1124.4251933584403</v>
      </c>
    </row>
    <row r="46" spans="1:34">
      <c r="A46" s="24" t="s">
        <v>54</v>
      </c>
      <c r="B46" s="25">
        <v>13</v>
      </c>
      <c r="C46" s="26"/>
      <c r="D46" s="27"/>
      <c r="E46" s="18">
        <f>C46*4</f>
        <v>0</v>
      </c>
      <c r="F46" s="26"/>
      <c r="G46" s="28"/>
      <c r="H46" s="25">
        <f t="shared" si="17"/>
        <v>0</v>
      </c>
      <c r="I46" s="26"/>
      <c r="J46" s="28"/>
      <c r="K46" s="18">
        <f t="shared" si="1"/>
        <v>0</v>
      </c>
      <c r="L46" s="26"/>
      <c r="M46" s="28"/>
      <c r="N46" s="18">
        <f t="shared" si="2"/>
        <v>0</v>
      </c>
      <c r="O46" s="26"/>
      <c r="P46" s="28"/>
      <c r="Q46" s="18">
        <f t="shared" si="3"/>
        <v>0</v>
      </c>
      <c r="R46" s="26"/>
      <c r="S46" s="28"/>
      <c r="T46" s="18">
        <f t="shared" si="4"/>
        <v>0</v>
      </c>
      <c r="U46" s="26"/>
      <c r="V46" s="28"/>
      <c r="W46" s="18">
        <f t="shared" si="5"/>
        <v>0</v>
      </c>
      <c r="X46" s="25">
        <f t="shared" si="6"/>
        <v>0</v>
      </c>
      <c r="Y46" s="29"/>
      <c r="Z46" s="23">
        <f t="shared" si="7"/>
        <v>0</v>
      </c>
      <c r="AA46" s="23">
        <f t="shared" si="8"/>
        <v>0</v>
      </c>
      <c r="AB46" t="str">
        <f t="shared" si="9"/>
        <v xml:space="preserve"> </v>
      </c>
      <c r="AC46" t="str">
        <f t="shared" si="10"/>
        <v xml:space="preserve"> </v>
      </c>
      <c r="AD46" t="str">
        <f t="shared" si="11"/>
        <v xml:space="preserve"> </v>
      </c>
      <c r="AE46" t="str">
        <f t="shared" si="12"/>
        <v xml:space="preserve"> </v>
      </c>
      <c r="AF46">
        <f t="shared" si="13"/>
        <v>21033.62801</v>
      </c>
      <c r="AG46">
        <f t="shared" si="14"/>
        <v>4206.7256020000004</v>
      </c>
      <c r="AH46">
        <f t="shared" si="15"/>
        <v>0</v>
      </c>
    </row>
    <row r="47" spans="1:34">
      <c r="A47" s="30" t="s">
        <v>54</v>
      </c>
      <c r="B47" s="31">
        <v>4</v>
      </c>
      <c r="C47" s="32"/>
      <c r="D47" s="33"/>
      <c r="E47" s="18">
        <f t="shared" si="0"/>
        <v>0</v>
      </c>
      <c r="F47" s="32"/>
      <c r="G47" s="34"/>
      <c r="H47" s="25">
        <f t="shared" si="17"/>
        <v>0</v>
      </c>
      <c r="I47" s="32">
        <f>SUM('Plant Measurements'!P351+'Plant Measurements'!P352+'Plant Measurements'!P353+'Plant Measurements'!P354+'Plant Measurements'!P355+'Plant Measurements'!P356+'Plant Measurements'!P357+'Plant Measurements'!P359+'Plant Measurements'!P360)</f>
        <v>33.346451999999999</v>
      </c>
      <c r="J47" s="34"/>
      <c r="K47" s="18">
        <f t="shared" si="1"/>
        <v>133.385808</v>
      </c>
      <c r="L47" s="32"/>
      <c r="M47" s="34"/>
      <c r="N47" s="18">
        <f t="shared" si="2"/>
        <v>0</v>
      </c>
      <c r="O47" s="32"/>
      <c r="P47" s="34"/>
      <c r="Q47" s="18">
        <f t="shared" si="3"/>
        <v>0</v>
      </c>
      <c r="R47" s="32">
        <f>SUM('Plant Measurements'!P361+'Plant Measurements'!P362+'Plant Measurements'!P363)</f>
        <v>179.23479000000003</v>
      </c>
      <c r="S47" s="34"/>
      <c r="T47" s="18">
        <f t="shared" si="4"/>
        <v>716.93916000000013</v>
      </c>
      <c r="U47" s="32"/>
      <c r="V47" s="34"/>
      <c r="W47" s="18">
        <f t="shared" si="5"/>
        <v>0</v>
      </c>
      <c r="X47" s="31">
        <f t="shared" si="6"/>
        <v>850.32496800000013</v>
      </c>
      <c r="Y47" s="35"/>
      <c r="Z47" s="23">
        <f t="shared" si="7"/>
        <v>0</v>
      </c>
      <c r="AA47" s="23">
        <f t="shared" si="8"/>
        <v>716.93916000000013</v>
      </c>
      <c r="AB47">
        <f t="shared" si="9"/>
        <v>0</v>
      </c>
      <c r="AC47">
        <f t="shared" si="10"/>
        <v>0</v>
      </c>
      <c r="AD47">
        <f t="shared" si="11"/>
        <v>0.15686450829937287</v>
      </c>
      <c r="AE47">
        <f t="shared" si="12"/>
        <v>0.84313549170062707</v>
      </c>
      <c r="AF47">
        <f t="shared" si="13"/>
        <v>21033.62801</v>
      </c>
      <c r="AG47">
        <f t="shared" si="14"/>
        <v>4206.7256020000004</v>
      </c>
      <c r="AH47">
        <f t="shared" si="15"/>
        <v>3577.0838129054318</v>
      </c>
    </row>
    <row r="48" spans="1:34">
      <c r="A48" s="17" t="s">
        <v>22</v>
      </c>
      <c r="B48" s="18">
        <v>47</v>
      </c>
      <c r="C48" s="19"/>
      <c r="D48" s="20"/>
      <c r="E48" s="18">
        <f t="shared" si="0"/>
        <v>0</v>
      </c>
      <c r="F48" s="19"/>
      <c r="G48" s="21"/>
      <c r="H48" s="25">
        <f t="shared" si="17"/>
        <v>0</v>
      </c>
      <c r="I48" s="19"/>
      <c r="J48" s="21"/>
      <c r="K48" s="18">
        <f t="shared" si="1"/>
        <v>0</v>
      </c>
      <c r="L48" s="19"/>
      <c r="M48" s="21"/>
      <c r="N48" s="18">
        <f t="shared" si="2"/>
        <v>0</v>
      </c>
      <c r="O48" s="19"/>
      <c r="P48" s="21"/>
      <c r="Q48" s="18">
        <f t="shared" si="3"/>
        <v>0</v>
      </c>
      <c r="R48" s="19">
        <f>SUM('Plant Measurements'!P304+'Plant Measurements'!P305+'Plant Measurements'!P307+'Plant Measurements'!P308+'Plant Measurements'!P309)</f>
        <v>62.514683999999981</v>
      </c>
      <c r="S48" s="21"/>
      <c r="T48" s="18">
        <f t="shared" si="4"/>
        <v>250.05873599999993</v>
      </c>
      <c r="U48" s="19"/>
      <c r="V48" s="21"/>
      <c r="W48" s="18">
        <f t="shared" si="5"/>
        <v>0</v>
      </c>
      <c r="X48" s="18">
        <f t="shared" si="6"/>
        <v>250.05873599999993</v>
      </c>
      <c r="Y48" s="22">
        <f>AVERAGE(X48:X52)</f>
        <v>171.523268</v>
      </c>
      <c r="Z48" s="23">
        <f>E48+Q48</f>
        <v>0</v>
      </c>
      <c r="AA48" s="23">
        <f t="shared" si="8"/>
        <v>250.05873599999993</v>
      </c>
      <c r="AB48">
        <f t="shared" si="9"/>
        <v>0</v>
      </c>
      <c r="AC48">
        <f t="shared" si="10"/>
        <v>0</v>
      </c>
      <c r="AD48">
        <f t="shared" si="11"/>
        <v>0</v>
      </c>
      <c r="AE48">
        <f t="shared" si="12"/>
        <v>1</v>
      </c>
      <c r="AF48">
        <f t="shared" si="13"/>
        <v>21033.62801</v>
      </c>
      <c r="AG48">
        <f t="shared" si="14"/>
        <v>4206.7256020000004</v>
      </c>
      <c r="AH48">
        <f t="shared" si="15"/>
        <v>1051.9284867349588</v>
      </c>
    </row>
    <row r="49" spans="1:34">
      <c r="A49" s="24" t="s">
        <v>22</v>
      </c>
      <c r="B49" s="25">
        <v>42</v>
      </c>
      <c r="C49" s="26"/>
      <c r="D49" s="27"/>
      <c r="E49" s="18">
        <f t="shared" si="0"/>
        <v>0</v>
      </c>
      <c r="F49" s="26"/>
      <c r="G49" s="28"/>
      <c r="H49" s="25">
        <f t="shared" si="17"/>
        <v>0</v>
      </c>
      <c r="I49" s="26"/>
      <c r="J49" s="28"/>
      <c r="K49" s="18">
        <f t="shared" si="1"/>
        <v>0</v>
      </c>
      <c r="L49" s="26"/>
      <c r="M49" s="28"/>
      <c r="N49" s="18">
        <f t="shared" si="2"/>
        <v>0</v>
      </c>
      <c r="O49" s="26"/>
      <c r="P49" s="28"/>
      <c r="Q49" s="18">
        <f t="shared" si="3"/>
        <v>0</v>
      </c>
      <c r="R49" s="26"/>
      <c r="S49" s="28"/>
      <c r="T49" s="18">
        <f t="shared" si="4"/>
        <v>0</v>
      </c>
      <c r="U49" s="26">
        <f>SUM('Plant Measurements'!P370+'Plant Measurements'!P372+'Plant Measurements'!P373+'Plant Measurements'!P374+'Plant Measurements'!P378+'Plant Measurements'!P379)</f>
        <v>32.767222000000018</v>
      </c>
      <c r="V49" s="28"/>
      <c r="W49" s="18">
        <f t="shared" si="5"/>
        <v>131.06888800000007</v>
      </c>
      <c r="X49" s="25">
        <f t="shared" si="6"/>
        <v>131.06888800000007</v>
      </c>
      <c r="Y49" s="29"/>
      <c r="Z49" s="23">
        <f t="shared" si="7"/>
        <v>0</v>
      </c>
      <c r="AA49" s="23">
        <f t="shared" si="8"/>
        <v>131.06888800000007</v>
      </c>
      <c r="AB49">
        <f t="shared" si="9"/>
        <v>0</v>
      </c>
      <c r="AC49">
        <f t="shared" si="10"/>
        <v>0</v>
      </c>
      <c r="AD49">
        <f t="shared" si="11"/>
        <v>0</v>
      </c>
      <c r="AE49">
        <f t="shared" si="12"/>
        <v>1</v>
      </c>
      <c r="AF49">
        <f t="shared" si="13"/>
        <v>21033.62801</v>
      </c>
      <c r="AG49">
        <f t="shared" si="14"/>
        <v>4206.7256020000004</v>
      </c>
      <c r="AH49">
        <f t="shared" si="15"/>
        <v>551.37084677527093</v>
      </c>
    </row>
    <row r="50" spans="1:34">
      <c r="A50" s="24" t="s">
        <v>22</v>
      </c>
      <c r="B50" s="25">
        <v>36</v>
      </c>
      <c r="C50" s="26"/>
      <c r="D50" s="27"/>
      <c r="E50" s="18">
        <f t="shared" si="0"/>
        <v>0</v>
      </c>
      <c r="F50" s="26"/>
      <c r="G50" s="28"/>
      <c r="H50" s="25">
        <f t="shared" si="17"/>
        <v>0</v>
      </c>
      <c r="I50" s="26"/>
      <c r="J50" s="28"/>
      <c r="K50" s="18">
        <f t="shared" si="1"/>
        <v>0</v>
      </c>
      <c r="L50" s="26"/>
      <c r="M50" s="28"/>
      <c r="N50" s="18">
        <f t="shared" si="2"/>
        <v>0</v>
      </c>
      <c r="O50" s="26"/>
      <c r="P50" s="28"/>
      <c r="Q50" s="18">
        <f t="shared" si="3"/>
        <v>0</v>
      </c>
      <c r="R50" s="26">
        <f>SUM('Plant Measurements'!P320+'Plant Measurements'!P321+'Plant Measurements'!P322)</f>
        <v>32.50232299999999</v>
      </c>
      <c r="S50" s="28"/>
      <c r="T50" s="18">
        <f t="shared" si="4"/>
        <v>130.00929199999996</v>
      </c>
      <c r="U50" s="26"/>
      <c r="V50" s="28"/>
      <c r="W50" s="18">
        <f t="shared" si="5"/>
        <v>0</v>
      </c>
      <c r="X50" s="25">
        <f t="shared" si="6"/>
        <v>130.00929199999996</v>
      </c>
      <c r="Y50" s="29"/>
      <c r="Z50" s="23">
        <f t="shared" si="7"/>
        <v>0</v>
      </c>
      <c r="AA50" s="23">
        <f t="shared" si="8"/>
        <v>130.00929199999996</v>
      </c>
      <c r="AB50">
        <f t="shared" si="9"/>
        <v>0</v>
      </c>
      <c r="AC50">
        <f t="shared" si="10"/>
        <v>0</v>
      </c>
      <c r="AD50">
        <f t="shared" si="11"/>
        <v>0</v>
      </c>
      <c r="AE50">
        <f t="shared" si="12"/>
        <v>1</v>
      </c>
      <c r="AF50">
        <f t="shared" si="13"/>
        <v>21033.62801</v>
      </c>
      <c r="AG50">
        <f t="shared" si="14"/>
        <v>4206.7256020000004</v>
      </c>
      <c r="AH50">
        <f t="shared" si="15"/>
        <v>546.9134171542936</v>
      </c>
    </row>
    <row r="51" spans="1:34">
      <c r="A51" s="24" t="s">
        <v>22</v>
      </c>
      <c r="B51" s="25">
        <v>31</v>
      </c>
      <c r="C51" s="26"/>
      <c r="D51" s="27"/>
      <c r="E51" s="18">
        <f t="shared" si="0"/>
        <v>0</v>
      </c>
      <c r="F51" s="26"/>
      <c r="G51" s="28"/>
      <c r="H51" s="25">
        <f t="shared" si="17"/>
        <v>0</v>
      </c>
      <c r="I51" s="26"/>
      <c r="J51" s="28"/>
      <c r="K51" s="18">
        <f t="shared" si="1"/>
        <v>0</v>
      </c>
      <c r="L51" s="26"/>
      <c r="M51" s="28"/>
      <c r="N51" s="18">
        <f t="shared" si="2"/>
        <v>0</v>
      </c>
      <c r="O51" s="26"/>
      <c r="P51" s="28"/>
      <c r="Q51" s="18">
        <f t="shared" si="3"/>
        <v>0</v>
      </c>
      <c r="R51" s="26">
        <f>SUM('Plant Measurements'!P323+'Plant Measurements'!P324+'Plant Measurements'!P325)</f>
        <v>34.517680000000006</v>
      </c>
      <c r="S51" s="28"/>
      <c r="T51" s="18">
        <f t="shared" si="4"/>
        <v>138.07072000000002</v>
      </c>
      <c r="U51" s="26"/>
      <c r="V51" s="28"/>
      <c r="W51" s="18">
        <f t="shared" si="5"/>
        <v>0</v>
      </c>
      <c r="X51" s="25">
        <f t="shared" si="6"/>
        <v>138.07072000000002</v>
      </c>
      <c r="Y51" s="29"/>
      <c r="Z51" s="23">
        <f t="shared" si="7"/>
        <v>0</v>
      </c>
      <c r="AA51" s="23">
        <f t="shared" si="8"/>
        <v>138.07072000000002</v>
      </c>
      <c r="AB51">
        <f t="shared" si="9"/>
        <v>0</v>
      </c>
      <c r="AC51">
        <f t="shared" si="10"/>
        <v>0</v>
      </c>
      <c r="AD51">
        <f t="shared" si="11"/>
        <v>0</v>
      </c>
      <c r="AE51">
        <f t="shared" si="12"/>
        <v>1</v>
      </c>
      <c r="AF51">
        <f t="shared" si="13"/>
        <v>21033.62801</v>
      </c>
      <c r="AG51">
        <f t="shared" si="14"/>
        <v>4206.7256020000004</v>
      </c>
      <c r="AH51">
        <f t="shared" si="15"/>
        <v>580.82563271057359</v>
      </c>
    </row>
    <row r="52" spans="1:34">
      <c r="A52" s="30" t="s">
        <v>22</v>
      </c>
      <c r="B52" s="31">
        <v>13</v>
      </c>
      <c r="C52" s="32"/>
      <c r="D52" s="33"/>
      <c r="E52" s="18">
        <f t="shared" si="0"/>
        <v>0</v>
      </c>
      <c r="F52" s="32"/>
      <c r="G52" s="34"/>
      <c r="H52" s="25">
        <f t="shared" si="17"/>
        <v>0</v>
      </c>
      <c r="I52" s="32"/>
      <c r="J52" s="34"/>
      <c r="K52" s="18">
        <f t="shared" si="1"/>
        <v>0</v>
      </c>
      <c r="L52" s="32"/>
      <c r="M52" s="34"/>
      <c r="N52" s="18">
        <f t="shared" si="2"/>
        <v>0</v>
      </c>
      <c r="O52" s="32"/>
      <c r="P52" s="34"/>
      <c r="Q52" s="18">
        <f t="shared" si="3"/>
        <v>0</v>
      </c>
      <c r="R52" s="32">
        <f>SUM('Plant Measurements'!P386+'Plant Measurements'!P387+'Plant Measurements'!P388+'Plant Measurements'!P389+'Plant Measurements'!P390+'Plant Measurements'!P391)</f>
        <v>52.102176</v>
      </c>
      <c r="S52" s="34"/>
      <c r="T52" s="18">
        <f t="shared" si="4"/>
        <v>208.408704</v>
      </c>
      <c r="U52" s="32"/>
      <c r="V52" s="34"/>
      <c r="W52" s="18">
        <f t="shared" si="5"/>
        <v>0</v>
      </c>
      <c r="X52" s="31">
        <f t="shared" si="6"/>
        <v>208.408704</v>
      </c>
      <c r="Y52" s="35"/>
      <c r="Z52" s="23">
        <f t="shared" si="7"/>
        <v>0</v>
      </c>
      <c r="AA52" s="23">
        <f t="shared" si="8"/>
        <v>208.408704</v>
      </c>
      <c r="AB52">
        <f t="shared" si="9"/>
        <v>0</v>
      </c>
      <c r="AC52">
        <f t="shared" si="10"/>
        <v>0</v>
      </c>
      <c r="AD52">
        <f t="shared" si="11"/>
        <v>0</v>
      </c>
      <c r="AE52">
        <f t="shared" si="12"/>
        <v>1</v>
      </c>
      <c r="AF52">
        <f t="shared" si="13"/>
        <v>21033.62801</v>
      </c>
      <c r="AG52">
        <f t="shared" si="14"/>
        <v>4206.7256020000004</v>
      </c>
      <c r="AH52">
        <f t="shared" si="15"/>
        <v>876.71823079643991</v>
      </c>
    </row>
    <row r="53" spans="1:34">
      <c r="Y53" t="s">
        <v>55</v>
      </c>
      <c r="AB53">
        <f>AVERAGE(AB3:AB52)</f>
        <v>0</v>
      </c>
      <c r="AC53">
        <f>AVERAGE(AC3:AC52)</f>
        <v>0</v>
      </c>
      <c r="AD53">
        <f>AVERAGE(AD3:AD52)</f>
        <v>1.2999835340373184E-2</v>
      </c>
      <c r="AE53">
        <f>AVERAGE(AE3:AE52)</f>
        <v>0.98700016465962681</v>
      </c>
      <c r="AG53" t="s">
        <v>56</v>
      </c>
      <c r="AH53">
        <f>SUM(AH3:AH52)</f>
        <v>60948.146136764095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2015-06-18T17:11:46Z</dcterms:created>
  <dcterms:modified xsi:type="dcterms:W3CDTF">2017-03-23T23:21:16Z</dcterms:modified>
</cp:coreProperties>
</file>