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3680" yWindow="20" windowWidth="27200" windowHeight="23460" tabRatio="500"/>
  </bookViews>
  <sheets>
    <sheet name="Plant Measurements" sheetId="1" r:id="rId1"/>
    <sheet name="Quadrat Totals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4" i="1" l="1"/>
  <c r="S7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N811" i="1"/>
  <c r="O811" i="1"/>
  <c r="I52" i="2"/>
  <c r="J809" i="1"/>
  <c r="O809" i="1"/>
  <c r="P809" i="1"/>
  <c r="J810" i="1"/>
  <c r="O810" i="1"/>
  <c r="P810" i="1"/>
  <c r="J812" i="1"/>
  <c r="O812" i="1"/>
  <c r="P812" i="1"/>
  <c r="J813" i="1"/>
  <c r="O813" i="1"/>
  <c r="P813" i="1"/>
  <c r="J814" i="1"/>
  <c r="O814" i="1"/>
  <c r="P814" i="1"/>
  <c r="R52" i="2"/>
  <c r="J801" i="1"/>
  <c r="O801" i="1"/>
  <c r="P801" i="1"/>
  <c r="J802" i="1"/>
  <c r="O802" i="1"/>
  <c r="P802" i="1"/>
  <c r="J803" i="1"/>
  <c r="O803" i="1"/>
  <c r="P803" i="1"/>
  <c r="J804" i="1"/>
  <c r="O804" i="1"/>
  <c r="P804" i="1"/>
  <c r="J805" i="1"/>
  <c r="O805" i="1"/>
  <c r="P805" i="1"/>
  <c r="J806" i="1"/>
  <c r="O806" i="1"/>
  <c r="P806" i="1"/>
  <c r="R49" i="2"/>
  <c r="J789" i="1"/>
  <c r="O789" i="1"/>
  <c r="P789" i="1"/>
  <c r="J790" i="1"/>
  <c r="O790" i="1"/>
  <c r="P790" i="1"/>
  <c r="J791" i="1"/>
  <c r="O791" i="1"/>
  <c r="P791" i="1"/>
  <c r="J792" i="1"/>
  <c r="O792" i="1"/>
  <c r="P792" i="1"/>
  <c r="J793" i="1"/>
  <c r="O793" i="1"/>
  <c r="P793" i="1"/>
  <c r="J794" i="1"/>
  <c r="O794" i="1"/>
  <c r="P794" i="1"/>
  <c r="J795" i="1"/>
  <c r="O795" i="1"/>
  <c r="P795" i="1"/>
  <c r="J796" i="1"/>
  <c r="O796" i="1"/>
  <c r="P796" i="1"/>
  <c r="J797" i="1"/>
  <c r="O797" i="1"/>
  <c r="P797" i="1"/>
  <c r="J798" i="1"/>
  <c r="O798" i="1"/>
  <c r="P798" i="1"/>
  <c r="J799" i="1"/>
  <c r="O799" i="1"/>
  <c r="P799" i="1"/>
  <c r="J800" i="1"/>
  <c r="O800" i="1"/>
  <c r="P800" i="1"/>
  <c r="R48" i="2"/>
  <c r="J526" i="1"/>
  <c r="O526" i="1"/>
  <c r="P526" i="1"/>
  <c r="J527" i="1"/>
  <c r="O527" i="1"/>
  <c r="P527" i="1"/>
  <c r="J528" i="1"/>
  <c r="O528" i="1"/>
  <c r="P528" i="1"/>
  <c r="J529" i="1"/>
  <c r="O529" i="1"/>
  <c r="P529" i="1"/>
  <c r="J530" i="1"/>
  <c r="O530" i="1"/>
  <c r="P530" i="1"/>
  <c r="J531" i="1"/>
  <c r="O531" i="1"/>
  <c r="P531" i="1"/>
  <c r="J532" i="1"/>
  <c r="O532" i="1"/>
  <c r="P532" i="1"/>
  <c r="J533" i="1"/>
  <c r="O533" i="1"/>
  <c r="P533" i="1"/>
  <c r="J534" i="1"/>
  <c r="O534" i="1"/>
  <c r="P534" i="1"/>
  <c r="J535" i="1"/>
  <c r="O535" i="1"/>
  <c r="P535" i="1"/>
  <c r="J536" i="1"/>
  <c r="O536" i="1"/>
  <c r="P536" i="1"/>
  <c r="J537" i="1"/>
  <c r="O537" i="1"/>
  <c r="P537" i="1"/>
  <c r="J538" i="1"/>
  <c r="O538" i="1"/>
  <c r="P538" i="1"/>
  <c r="J539" i="1"/>
  <c r="O539" i="1"/>
  <c r="P539" i="1"/>
  <c r="R46" i="2"/>
  <c r="J505" i="1"/>
  <c r="O505" i="1"/>
  <c r="P505" i="1"/>
  <c r="J506" i="1"/>
  <c r="O506" i="1"/>
  <c r="P506" i="1"/>
  <c r="J507" i="1"/>
  <c r="O507" i="1"/>
  <c r="P507" i="1"/>
  <c r="J508" i="1"/>
  <c r="O508" i="1"/>
  <c r="P508" i="1"/>
  <c r="J509" i="1"/>
  <c r="O509" i="1"/>
  <c r="P509" i="1"/>
  <c r="J510" i="1"/>
  <c r="O510" i="1"/>
  <c r="P510" i="1"/>
  <c r="J511" i="1"/>
  <c r="O511" i="1"/>
  <c r="P511" i="1"/>
  <c r="J512" i="1"/>
  <c r="O512" i="1"/>
  <c r="P512" i="1"/>
  <c r="J513" i="1"/>
  <c r="O513" i="1"/>
  <c r="P513" i="1"/>
  <c r="J514" i="1"/>
  <c r="O514" i="1"/>
  <c r="P514" i="1"/>
  <c r="J515" i="1"/>
  <c r="O515" i="1"/>
  <c r="P515" i="1"/>
  <c r="J516" i="1"/>
  <c r="O516" i="1"/>
  <c r="P516" i="1"/>
  <c r="J517" i="1"/>
  <c r="O517" i="1"/>
  <c r="P517" i="1"/>
  <c r="J518" i="1"/>
  <c r="O518" i="1"/>
  <c r="P518" i="1"/>
  <c r="J519" i="1"/>
  <c r="O519" i="1"/>
  <c r="P519" i="1"/>
  <c r="J520" i="1"/>
  <c r="O520" i="1"/>
  <c r="P520" i="1"/>
  <c r="J521" i="1"/>
  <c r="O521" i="1"/>
  <c r="P521" i="1"/>
  <c r="J522" i="1"/>
  <c r="O522" i="1"/>
  <c r="P522" i="1"/>
  <c r="J523" i="1"/>
  <c r="O523" i="1"/>
  <c r="P523" i="1"/>
  <c r="J524" i="1"/>
  <c r="O524" i="1"/>
  <c r="P524" i="1"/>
  <c r="J525" i="1"/>
  <c r="O525" i="1"/>
  <c r="P525" i="1"/>
  <c r="R45" i="2"/>
  <c r="J494" i="1"/>
  <c r="O494" i="1"/>
  <c r="P494" i="1"/>
  <c r="J495" i="1"/>
  <c r="O495" i="1"/>
  <c r="P495" i="1"/>
  <c r="J496" i="1"/>
  <c r="O496" i="1"/>
  <c r="P496" i="1"/>
  <c r="J497" i="1"/>
  <c r="O497" i="1"/>
  <c r="P497" i="1"/>
  <c r="J498" i="1"/>
  <c r="O498" i="1"/>
  <c r="P498" i="1"/>
  <c r="J499" i="1"/>
  <c r="O499" i="1"/>
  <c r="P499" i="1"/>
  <c r="J500" i="1"/>
  <c r="O500" i="1"/>
  <c r="P500" i="1"/>
  <c r="J501" i="1"/>
  <c r="O501" i="1"/>
  <c r="P501" i="1"/>
  <c r="J502" i="1"/>
  <c r="O502" i="1"/>
  <c r="P502" i="1"/>
  <c r="J503" i="1"/>
  <c r="O503" i="1"/>
  <c r="P503" i="1"/>
  <c r="J504" i="1"/>
  <c r="O504" i="1"/>
  <c r="P504" i="1"/>
  <c r="R44" i="2"/>
  <c r="J486" i="1"/>
  <c r="O486" i="1"/>
  <c r="P486" i="1"/>
  <c r="J487" i="1"/>
  <c r="O487" i="1"/>
  <c r="P487" i="1"/>
  <c r="J488" i="1"/>
  <c r="O488" i="1"/>
  <c r="P488" i="1"/>
  <c r="J489" i="1"/>
  <c r="O489" i="1"/>
  <c r="P489" i="1"/>
  <c r="J490" i="1"/>
  <c r="O490" i="1"/>
  <c r="P490" i="1"/>
  <c r="J491" i="1"/>
  <c r="O491" i="1"/>
  <c r="P491" i="1"/>
  <c r="J492" i="1"/>
  <c r="O492" i="1"/>
  <c r="P492" i="1"/>
  <c r="J493" i="1"/>
  <c r="O493" i="1"/>
  <c r="P493" i="1"/>
  <c r="R43" i="2"/>
  <c r="O741" i="1"/>
  <c r="P741" i="1"/>
  <c r="N742" i="1"/>
  <c r="O742" i="1"/>
  <c r="P742" i="1"/>
  <c r="O743" i="1"/>
  <c r="P743" i="1"/>
  <c r="O744" i="1"/>
  <c r="P744" i="1"/>
  <c r="N745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N754" i="1"/>
  <c r="O754" i="1"/>
  <c r="P754" i="1"/>
  <c r="O755" i="1"/>
  <c r="P755" i="1"/>
  <c r="N756" i="1"/>
  <c r="O756" i="1"/>
  <c r="P756" i="1"/>
  <c r="O757" i="1"/>
  <c r="P757" i="1"/>
  <c r="O758" i="1"/>
  <c r="P758" i="1"/>
  <c r="O759" i="1"/>
  <c r="P759" i="1"/>
  <c r="N760" i="1"/>
  <c r="O760" i="1"/>
  <c r="P760" i="1"/>
  <c r="O761" i="1"/>
  <c r="P761" i="1"/>
  <c r="N762" i="1"/>
  <c r="O762" i="1"/>
  <c r="P762" i="1"/>
  <c r="O763" i="1"/>
  <c r="P763" i="1"/>
  <c r="O764" i="1"/>
  <c r="P764" i="1"/>
  <c r="N765" i="1"/>
  <c r="O765" i="1"/>
  <c r="P765" i="1"/>
  <c r="N766" i="1"/>
  <c r="O766" i="1"/>
  <c r="P766" i="1"/>
  <c r="N767" i="1"/>
  <c r="O767" i="1"/>
  <c r="P767" i="1"/>
  <c r="O768" i="1"/>
  <c r="P768" i="1"/>
  <c r="N769" i="1"/>
  <c r="O769" i="1"/>
  <c r="P769" i="1"/>
  <c r="N770" i="1"/>
  <c r="O770" i="1"/>
  <c r="P770" i="1"/>
  <c r="O771" i="1"/>
  <c r="P771" i="1"/>
  <c r="O772" i="1"/>
  <c r="P772" i="1"/>
  <c r="N773" i="1"/>
  <c r="O773" i="1"/>
  <c r="P773" i="1"/>
  <c r="N774" i="1"/>
  <c r="O774" i="1"/>
  <c r="P774" i="1"/>
  <c r="N775" i="1"/>
  <c r="O775" i="1"/>
  <c r="P775" i="1"/>
  <c r="O776" i="1"/>
  <c r="P776" i="1"/>
  <c r="O777" i="1"/>
  <c r="P777" i="1"/>
  <c r="N778" i="1"/>
  <c r="O778" i="1"/>
  <c r="P778" i="1"/>
  <c r="O779" i="1"/>
  <c r="P779" i="1"/>
  <c r="O780" i="1"/>
  <c r="P780" i="1"/>
  <c r="O781" i="1"/>
  <c r="P781" i="1"/>
  <c r="N782" i="1"/>
  <c r="O782" i="1"/>
  <c r="P782" i="1"/>
  <c r="O783" i="1"/>
  <c r="P783" i="1"/>
  <c r="O784" i="1"/>
  <c r="P784" i="1"/>
  <c r="O785" i="1"/>
  <c r="P785" i="1"/>
  <c r="N786" i="1"/>
  <c r="O786" i="1"/>
  <c r="P786" i="1"/>
  <c r="O787" i="1"/>
  <c r="P787" i="1"/>
  <c r="O788" i="1"/>
  <c r="P788" i="1"/>
  <c r="I42" i="2"/>
  <c r="N665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N679" i="1"/>
  <c r="O679" i="1"/>
  <c r="P679" i="1"/>
  <c r="O680" i="1"/>
  <c r="P680" i="1"/>
  <c r="O681" i="1"/>
  <c r="P681" i="1"/>
  <c r="O682" i="1"/>
  <c r="P682" i="1"/>
  <c r="N683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N698" i="1"/>
  <c r="O698" i="1"/>
  <c r="P698" i="1"/>
  <c r="N699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N707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N713" i="1"/>
  <c r="O713" i="1"/>
  <c r="P713" i="1"/>
  <c r="O714" i="1"/>
  <c r="P714" i="1"/>
  <c r="O715" i="1"/>
  <c r="P715" i="1"/>
  <c r="O716" i="1"/>
  <c r="P716" i="1"/>
  <c r="O717" i="1"/>
  <c r="P717" i="1"/>
  <c r="N718" i="1"/>
  <c r="O718" i="1"/>
  <c r="P718" i="1"/>
  <c r="N719" i="1"/>
  <c r="O719" i="1"/>
  <c r="P719" i="1"/>
  <c r="O720" i="1"/>
  <c r="P720" i="1"/>
  <c r="O721" i="1"/>
  <c r="P721" i="1"/>
  <c r="O722" i="1"/>
  <c r="P722" i="1"/>
  <c r="O723" i="1"/>
  <c r="P723" i="1"/>
  <c r="N724" i="1"/>
  <c r="O724" i="1"/>
  <c r="P724" i="1"/>
  <c r="O725" i="1"/>
  <c r="P725" i="1"/>
  <c r="O726" i="1"/>
  <c r="P726" i="1"/>
  <c r="N727" i="1"/>
  <c r="O727" i="1"/>
  <c r="P727" i="1"/>
  <c r="N728" i="1"/>
  <c r="O728" i="1"/>
  <c r="P728" i="1"/>
  <c r="O729" i="1"/>
  <c r="P729" i="1"/>
  <c r="O730" i="1"/>
  <c r="P730" i="1"/>
  <c r="O731" i="1"/>
  <c r="P731" i="1"/>
  <c r="O732" i="1"/>
  <c r="P732" i="1"/>
  <c r="N733" i="1"/>
  <c r="O733" i="1"/>
  <c r="P733" i="1"/>
  <c r="O734" i="1"/>
  <c r="P734" i="1"/>
  <c r="O735" i="1"/>
  <c r="P735" i="1"/>
  <c r="O736" i="1"/>
  <c r="P736" i="1"/>
  <c r="O737" i="1"/>
  <c r="P737" i="1"/>
  <c r="N738" i="1"/>
  <c r="O738" i="1"/>
  <c r="P738" i="1"/>
  <c r="O739" i="1"/>
  <c r="P739" i="1"/>
  <c r="N740" i="1"/>
  <c r="O740" i="1"/>
  <c r="P740" i="1"/>
  <c r="C41" i="2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O628" i="1"/>
  <c r="P628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O636" i="1"/>
  <c r="P636" i="1"/>
  <c r="O637" i="1"/>
  <c r="P637" i="1"/>
  <c r="N638" i="1"/>
  <c r="O638" i="1"/>
  <c r="P638" i="1"/>
  <c r="O639" i="1"/>
  <c r="P639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N653" i="1"/>
  <c r="O653" i="1"/>
  <c r="P653" i="1"/>
  <c r="O654" i="1"/>
  <c r="P654" i="1"/>
  <c r="N655" i="1"/>
  <c r="O655" i="1"/>
  <c r="P655" i="1"/>
  <c r="O656" i="1"/>
  <c r="P656" i="1"/>
  <c r="N657" i="1"/>
  <c r="O657" i="1"/>
  <c r="P657" i="1"/>
  <c r="O658" i="1"/>
  <c r="P658" i="1"/>
  <c r="O659" i="1"/>
  <c r="P659" i="1"/>
  <c r="O660" i="1"/>
  <c r="P660" i="1"/>
  <c r="O661" i="1"/>
  <c r="P661" i="1"/>
  <c r="P662" i="1"/>
  <c r="O663" i="1"/>
  <c r="P663" i="1"/>
  <c r="N664" i="1"/>
  <c r="O664" i="1"/>
  <c r="P664" i="1"/>
  <c r="C40" i="2"/>
  <c r="J615" i="1"/>
  <c r="O615" i="1"/>
  <c r="P615" i="1"/>
  <c r="J616" i="1"/>
  <c r="O616" i="1"/>
  <c r="P616" i="1"/>
  <c r="J617" i="1"/>
  <c r="O617" i="1"/>
  <c r="P617" i="1"/>
  <c r="J618" i="1"/>
  <c r="O618" i="1"/>
  <c r="P618" i="1"/>
  <c r="J619" i="1"/>
  <c r="O619" i="1"/>
  <c r="P619" i="1"/>
  <c r="J620" i="1"/>
  <c r="O620" i="1"/>
  <c r="P620" i="1"/>
  <c r="J621" i="1"/>
  <c r="O621" i="1"/>
  <c r="P621" i="1"/>
  <c r="J622" i="1"/>
  <c r="O622" i="1"/>
  <c r="P622" i="1"/>
  <c r="R39" i="2"/>
  <c r="J602" i="1"/>
  <c r="O602" i="1"/>
  <c r="P602" i="1"/>
  <c r="J603" i="1"/>
  <c r="O603" i="1"/>
  <c r="P603" i="1"/>
  <c r="J604" i="1"/>
  <c r="O604" i="1"/>
  <c r="P604" i="1"/>
  <c r="J605" i="1"/>
  <c r="O605" i="1"/>
  <c r="P605" i="1"/>
  <c r="J606" i="1"/>
  <c r="O606" i="1"/>
  <c r="P606" i="1"/>
  <c r="J607" i="1"/>
  <c r="O607" i="1"/>
  <c r="P607" i="1"/>
  <c r="J608" i="1"/>
  <c r="O608" i="1"/>
  <c r="P608" i="1"/>
  <c r="J609" i="1"/>
  <c r="O609" i="1"/>
  <c r="P609" i="1"/>
  <c r="J610" i="1"/>
  <c r="O610" i="1"/>
  <c r="P610" i="1"/>
  <c r="J611" i="1"/>
  <c r="O611" i="1"/>
  <c r="P611" i="1"/>
  <c r="J612" i="1"/>
  <c r="O612" i="1"/>
  <c r="P612" i="1"/>
  <c r="J613" i="1"/>
  <c r="O613" i="1"/>
  <c r="P613" i="1"/>
  <c r="J614" i="1"/>
  <c r="O614" i="1"/>
  <c r="P614" i="1"/>
  <c r="R38" i="2"/>
  <c r="J586" i="1"/>
  <c r="O586" i="1"/>
  <c r="P586" i="1"/>
  <c r="J587" i="1"/>
  <c r="O587" i="1"/>
  <c r="P587" i="1"/>
  <c r="J588" i="1"/>
  <c r="O588" i="1"/>
  <c r="P588" i="1"/>
  <c r="J589" i="1"/>
  <c r="O589" i="1"/>
  <c r="P589" i="1"/>
  <c r="J590" i="1"/>
  <c r="O590" i="1"/>
  <c r="P590" i="1"/>
  <c r="J591" i="1"/>
  <c r="O591" i="1"/>
  <c r="P591" i="1"/>
  <c r="J592" i="1"/>
  <c r="O592" i="1"/>
  <c r="P592" i="1"/>
  <c r="J593" i="1"/>
  <c r="O593" i="1"/>
  <c r="P593" i="1"/>
  <c r="J594" i="1"/>
  <c r="O594" i="1"/>
  <c r="P594" i="1"/>
  <c r="J595" i="1"/>
  <c r="O595" i="1"/>
  <c r="P595" i="1"/>
  <c r="J596" i="1"/>
  <c r="O596" i="1"/>
  <c r="P596" i="1"/>
  <c r="J597" i="1"/>
  <c r="O597" i="1"/>
  <c r="P597" i="1"/>
  <c r="J598" i="1"/>
  <c r="O598" i="1"/>
  <c r="P598" i="1"/>
  <c r="J599" i="1"/>
  <c r="O599" i="1"/>
  <c r="P599" i="1"/>
  <c r="O600" i="1"/>
  <c r="P600" i="1"/>
  <c r="R36" i="2"/>
  <c r="J556" i="1"/>
  <c r="O556" i="1"/>
  <c r="P556" i="1"/>
  <c r="J557" i="1"/>
  <c r="O557" i="1"/>
  <c r="P557" i="1"/>
  <c r="J558" i="1"/>
  <c r="O558" i="1"/>
  <c r="P558" i="1"/>
  <c r="J559" i="1"/>
  <c r="O559" i="1"/>
  <c r="P559" i="1"/>
  <c r="J560" i="1"/>
  <c r="O560" i="1"/>
  <c r="P560" i="1"/>
  <c r="J561" i="1"/>
  <c r="O561" i="1"/>
  <c r="P561" i="1"/>
  <c r="J562" i="1"/>
  <c r="O562" i="1"/>
  <c r="P562" i="1"/>
  <c r="J563" i="1"/>
  <c r="O563" i="1"/>
  <c r="P563" i="1"/>
  <c r="J564" i="1"/>
  <c r="O564" i="1"/>
  <c r="P564" i="1"/>
  <c r="J565" i="1"/>
  <c r="O565" i="1"/>
  <c r="P565" i="1"/>
  <c r="J566" i="1"/>
  <c r="O566" i="1"/>
  <c r="P566" i="1"/>
  <c r="J567" i="1"/>
  <c r="O567" i="1"/>
  <c r="P567" i="1"/>
  <c r="J568" i="1"/>
  <c r="O568" i="1"/>
  <c r="P568" i="1"/>
  <c r="J569" i="1"/>
  <c r="O569" i="1"/>
  <c r="P569" i="1"/>
  <c r="J570" i="1"/>
  <c r="O570" i="1"/>
  <c r="P570" i="1"/>
  <c r="J571" i="1"/>
  <c r="O571" i="1"/>
  <c r="P571" i="1"/>
  <c r="J572" i="1"/>
  <c r="O572" i="1"/>
  <c r="P572" i="1"/>
  <c r="J573" i="1"/>
  <c r="O573" i="1"/>
  <c r="P573" i="1"/>
  <c r="J574" i="1"/>
  <c r="O574" i="1"/>
  <c r="P574" i="1"/>
  <c r="J575" i="1"/>
  <c r="O575" i="1"/>
  <c r="P575" i="1"/>
  <c r="J576" i="1"/>
  <c r="O576" i="1"/>
  <c r="P576" i="1"/>
  <c r="J577" i="1"/>
  <c r="O577" i="1"/>
  <c r="P577" i="1"/>
  <c r="J578" i="1"/>
  <c r="O578" i="1"/>
  <c r="P578" i="1"/>
  <c r="J579" i="1"/>
  <c r="O579" i="1"/>
  <c r="P579" i="1"/>
  <c r="J580" i="1"/>
  <c r="O580" i="1"/>
  <c r="P580" i="1"/>
  <c r="J581" i="1"/>
  <c r="O581" i="1"/>
  <c r="P581" i="1"/>
  <c r="J582" i="1"/>
  <c r="O582" i="1"/>
  <c r="P582" i="1"/>
  <c r="J583" i="1"/>
  <c r="O583" i="1"/>
  <c r="P583" i="1"/>
  <c r="J584" i="1"/>
  <c r="O584" i="1"/>
  <c r="P584" i="1"/>
  <c r="J585" i="1"/>
  <c r="O585" i="1"/>
  <c r="P585" i="1"/>
  <c r="R35" i="2"/>
  <c r="J549" i="1"/>
  <c r="O549" i="1"/>
  <c r="P549" i="1"/>
  <c r="J550" i="1"/>
  <c r="O550" i="1"/>
  <c r="P550" i="1"/>
  <c r="J551" i="1"/>
  <c r="O551" i="1"/>
  <c r="P551" i="1"/>
  <c r="J552" i="1"/>
  <c r="O552" i="1"/>
  <c r="P552" i="1"/>
  <c r="J553" i="1"/>
  <c r="O553" i="1"/>
  <c r="P553" i="1"/>
  <c r="J554" i="1"/>
  <c r="O554" i="1"/>
  <c r="P554" i="1"/>
  <c r="J555" i="1"/>
  <c r="O555" i="1"/>
  <c r="P555" i="1"/>
  <c r="R34" i="2"/>
  <c r="J541" i="1"/>
  <c r="O541" i="1"/>
  <c r="P541" i="1"/>
  <c r="J542" i="1"/>
  <c r="O542" i="1"/>
  <c r="P542" i="1"/>
  <c r="J543" i="1"/>
  <c r="O543" i="1"/>
  <c r="P543" i="1"/>
  <c r="J544" i="1"/>
  <c r="O544" i="1"/>
  <c r="P544" i="1"/>
  <c r="J545" i="1"/>
  <c r="O545" i="1"/>
  <c r="P545" i="1"/>
  <c r="J546" i="1"/>
  <c r="O546" i="1"/>
  <c r="P546" i="1"/>
  <c r="J547" i="1"/>
  <c r="O547" i="1"/>
  <c r="P547" i="1"/>
  <c r="J548" i="1"/>
  <c r="O548" i="1"/>
  <c r="P548" i="1"/>
  <c r="R33" i="2"/>
  <c r="J478" i="1"/>
  <c r="O478" i="1"/>
  <c r="P478" i="1"/>
  <c r="J399" i="1"/>
  <c r="O399" i="1"/>
  <c r="P399" i="1"/>
  <c r="R32" i="2"/>
  <c r="N384" i="1"/>
  <c r="O384" i="1"/>
  <c r="P384" i="1"/>
  <c r="O385" i="1"/>
  <c r="P385" i="1"/>
  <c r="N386" i="1"/>
  <c r="O386" i="1"/>
  <c r="P386" i="1"/>
  <c r="N387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N393" i="1"/>
  <c r="O393" i="1"/>
  <c r="P393" i="1"/>
  <c r="O394" i="1"/>
  <c r="P394" i="1"/>
  <c r="O395" i="1"/>
  <c r="P395" i="1"/>
  <c r="O396" i="1"/>
  <c r="P396" i="1"/>
  <c r="O397" i="1"/>
  <c r="P397" i="1"/>
  <c r="N398" i="1"/>
  <c r="O398" i="1"/>
  <c r="P398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N406" i="1"/>
  <c r="O406" i="1"/>
  <c r="P406" i="1"/>
  <c r="O407" i="1"/>
  <c r="P407" i="1"/>
  <c r="O408" i="1"/>
  <c r="P408" i="1"/>
  <c r="O409" i="1"/>
  <c r="P409" i="1"/>
  <c r="N410" i="1"/>
  <c r="O410" i="1"/>
  <c r="P410" i="1"/>
  <c r="O411" i="1"/>
  <c r="P411" i="1"/>
  <c r="O412" i="1"/>
  <c r="P412" i="1"/>
  <c r="N413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N419" i="1"/>
  <c r="O419" i="1"/>
  <c r="P419" i="1"/>
  <c r="O420" i="1"/>
  <c r="P420" i="1"/>
  <c r="N421" i="1"/>
  <c r="O421" i="1"/>
  <c r="P421" i="1"/>
  <c r="O422" i="1"/>
  <c r="P422" i="1"/>
  <c r="O423" i="1"/>
  <c r="P423" i="1"/>
  <c r="O424" i="1"/>
  <c r="P424" i="1"/>
  <c r="N425" i="1"/>
  <c r="O425" i="1"/>
  <c r="P425" i="1"/>
  <c r="N426" i="1"/>
  <c r="O426" i="1"/>
  <c r="P426" i="1"/>
  <c r="O427" i="1"/>
  <c r="P427" i="1"/>
  <c r="N428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N435" i="1"/>
  <c r="O435" i="1"/>
  <c r="P435" i="1"/>
  <c r="O436" i="1"/>
  <c r="P436" i="1"/>
  <c r="O437" i="1"/>
  <c r="P437" i="1"/>
  <c r="O438" i="1"/>
  <c r="P438" i="1"/>
  <c r="N439" i="1"/>
  <c r="O439" i="1"/>
  <c r="P439" i="1"/>
  <c r="O440" i="1"/>
  <c r="P440" i="1"/>
  <c r="N441" i="1"/>
  <c r="O441" i="1"/>
  <c r="P441" i="1"/>
  <c r="O442" i="1"/>
  <c r="P442" i="1"/>
  <c r="N443" i="1"/>
  <c r="O443" i="1"/>
  <c r="P443" i="1"/>
  <c r="O444" i="1"/>
  <c r="P444" i="1"/>
  <c r="O445" i="1"/>
  <c r="P445" i="1"/>
  <c r="O446" i="1"/>
  <c r="P446" i="1"/>
  <c r="N447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N455" i="1"/>
  <c r="O455" i="1"/>
  <c r="P455" i="1"/>
  <c r="N456" i="1"/>
  <c r="O456" i="1"/>
  <c r="P456" i="1"/>
  <c r="O457" i="1"/>
  <c r="P457" i="1"/>
  <c r="O458" i="1"/>
  <c r="P458" i="1"/>
  <c r="N459" i="1"/>
  <c r="O459" i="1"/>
  <c r="P459" i="1"/>
  <c r="N460" i="1"/>
  <c r="O460" i="1"/>
  <c r="P460" i="1"/>
  <c r="O461" i="1"/>
  <c r="P461" i="1"/>
  <c r="N462" i="1"/>
  <c r="O462" i="1"/>
  <c r="P462" i="1"/>
  <c r="O463" i="1"/>
  <c r="P463" i="1"/>
  <c r="O464" i="1"/>
  <c r="P464" i="1"/>
  <c r="N465" i="1"/>
  <c r="O465" i="1"/>
  <c r="P465" i="1"/>
  <c r="O466" i="1"/>
  <c r="P466" i="1"/>
  <c r="N467" i="1"/>
  <c r="O467" i="1"/>
  <c r="P467" i="1"/>
  <c r="O468" i="1"/>
  <c r="P468" i="1"/>
  <c r="N469" i="1"/>
  <c r="O469" i="1"/>
  <c r="P469" i="1"/>
  <c r="O470" i="1"/>
  <c r="P470" i="1"/>
  <c r="N471" i="1"/>
  <c r="O471" i="1"/>
  <c r="P471" i="1"/>
  <c r="O472" i="1"/>
  <c r="P472" i="1"/>
  <c r="N473" i="1"/>
  <c r="O473" i="1"/>
  <c r="P473" i="1"/>
  <c r="N474" i="1"/>
  <c r="O474" i="1"/>
  <c r="P474" i="1"/>
  <c r="N475" i="1"/>
  <c r="O475" i="1"/>
  <c r="P475" i="1"/>
  <c r="O476" i="1"/>
  <c r="P476" i="1"/>
  <c r="O477" i="1"/>
  <c r="P477" i="1"/>
  <c r="O479" i="1"/>
  <c r="P479" i="1"/>
  <c r="O480" i="1"/>
  <c r="P480" i="1"/>
  <c r="O481" i="1"/>
  <c r="P481" i="1"/>
  <c r="N482" i="1"/>
  <c r="O482" i="1"/>
  <c r="P482" i="1"/>
  <c r="O483" i="1"/>
  <c r="P483" i="1"/>
  <c r="O484" i="1"/>
  <c r="P484" i="1"/>
  <c r="O485" i="1"/>
  <c r="P485" i="1"/>
  <c r="I32" i="2"/>
  <c r="J368" i="1"/>
  <c r="O368" i="1"/>
  <c r="P368" i="1"/>
  <c r="J369" i="1"/>
  <c r="O369" i="1"/>
  <c r="P369" i="1"/>
  <c r="J370" i="1"/>
  <c r="O370" i="1"/>
  <c r="P370" i="1"/>
  <c r="J371" i="1"/>
  <c r="O371" i="1"/>
  <c r="P371" i="1"/>
  <c r="J372" i="1"/>
  <c r="O372" i="1"/>
  <c r="P372" i="1"/>
  <c r="J373" i="1"/>
  <c r="O373" i="1"/>
  <c r="P373" i="1"/>
  <c r="J374" i="1"/>
  <c r="O374" i="1"/>
  <c r="P374" i="1"/>
  <c r="J375" i="1"/>
  <c r="O375" i="1"/>
  <c r="P375" i="1"/>
  <c r="J376" i="1"/>
  <c r="O376" i="1"/>
  <c r="P376" i="1"/>
  <c r="J378" i="1"/>
  <c r="O378" i="1"/>
  <c r="P378" i="1"/>
  <c r="J380" i="1"/>
  <c r="O380" i="1"/>
  <c r="P380" i="1"/>
  <c r="J381" i="1"/>
  <c r="O381" i="1"/>
  <c r="P381" i="1"/>
  <c r="J382" i="1"/>
  <c r="O382" i="1"/>
  <c r="P382" i="1"/>
  <c r="J383" i="1"/>
  <c r="O383" i="1"/>
  <c r="P383" i="1"/>
  <c r="R31" i="2"/>
  <c r="O377" i="1"/>
  <c r="P377" i="1"/>
  <c r="O379" i="1"/>
  <c r="P379" i="1"/>
  <c r="C31" i="2"/>
  <c r="J345" i="1"/>
  <c r="O345" i="1"/>
  <c r="P345" i="1"/>
  <c r="J354" i="1"/>
  <c r="O354" i="1"/>
  <c r="P354" i="1"/>
  <c r="J355" i="1"/>
  <c r="O355" i="1"/>
  <c r="P355" i="1"/>
  <c r="J356" i="1"/>
  <c r="O356" i="1"/>
  <c r="P356" i="1"/>
  <c r="J357" i="1"/>
  <c r="O357" i="1"/>
  <c r="P357" i="1"/>
  <c r="J358" i="1"/>
  <c r="O358" i="1"/>
  <c r="P358" i="1"/>
  <c r="J359" i="1"/>
  <c r="O359" i="1"/>
  <c r="P359" i="1"/>
  <c r="J360" i="1"/>
  <c r="O360" i="1"/>
  <c r="P360" i="1"/>
  <c r="J361" i="1"/>
  <c r="O361" i="1"/>
  <c r="P361" i="1"/>
  <c r="J362" i="1"/>
  <c r="O362" i="1"/>
  <c r="P362" i="1"/>
  <c r="J363" i="1"/>
  <c r="O363" i="1"/>
  <c r="P363" i="1"/>
  <c r="J364" i="1"/>
  <c r="O364" i="1"/>
  <c r="P364" i="1"/>
  <c r="J365" i="1"/>
  <c r="O365" i="1"/>
  <c r="P365" i="1"/>
  <c r="J366" i="1"/>
  <c r="O366" i="1"/>
  <c r="P366" i="1"/>
  <c r="J367" i="1"/>
  <c r="O367" i="1"/>
  <c r="P367" i="1"/>
  <c r="R30" i="2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C30" i="2"/>
  <c r="J337" i="1"/>
  <c r="O337" i="1"/>
  <c r="P337" i="1"/>
  <c r="J338" i="1"/>
  <c r="O338" i="1"/>
  <c r="P338" i="1"/>
  <c r="J339" i="1"/>
  <c r="O339" i="1"/>
  <c r="P339" i="1"/>
  <c r="J340" i="1"/>
  <c r="O340" i="1"/>
  <c r="P340" i="1"/>
  <c r="J341" i="1"/>
  <c r="O341" i="1"/>
  <c r="P341" i="1"/>
  <c r="J342" i="1"/>
  <c r="O342" i="1"/>
  <c r="P342" i="1"/>
  <c r="J343" i="1"/>
  <c r="O343" i="1"/>
  <c r="P343" i="1"/>
  <c r="J344" i="1"/>
  <c r="O344" i="1"/>
  <c r="P344" i="1"/>
  <c r="R29" i="2"/>
  <c r="O305" i="1"/>
  <c r="P305" i="1"/>
  <c r="O306" i="1"/>
  <c r="P306" i="1"/>
  <c r="O307" i="1"/>
  <c r="P307" i="1"/>
  <c r="N308" i="1"/>
  <c r="O308" i="1"/>
  <c r="P308" i="1"/>
  <c r="N309" i="1"/>
  <c r="O309" i="1"/>
  <c r="P309" i="1"/>
  <c r="O310" i="1"/>
  <c r="P310" i="1"/>
  <c r="O311" i="1"/>
  <c r="P311" i="1"/>
  <c r="O312" i="1"/>
  <c r="P312" i="1"/>
  <c r="N313" i="1"/>
  <c r="O313" i="1"/>
  <c r="P313" i="1"/>
  <c r="O314" i="1"/>
  <c r="P314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O323" i="1"/>
  <c r="P323" i="1"/>
  <c r="N324" i="1"/>
  <c r="O324" i="1"/>
  <c r="P324" i="1"/>
  <c r="O325" i="1"/>
  <c r="P325" i="1"/>
  <c r="N326" i="1"/>
  <c r="O326" i="1"/>
  <c r="P326" i="1"/>
  <c r="O327" i="1"/>
  <c r="P327" i="1"/>
  <c r="N328" i="1"/>
  <c r="O328" i="1"/>
  <c r="P328" i="1"/>
  <c r="N329" i="1"/>
  <c r="O329" i="1"/>
  <c r="P329" i="1"/>
  <c r="O330" i="1"/>
  <c r="P330" i="1"/>
  <c r="N331" i="1"/>
  <c r="O331" i="1"/>
  <c r="P331" i="1"/>
  <c r="N332" i="1"/>
  <c r="O332" i="1"/>
  <c r="P332" i="1"/>
  <c r="O333" i="1"/>
  <c r="P333" i="1"/>
  <c r="O334" i="1"/>
  <c r="P334" i="1"/>
  <c r="N335" i="1"/>
  <c r="O335" i="1"/>
  <c r="P335" i="1"/>
  <c r="O336" i="1"/>
  <c r="P336" i="1"/>
  <c r="I28" i="2"/>
  <c r="O231" i="1"/>
  <c r="P231" i="1"/>
  <c r="O232" i="1"/>
  <c r="P232" i="1"/>
  <c r="N233" i="1"/>
  <c r="O233" i="1"/>
  <c r="P233" i="1"/>
  <c r="O234" i="1"/>
  <c r="P234" i="1"/>
  <c r="O235" i="1"/>
  <c r="P235" i="1"/>
  <c r="O236" i="1"/>
  <c r="P236" i="1"/>
  <c r="O237" i="1"/>
  <c r="P237" i="1"/>
  <c r="N238" i="1"/>
  <c r="O238" i="1"/>
  <c r="P238" i="1"/>
  <c r="O239" i="1"/>
  <c r="P239" i="1"/>
  <c r="N240" i="1"/>
  <c r="O240" i="1"/>
  <c r="P240" i="1"/>
  <c r="O241" i="1"/>
  <c r="P241" i="1"/>
  <c r="O242" i="1"/>
  <c r="P242" i="1"/>
  <c r="N243" i="1"/>
  <c r="O243" i="1"/>
  <c r="P243" i="1"/>
  <c r="O244" i="1"/>
  <c r="P244" i="1"/>
  <c r="O245" i="1"/>
  <c r="P245" i="1"/>
  <c r="O246" i="1"/>
  <c r="P246" i="1"/>
  <c r="O247" i="1"/>
  <c r="P247" i="1"/>
  <c r="N248" i="1"/>
  <c r="O248" i="1"/>
  <c r="P248" i="1"/>
  <c r="O249" i="1"/>
  <c r="P249" i="1"/>
  <c r="N250" i="1"/>
  <c r="O250" i="1"/>
  <c r="P250" i="1"/>
  <c r="O251" i="1"/>
  <c r="P251" i="1"/>
  <c r="N252" i="1"/>
  <c r="O252" i="1"/>
  <c r="P252" i="1"/>
  <c r="O253" i="1"/>
  <c r="P253" i="1"/>
  <c r="C27" i="2"/>
  <c r="J221" i="1"/>
  <c r="O221" i="1"/>
  <c r="P221" i="1"/>
  <c r="J222" i="1"/>
  <c r="O222" i="1"/>
  <c r="P222" i="1"/>
  <c r="J223" i="1"/>
  <c r="O223" i="1"/>
  <c r="P223" i="1"/>
  <c r="J224" i="1"/>
  <c r="O224" i="1"/>
  <c r="P224" i="1"/>
  <c r="J225" i="1"/>
  <c r="O225" i="1"/>
  <c r="P225" i="1"/>
  <c r="J226" i="1"/>
  <c r="O226" i="1"/>
  <c r="P226" i="1"/>
  <c r="J227" i="1"/>
  <c r="O227" i="1"/>
  <c r="P227" i="1"/>
  <c r="J228" i="1"/>
  <c r="O228" i="1"/>
  <c r="P228" i="1"/>
  <c r="J229" i="1"/>
  <c r="O229" i="1"/>
  <c r="P229" i="1"/>
  <c r="J230" i="1"/>
  <c r="O230" i="1"/>
  <c r="P230" i="1"/>
  <c r="R26" i="2"/>
  <c r="J207" i="1"/>
  <c r="O207" i="1"/>
  <c r="P207" i="1"/>
  <c r="J208" i="1"/>
  <c r="O208" i="1"/>
  <c r="P208" i="1"/>
  <c r="J209" i="1"/>
  <c r="O209" i="1"/>
  <c r="P209" i="1"/>
  <c r="J210" i="1"/>
  <c r="O210" i="1"/>
  <c r="P210" i="1"/>
  <c r="J211" i="1"/>
  <c r="O211" i="1"/>
  <c r="P211" i="1"/>
  <c r="J212" i="1"/>
  <c r="O212" i="1"/>
  <c r="P212" i="1"/>
  <c r="J213" i="1"/>
  <c r="O213" i="1"/>
  <c r="P213" i="1"/>
  <c r="J214" i="1"/>
  <c r="O214" i="1"/>
  <c r="P214" i="1"/>
  <c r="J215" i="1"/>
  <c r="O215" i="1"/>
  <c r="P215" i="1"/>
  <c r="J216" i="1"/>
  <c r="O216" i="1"/>
  <c r="P216" i="1"/>
  <c r="J217" i="1"/>
  <c r="O217" i="1"/>
  <c r="P217" i="1"/>
  <c r="J218" i="1"/>
  <c r="O218" i="1"/>
  <c r="P218" i="1"/>
  <c r="J219" i="1"/>
  <c r="O219" i="1"/>
  <c r="P219" i="1"/>
  <c r="J220" i="1"/>
  <c r="O220" i="1"/>
  <c r="P220" i="1"/>
  <c r="R25" i="2"/>
  <c r="J199" i="1"/>
  <c r="O199" i="1"/>
  <c r="P199" i="1"/>
  <c r="J200" i="1"/>
  <c r="O200" i="1"/>
  <c r="P200" i="1"/>
  <c r="J201" i="1"/>
  <c r="O201" i="1"/>
  <c r="P201" i="1"/>
  <c r="J202" i="1"/>
  <c r="O202" i="1"/>
  <c r="P202" i="1"/>
  <c r="J203" i="1"/>
  <c r="O203" i="1"/>
  <c r="P203" i="1"/>
  <c r="J204" i="1"/>
  <c r="O204" i="1"/>
  <c r="P204" i="1"/>
  <c r="J205" i="1"/>
  <c r="O205" i="1"/>
  <c r="P205" i="1"/>
  <c r="J206" i="1"/>
  <c r="O206" i="1"/>
  <c r="P206" i="1"/>
  <c r="R24" i="2"/>
  <c r="J191" i="1"/>
  <c r="O191" i="1"/>
  <c r="P191" i="1"/>
  <c r="J192" i="1"/>
  <c r="O192" i="1"/>
  <c r="P192" i="1"/>
  <c r="J193" i="1"/>
  <c r="O193" i="1"/>
  <c r="P193" i="1"/>
  <c r="J194" i="1"/>
  <c r="O194" i="1"/>
  <c r="P194" i="1"/>
  <c r="J195" i="1"/>
  <c r="O195" i="1"/>
  <c r="P195" i="1"/>
  <c r="J196" i="1"/>
  <c r="O196" i="1"/>
  <c r="P196" i="1"/>
  <c r="J197" i="1"/>
  <c r="O197" i="1"/>
  <c r="P197" i="1"/>
  <c r="J198" i="1"/>
  <c r="O198" i="1"/>
  <c r="P198" i="1"/>
  <c r="R23" i="2"/>
  <c r="J132" i="1"/>
  <c r="O132" i="1"/>
  <c r="P132" i="1"/>
  <c r="J133" i="1"/>
  <c r="O133" i="1"/>
  <c r="P133" i="1"/>
  <c r="J134" i="1"/>
  <c r="O134" i="1"/>
  <c r="P134" i="1"/>
  <c r="J135" i="1"/>
  <c r="O135" i="1"/>
  <c r="P135" i="1"/>
  <c r="J136" i="1"/>
  <c r="O136" i="1"/>
  <c r="P136" i="1"/>
  <c r="J137" i="1"/>
  <c r="O137" i="1"/>
  <c r="P137" i="1"/>
  <c r="J138" i="1"/>
  <c r="O138" i="1"/>
  <c r="P138" i="1"/>
  <c r="R22" i="2"/>
  <c r="J122" i="1"/>
  <c r="O122" i="1"/>
  <c r="P122" i="1"/>
  <c r="J123" i="1"/>
  <c r="O123" i="1"/>
  <c r="P123" i="1"/>
  <c r="J124" i="1"/>
  <c r="O124" i="1"/>
  <c r="P124" i="1"/>
  <c r="J125" i="1"/>
  <c r="O125" i="1"/>
  <c r="P125" i="1"/>
  <c r="J126" i="1"/>
  <c r="O126" i="1"/>
  <c r="P126" i="1"/>
  <c r="J127" i="1"/>
  <c r="O127" i="1"/>
  <c r="P127" i="1"/>
  <c r="J128" i="1"/>
  <c r="O128" i="1"/>
  <c r="P128" i="1"/>
  <c r="J129" i="1"/>
  <c r="O129" i="1"/>
  <c r="P129" i="1"/>
  <c r="J130" i="1"/>
  <c r="O130" i="1"/>
  <c r="P130" i="1"/>
  <c r="J131" i="1"/>
  <c r="O131" i="1"/>
  <c r="P131" i="1"/>
  <c r="R21" i="2"/>
  <c r="J117" i="1"/>
  <c r="O117" i="1"/>
  <c r="P117" i="1"/>
  <c r="J118" i="1"/>
  <c r="O118" i="1"/>
  <c r="P118" i="1"/>
  <c r="J119" i="1"/>
  <c r="O119" i="1"/>
  <c r="P119" i="1"/>
  <c r="J120" i="1"/>
  <c r="O120" i="1"/>
  <c r="P120" i="1"/>
  <c r="J121" i="1"/>
  <c r="O121" i="1"/>
  <c r="P121" i="1"/>
  <c r="R20" i="2"/>
  <c r="J102" i="1"/>
  <c r="O102" i="1"/>
  <c r="P102" i="1"/>
  <c r="J103" i="1"/>
  <c r="O103" i="1"/>
  <c r="P103" i="1"/>
  <c r="J104" i="1"/>
  <c r="O104" i="1"/>
  <c r="P104" i="1"/>
  <c r="J105" i="1"/>
  <c r="O105" i="1"/>
  <c r="P105" i="1"/>
  <c r="J106" i="1"/>
  <c r="O106" i="1"/>
  <c r="P106" i="1"/>
  <c r="J107" i="1"/>
  <c r="O107" i="1"/>
  <c r="P107" i="1"/>
  <c r="J108" i="1"/>
  <c r="O108" i="1"/>
  <c r="P108" i="1"/>
  <c r="J109" i="1"/>
  <c r="O109" i="1"/>
  <c r="P109" i="1"/>
  <c r="J110" i="1"/>
  <c r="O110" i="1"/>
  <c r="P110" i="1"/>
  <c r="J111" i="1"/>
  <c r="O111" i="1"/>
  <c r="P111" i="1"/>
  <c r="J112" i="1"/>
  <c r="O112" i="1"/>
  <c r="P112" i="1"/>
  <c r="J113" i="1"/>
  <c r="O113" i="1"/>
  <c r="P113" i="1"/>
  <c r="J114" i="1"/>
  <c r="O114" i="1"/>
  <c r="P114" i="1"/>
  <c r="J115" i="1"/>
  <c r="O115" i="1"/>
  <c r="P115" i="1"/>
  <c r="J116" i="1"/>
  <c r="O116" i="1"/>
  <c r="P116" i="1"/>
  <c r="R19" i="2"/>
  <c r="J96" i="1"/>
  <c r="O96" i="1"/>
  <c r="P96" i="1"/>
  <c r="J97" i="1"/>
  <c r="O97" i="1"/>
  <c r="P97" i="1"/>
  <c r="J98" i="1"/>
  <c r="O98" i="1"/>
  <c r="P98" i="1"/>
  <c r="J99" i="1"/>
  <c r="O99" i="1"/>
  <c r="P99" i="1"/>
  <c r="J100" i="1"/>
  <c r="O100" i="1"/>
  <c r="P100" i="1"/>
  <c r="J101" i="1"/>
  <c r="O101" i="1"/>
  <c r="P101" i="1"/>
  <c r="R18" i="2"/>
  <c r="O52" i="1"/>
  <c r="P52" i="1"/>
  <c r="J51" i="1"/>
  <c r="O51" i="1"/>
  <c r="P51" i="1"/>
  <c r="J85" i="1"/>
  <c r="O85" i="1"/>
  <c r="P85" i="1"/>
  <c r="R17" i="2"/>
  <c r="O53" i="1"/>
  <c r="P53" i="1"/>
  <c r="N54" i="1"/>
  <c r="O54" i="1"/>
  <c r="P54" i="1"/>
  <c r="N55" i="1"/>
  <c r="O55" i="1"/>
  <c r="P55" i="1"/>
  <c r="N56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N66" i="1"/>
  <c r="O66" i="1"/>
  <c r="P66" i="1"/>
  <c r="O67" i="1"/>
  <c r="P67" i="1"/>
  <c r="O68" i="1"/>
  <c r="P68" i="1"/>
  <c r="N69" i="1"/>
  <c r="O69" i="1"/>
  <c r="P69" i="1"/>
  <c r="O70" i="1"/>
  <c r="P70" i="1"/>
  <c r="O71" i="1"/>
  <c r="P71" i="1"/>
  <c r="O72" i="1"/>
  <c r="P72" i="1"/>
  <c r="O73" i="1"/>
  <c r="P73" i="1"/>
  <c r="O74" i="1"/>
  <c r="P74" i="1"/>
  <c r="N75" i="1"/>
  <c r="O75" i="1"/>
  <c r="P75" i="1"/>
  <c r="N76" i="1"/>
  <c r="O76" i="1"/>
  <c r="P76" i="1"/>
  <c r="O77" i="1"/>
  <c r="P77" i="1"/>
  <c r="O78" i="1"/>
  <c r="P78" i="1"/>
  <c r="O79" i="1"/>
  <c r="P79" i="1"/>
  <c r="O80" i="1"/>
  <c r="P80" i="1"/>
  <c r="N81" i="1"/>
  <c r="O81" i="1"/>
  <c r="P81" i="1"/>
  <c r="N82" i="1"/>
  <c r="O82" i="1"/>
  <c r="P82" i="1"/>
  <c r="N83" i="1"/>
  <c r="O83" i="1"/>
  <c r="P83" i="1"/>
  <c r="O84" i="1"/>
  <c r="P84" i="1"/>
  <c r="O86" i="1"/>
  <c r="P86" i="1"/>
  <c r="O87" i="1"/>
  <c r="P87" i="1"/>
  <c r="N88" i="1"/>
  <c r="O88" i="1"/>
  <c r="P88" i="1"/>
  <c r="O89" i="1"/>
  <c r="P89" i="1"/>
  <c r="O90" i="1"/>
  <c r="P90" i="1"/>
  <c r="O91" i="1"/>
  <c r="P91" i="1"/>
  <c r="O92" i="1"/>
  <c r="P92" i="1"/>
  <c r="N93" i="1"/>
  <c r="O93" i="1"/>
  <c r="P93" i="1"/>
  <c r="N94" i="1"/>
  <c r="O94" i="1"/>
  <c r="P94" i="1"/>
  <c r="O95" i="1"/>
  <c r="P95" i="1"/>
  <c r="C17" i="2"/>
  <c r="J28" i="1"/>
  <c r="O28" i="1"/>
  <c r="P28" i="1"/>
  <c r="J29" i="1"/>
  <c r="O29" i="1"/>
  <c r="P29" i="1"/>
  <c r="J30" i="1"/>
  <c r="O30" i="1"/>
  <c r="P30" i="1"/>
  <c r="J31" i="1"/>
  <c r="O31" i="1"/>
  <c r="P31" i="1"/>
  <c r="J32" i="1"/>
  <c r="O32" i="1"/>
  <c r="P32" i="1"/>
  <c r="J33" i="1"/>
  <c r="O33" i="1"/>
  <c r="P33" i="1"/>
  <c r="J34" i="1"/>
  <c r="O34" i="1"/>
  <c r="P34" i="1"/>
  <c r="J35" i="1"/>
  <c r="O35" i="1"/>
  <c r="P35" i="1"/>
  <c r="J36" i="1"/>
  <c r="O36" i="1"/>
  <c r="P36" i="1"/>
  <c r="J37" i="1"/>
  <c r="O37" i="1"/>
  <c r="P37" i="1"/>
  <c r="J38" i="1"/>
  <c r="O38" i="1"/>
  <c r="P38" i="1"/>
  <c r="J39" i="1"/>
  <c r="O39" i="1"/>
  <c r="P39" i="1"/>
  <c r="J40" i="1"/>
  <c r="O40" i="1"/>
  <c r="P40" i="1"/>
  <c r="J41" i="1"/>
  <c r="O41" i="1"/>
  <c r="P41" i="1"/>
  <c r="J42" i="1"/>
  <c r="O42" i="1"/>
  <c r="P42" i="1"/>
  <c r="J43" i="1"/>
  <c r="O43" i="1"/>
  <c r="P43" i="1"/>
  <c r="J44" i="1"/>
  <c r="O44" i="1"/>
  <c r="P44" i="1"/>
  <c r="J45" i="1"/>
  <c r="O45" i="1"/>
  <c r="P45" i="1"/>
  <c r="J46" i="1"/>
  <c r="O46" i="1"/>
  <c r="P46" i="1"/>
  <c r="J47" i="1"/>
  <c r="O47" i="1"/>
  <c r="P47" i="1"/>
  <c r="J48" i="1"/>
  <c r="O48" i="1"/>
  <c r="P48" i="1"/>
  <c r="R14" i="2"/>
  <c r="J4" i="1"/>
  <c r="O4" i="1"/>
  <c r="P4" i="1"/>
  <c r="J5" i="1"/>
  <c r="O5" i="1"/>
  <c r="P5" i="1"/>
  <c r="J6" i="1"/>
  <c r="O6" i="1"/>
  <c r="P6" i="1"/>
  <c r="J7" i="1"/>
  <c r="O7" i="1"/>
  <c r="P7" i="1"/>
  <c r="J8" i="1"/>
  <c r="O8" i="1"/>
  <c r="P8" i="1"/>
  <c r="J9" i="1"/>
  <c r="O9" i="1"/>
  <c r="P9" i="1"/>
  <c r="J10" i="1"/>
  <c r="O10" i="1"/>
  <c r="P10" i="1"/>
  <c r="J11" i="1"/>
  <c r="O11" i="1"/>
  <c r="P11" i="1"/>
  <c r="J12" i="1"/>
  <c r="O12" i="1"/>
  <c r="P12" i="1"/>
  <c r="J13" i="1"/>
  <c r="O13" i="1"/>
  <c r="P13" i="1"/>
  <c r="J14" i="1"/>
  <c r="O14" i="1"/>
  <c r="P14" i="1"/>
  <c r="J15" i="1"/>
  <c r="O15" i="1"/>
  <c r="P15" i="1"/>
  <c r="J16" i="1"/>
  <c r="O16" i="1"/>
  <c r="P16" i="1"/>
  <c r="J17" i="1"/>
  <c r="O17" i="1"/>
  <c r="P17" i="1"/>
  <c r="J18" i="1"/>
  <c r="O18" i="1"/>
  <c r="P18" i="1"/>
  <c r="J19" i="1"/>
  <c r="O19" i="1"/>
  <c r="P19" i="1"/>
  <c r="J20" i="1"/>
  <c r="O20" i="1"/>
  <c r="P20" i="1"/>
  <c r="J21" i="1"/>
  <c r="O21" i="1"/>
  <c r="P21" i="1"/>
  <c r="J22" i="1"/>
  <c r="O22" i="1"/>
  <c r="P22" i="1"/>
  <c r="J23" i="1"/>
  <c r="O23" i="1"/>
  <c r="P23" i="1"/>
  <c r="J24" i="1"/>
  <c r="O24" i="1"/>
  <c r="P24" i="1"/>
  <c r="J25" i="1"/>
  <c r="O25" i="1"/>
  <c r="P25" i="1"/>
  <c r="J26" i="1"/>
  <c r="O26" i="1"/>
  <c r="P26" i="1"/>
  <c r="J27" i="1"/>
  <c r="O27" i="1"/>
  <c r="P27" i="1"/>
  <c r="R13" i="2"/>
  <c r="J299" i="1"/>
  <c r="O299" i="1"/>
  <c r="P299" i="1"/>
  <c r="J300" i="1"/>
  <c r="O300" i="1"/>
  <c r="P300" i="1"/>
  <c r="J301" i="1"/>
  <c r="O301" i="1"/>
  <c r="P301" i="1"/>
  <c r="J302" i="1"/>
  <c r="O302" i="1"/>
  <c r="P302" i="1"/>
  <c r="J303" i="1"/>
  <c r="O303" i="1"/>
  <c r="P303" i="1"/>
  <c r="J304" i="1"/>
  <c r="O304" i="1"/>
  <c r="P304" i="1"/>
  <c r="R12" i="2"/>
  <c r="O298" i="1"/>
  <c r="P298" i="1"/>
  <c r="C12" i="2"/>
  <c r="J285" i="1"/>
  <c r="O285" i="1"/>
  <c r="P285" i="1"/>
  <c r="J286" i="1"/>
  <c r="O286" i="1"/>
  <c r="P286" i="1"/>
  <c r="J287" i="1"/>
  <c r="O287" i="1"/>
  <c r="P287" i="1"/>
  <c r="J288" i="1"/>
  <c r="O288" i="1"/>
  <c r="P288" i="1"/>
  <c r="J289" i="1"/>
  <c r="O289" i="1"/>
  <c r="P289" i="1"/>
  <c r="J290" i="1"/>
  <c r="O290" i="1"/>
  <c r="P290" i="1"/>
  <c r="J291" i="1"/>
  <c r="O291" i="1"/>
  <c r="P291" i="1"/>
  <c r="J292" i="1"/>
  <c r="O292" i="1"/>
  <c r="P292" i="1"/>
  <c r="J293" i="1"/>
  <c r="O293" i="1"/>
  <c r="P293" i="1"/>
  <c r="J294" i="1"/>
  <c r="O294" i="1"/>
  <c r="P294" i="1"/>
  <c r="J295" i="1"/>
  <c r="O295" i="1"/>
  <c r="P295" i="1"/>
  <c r="J296" i="1"/>
  <c r="O296" i="1"/>
  <c r="P296" i="1"/>
  <c r="J297" i="1"/>
  <c r="O297" i="1"/>
  <c r="P297" i="1"/>
  <c r="R11" i="2"/>
  <c r="J270" i="1"/>
  <c r="O270" i="1"/>
  <c r="P270" i="1"/>
  <c r="J281" i="1"/>
  <c r="O281" i="1"/>
  <c r="P281" i="1"/>
  <c r="J282" i="1"/>
  <c r="O282" i="1"/>
  <c r="P282" i="1"/>
  <c r="J283" i="1"/>
  <c r="O283" i="1"/>
  <c r="P283" i="1"/>
  <c r="J284" i="1"/>
  <c r="O284" i="1"/>
  <c r="P284" i="1"/>
  <c r="R10" i="2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C10" i="2"/>
  <c r="J263" i="1"/>
  <c r="O263" i="1"/>
  <c r="P263" i="1"/>
  <c r="J264" i="1"/>
  <c r="O264" i="1"/>
  <c r="P264" i="1"/>
  <c r="J265" i="1"/>
  <c r="O265" i="1"/>
  <c r="P265" i="1"/>
  <c r="J266" i="1"/>
  <c r="O266" i="1"/>
  <c r="P266" i="1"/>
  <c r="J267" i="1"/>
  <c r="O267" i="1"/>
  <c r="P267" i="1"/>
  <c r="J268" i="1"/>
  <c r="O268" i="1"/>
  <c r="P268" i="1"/>
  <c r="J269" i="1"/>
  <c r="O269" i="1"/>
  <c r="P269" i="1"/>
  <c r="R9" i="2"/>
  <c r="J254" i="1"/>
  <c r="O254" i="1"/>
  <c r="P254" i="1"/>
  <c r="J255" i="1"/>
  <c r="O255" i="1"/>
  <c r="P255" i="1"/>
  <c r="J256" i="1"/>
  <c r="O256" i="1"/>
  <c r="P256" i="1"/>
  <c r="J257" i="1"/>
  <c r="O257" i="1"/>
  <c r="P257" i="1"/>
  <c r="J258" i="1"/>
  <c r="O258" i="1"/>
  <c r="P258" i="1"/>
  <c r="J259" i="1"/>
  <c r="O259" i="1"/>
  <c r="P259" i="1"/>
  <c r="J260" i="1"/>
  <c r="O260" i="1"/>
  <c r="P260" i="1"/>
  <c r="J261" i="1"/>
  <c r="O261" i="1"/>
  <c r="P261" i="1"/>
  <c r="J262" i="1"/>
  <c r="O262" i="1"/>
  <c r="P262" i="1"/>
  <c r="R8" i="2"/>
  <c r="H8" i="2"/>
  <c r="J176" i="1"/>
  <c r="O176" i="1"/>
  <c r="P176" i="1"/>
  <c r="J177" i="1"/>
  <c r="O177" i="1"/>
  <c r="P177" i="1"/>
  <c r="J178" i="1"/>
  <c r="O178" i="1"/>
  <c r="P178" i="1"/>
  <c r="J180" i="1"/>
  <c r="O180" i="1"/>
  <c r="P180" i="1"/>
  <c r="J182" i="1"/>
  <c r="O182" i="1"/>
  <c r="P182" i="1"/>
  <c r="J183" i="1"/>
  <c r="O183" i="1"/>
  <c r="P183" i="1"/>
  <c r="J184" i="1"/>
  <c r="O184" i="1"/>
  <c r="P184" i="1"/>
  <c r="J185" i="1"/>
  <c r="O185" i="1"/>
  <c r="P185" i="1"/>
  <c r="J186" i="1"/>
  <c r="O186" i="1"/>
  <c r="P186" i="1"/>
  <c r="J187" i="1"/>
  <c r="O187" i="1"/>
  <c r="P187" i="1"/>
  <c r="J188" i="1"/>
  <c r="O188" i="1"/>
  <c r="P188" i="1"/>
  <c r="J189" i="1"/>
  <c r="O189" i="1"/>
  <c r="P189" i="1"/>
  <c r="J190" i="1"/>
  <c r="O190" i="1"/>
  <c r="P190" i="1"/>
  <c r="R7" i="2"/>
  <c r="J163" i="1"/>
  <c r="O163" i="1"/>
  <c r="P163" i="1"/>
  <c r="J164" i="1"/>
  <c r="O164" i="1"/>
  <c r="P164" i="1"/>
  <c r="J165" i="1"/>
  <c r="O165" i="1"/>
  <c r="P165" i="1"/>
  <c r="J166" i="1"/>
  <c r="O166" i="1"/>
  <c r="P166" i="1"/>
  <c r="J167" i="1"/>
  <c r="O167" i="1"/>
  <c r="P167" i="1"/>
  <c r="J168" i="1"/>
  <c r="O168" i="1"/>
  <c r="P168" i="1"/>
  <c r="J169" i="1"/>
  <c r="O169" i="1"/>
  <c r="P169" i="1"/>
  <c r="J170" i="1"/>
  <c r="O170" i="1"/>
  <c r="P170" i="1"/>
  <c r="J171" i="1"/>
  <c r="O171" i="1"/>
  <c r="P171" i="1"/>
  <c r="J172" i="1"/>
  <c r="O172" i="1"/>
  <c r="P172" i="1"/>
  <c r="J173" i="1"/>
  <c r="O173" i="1"/>
  <c r="P173" i="1"/>
  <c r="J174" i="1"/>
  <c r="O174" i="1"/>
  <c r="P174" i="1"/>
  <c r="J175" i="1"/>
  <c r="O175" i="1"/>
  <c r="P175" i="1"/>
  <c r="R6" i="2"/>
  <c r="J154" i="1"/>
  <c r="O154" i="1"/>
  <c r="P154" i="1"/>
  <c r="J155" i="1"/>
  <c r="O155" i="1"/>
  <c r="P155" i="1"/>
  <c r="J156" i="1"/>
  <c r="O156" i="1"/>
  <c r="P156" i="1"/>
  <c r="J157" i="1"/>
  <c r="O157" i="1"/>
  <c r="P157" i="1"/>
  <c r="J158" i="1"/>
  <c r="O158" i="1"/>
  <c r="P158" i="1"/>
  <c r="J159" i="1"/>
  <c r="O159" i="1"/>
  <c r="P159" i="1"/>
  <c r="J160" i="1"/>
  <c r="O160" i="1"/>
  <c r="P160" i="1"/>
  <c r="J161" i="1"/>
  <c r="O161" i="1"/>
  <c r="P161" i="1"/>
  <c r="J162" i="1"/>
  <c r="O162" i="1"/>
  <c r="P162" i="1"/>
  <c r="R5" i="2"/>
  <c r="J142" i="1"/>
  <c r="O142" i="1"/>
  <c r="P142" i="1"/>
  <c r="J143" i="1"/>
  <c r="O143" i="1"/>
  <c r="P143" i="1"/>
  <c r="J144" i="1"/>
  <c r="O144" i="1"/>
  <c r="P144" i="1"/>
  <c r="J145" i="1"/>
  <c r="O145" i="1"/>
  <c r="P145" i="1"/>
  <c r="J146" i="1"/>
  <c r="O146" i="1"/>
  <c r="P146" i="1"/>
  <c r="J147" i="1"/>
  <c r="O147" i="1"/>
  <c r="P147" i="1"/>
  <c r="J148" i="1"/>
  <c r="O148" i="1"/>
  <c r="P148" i="1"/>
  <c r="O149" i="1"/>
  <c r="P149" i="1"/>
  <c r="J150" i="1"/>
  <c r="O150" i="1"/>
  <c r="P150" i="1"/>
  <c r="J151" i="1"/>
  <c r="O151" i="1"/>
  <c r="P151" i="1"/>
  <c r="J152" i="1"/>
  <c r="O152" i="1"/>
  <c r="P152" i="1"/>
  <c r="J153" i="1"/>
  <c r="O153" i="1"/>
  <c r="P153" i="1"/>
  <c r="R4" i="2"/>
  <c r="E4" i="2"/>
  <c r="H4" i="2"/>
  <c r="K4" i="2"/>
  <c r="N4" i="2"/>
  <c r="Q4" i="2"/>
  <c r="T4" i="2"/>
  <c r="W4" i="2"/>
  <c r="X4" i="2"/>
  <c r="E5" i="2"/>
  <c r="H5" i="2"/>
  <c r="K5" i="2"/>
  <c r="N5" i="2"/>
  <c r="Q5" i="2"/>
  <c r="T5" i="2"/>
  <c r="W5" i="2"/>
  <c r="X5" i="2"/>
  <c r="E6" i="2"/>
  <c r="H6" i="2"/>
  <c r="K6" i="2"/>
  <c r="N6" i="2"/>
  <c r="Q6" i="2"/>
  <c r="T6" i="2"/>
  <c r="W6" i="2"/>
  <c r="X6" i="2"/>
  <c r="E7" i="2"/>
  <c r="H7" i="2"/>
  <c r="K7" i="2"/>
  <c r="N7" i="2"/>
  <c r="Q7" i="2"/>
  <c r="T7" i="2"/>
  <c r="W7" i="2"/>
  <c r="X7" i="2"/>
  <c r="W3" i="2"/>
  <c r="J139" i="1"/>
  <c r="O139" i="1"/>
  <c r="P139" i="1"/>
  <c r="J140" i="1"/>
  <c r="O140" i="1"/>
  <c r="P140" i="1"/>
  <c r="J141" i="1"/>
  <c r="O141" i="1"/>
  <c r="P141" i="1"/>
  <c r="R3" i="2"/>
  <c r="T3" i="2"/>
  <c r="Q3" i="2"/>
  <c r="N3" i="2"/>
  <c r="K3" i="2"/>
  <c r="H3" i="2"/>
  <c r="E3" i="2"/>
  <c r="X3" i="2"/>
  <c r="Y3" i="2"/>
  <c r="N814" i="1"/>
  <c r="N813" i="1"/>
  <c r="N812" i="1"/>
  <c r="N810" i="1"/>
  <c r="N809" i="1"/>
  <c r="O808" i="1"/>
  <c r="N808" i="1"/>
  <c r="O807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5" i="1"/>
  <c r="N784" i="1"/>
  <c r="N783" i="1"/>
  <c r="N781" i="1"/>
  <c r="N780" i="1"/>
  <c r="N779" i="1"/>
  <c r="N777" i="1"/>
  <c r="N776" i="1"/>
  <c r="N772" i="1"/>
  <c r="N771" i="1"/>
  <c r="N768" i="1"/>
  <c r="N764" i="1"/>
  <c r="N763" i="1"/>
  <c r="N761" i="1"/>
  <c r="N759" i="1"/>
  <c r="N758" i="1"/>
  <c r="N757" i="1"/>
  <c r="N755" i="1"/>
  <c r="N753" i="1"/>
  <c r="N752" i="1"/>
  <c r="N751" i="1"/>
  <c r="N750" i="1"/>
  <c r="N749" i="1"/>
  <c r="N748" i="1"/>
  <c r="N747" i="1"/>
  <c r="N746" i="1"/>
  <c r="N744" i="1"/>
  <c r="N743" i="1"/>
  <c r="N741" i="1"/>
  <c r="N739" i="1"/>
  <c r="N737" i="1"/>
  <c r="N736" i="1"/>
  <c r="N735" i="1"/>
  <c r="N734" i="1"/>
  <c r="N732" i="1"/>
  <c r="N731" i="1"/>
  <c r="N730" i="1"/>
  <c r="N729" i="1"/>
  <c r="N726" i="1"/>
  <c r="N725" i="1"/>
  <c r="N723" i="1"/>
  <c r="N722" i="1"/>
  <c r="N721" i="1"/>
  <c r="N720" i="1"/>
  <c r="N717" i="1"/>
  <c r="N716" i="1"/>
  <c r="N715" i="1"/>
  <c r="N714" i="1"/>
  <c r="N712" i="1"/>
  <c r="N711" i="1"/>
  <c r="N710" i="1"/>
  <c r="N709" i="1"/>
  <c r="N708" i="1"/>
  <c r="N706" i="1"/>
  <c r="N705" i="1"/>
  <c r="N704" i="1"/>
  <c r="N703" i="1"/>
  <c r="N702" i="1"/>
  <c r="N701" i="1"/>
  <c r="N700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2" i="1"/>
  <c r="N681" i="1"/>
  <c r="N680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P811" i="1"/>
  <c r="P808" i="1"/>
  <c r="P807" i="1"/>
  <c r="O601" i="1"/>
  <c r="P601" i="1"/>
  <c r="P540" i="1"/>
  <c r="O181" i="1"/>
  <c r="P181" i="1"/>
  <c r="O179" i="1"/>
  <c r="P179" i="1"/>
  <c r="O50" i="1"/>
  <c r="P50" i="1"/>
  <c r="O49" i="1"/>
  <c r="P49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7" i="1"/>
  <c r="N58" i="1"/>
  <c r="N59" i="1"/>
  <c r="N60" i="1"/>
  <c r="N61" i="1"/>
  <c r="N62" i="1"/>
  <c r="N63" i="1"/>
  <c r="N64" i="1"/>
  <c r="N65" i="1"/>
  <c r="N67" i="1"/>
  <c r="N68" i="1"/>
  <c r="N70" i="1"/>
  <c r="N71" i="1"/>
  <c r="N72" i="1"/>
  <c r="N73" i="1"/>
  <c r="N74" i="1"/>
  <c r="N77" i="1"/>
  <c r="N78" i="1"/>
  <c r="N79" i="1"/>
  <c r="N80" i="1"/>
  <c r="N84" i="1"/>
  <c r="N85" i="1"/>
  <c r="N86" i="1"/>
  <c r="N87" i="1"/>
  <c r="N89" i="1"/>
  <c r="N90" i="1"/>
  <c r="N91" i="1"/>
  <c r="N92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4" i="1"/>
  <c r="N235" i="1"/>
  <c r="N236" i="1"/>
  <c r="N237" i="1"/>
  <c r="N239" i="1"/>
  <c r="N241" i="1"/>
  <c r="N242" i="1"/>
  <c r="N244" i="1"/>
  <c r="N245" i="1"/>
  <c r="N246" i="1"/>
  <c r="N247" i="1"/>
  <c r="N249" i="1"/>
  <c r="N251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10" i="1"/>
  <c r="N311" i="1"/>
  <c r="N312" i="1"/>
  <c r="N314" i="1"/>
  <c r="N315" i="1"/>
  <c r="N323" i="1"/>
  <c r="N325" i="1"/>
  <c r="N327" i="1"/>
  <c r="N330" i="1"/>
  <c r="N333" i="1"/>
  <c r="N334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5" i="1"/>
  <c r="N388" i="1"/>
  <c r="N389" i="1"/>
  <c r="N390" i="1"/>
  <c r="N391" i="1"/>
  <c r="N392" i="1"/>
  <c r="N394" i="1"/>
  <c r="N395" i="1"/>
  <c r="N396" i="1"/>
  <c r="N397" i="1"/>
  <c r="N399" i="1"/>
  <c r="N400" i="1"/>
  <c r="N401" i="1"/>
  <c r="N402" i="1"/>
  <c r="N403" i="1"/>
  <c r="N404" i="1"/>
  <c r="N405" i="1"/>
  <c r="N407" i="1"/>
  <c r="N408" i="1"/>
  <c r="N409" i="1"/>
  <c r="N411" i="1"/>
  <c r="N412" i="1"/>
  <c r="N414" i="1"/>
  <c r="N415" i="1"/>
  <c r="N416" i="1"/>
  <c r="N417" i="1"/>
  <c r="N418" i="1"/>
  <c r="N420" i="1"/>
  <c r="N422" i="1"/>
  <c r="N423" i="1"/>
  <c r="N424" i="1"/>
  <c r="N427" i="1"/>
  <c r="N429" i="1"/>
  <c r="N430" i="1"/>
  <c r="N431" i="1"/>
  <c r="N432" i="1"/>
  <c r="N433" i="1"/>
  <c r="N434" i="1"/>
  <c r="N436" i="1"/>
  <c r="N437" i="1"/>
  <c r="N438" i="1"/>
  <c r="N440" i="1"/>
  <c r="N442" i="1"/>
  <c r="N444" i="1"/>
  <c r="N445" i="1"/>
  <c r="N446" i="1"/>
  <c r="N448" i="1"/>
  <c r="N449" i="1"/>
  <c r="N450" i="1"/>
  <c r="N451" i="1"/>
  <c r="N452" i="1"/>
  <c r="N453" i="1"/>
  <c r="N454" i="1"/>
  <c r="N457" i="1"/>
  <c r="N458" i="1"/>
  <c r="N461" i="1"/>
  <c r="N463" i="1"/>
  <c r="N464" i="1"/>
  <c r="N466" i="1"/>
  <c r="N468" i="1"/>
  <c r="N470" i="1"/>
  <c r="N472" i="1"/>
  <c r="N476" i="1"/>
  <c r="N477" i="1"/>
  <c r="N478" i="1"/>
  <c r="N479" i="1"/>
  <c r="N480" i="1"/>
  <c r="N481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8" i="1"/>
  <c r="N629" i="1"/>
  <c r="N636" i="1"/>
  <c r="N637" i="1"/>
  <c r="N639" i="1"/>
  <c r="N640" i="1"/>
  <c r="N647" i="1"/>
  <c r="N648" i="1"/>
  <c r="N649" i="1"/>
  <c r="N650" i="1"/>
  <c r="N651" i="1"/>
  <c r="N652" i="1"/>
  <c r="N654" i="1"/>
  <c r="N656" i="1"/>
  <c r="N658" i="1"/>
  <c r="N659" i="1"/>
  <c r="N660" i="1"/>
  <c r="N661" i="1"/>
  <c r="N662" i="1"/>
  <c r="N663" i="1"/>
  <c r="H52" i="2"/>
  <c r="H49" i="2"/>
  <c r="H48" i="2"/>
  <c r="H47" i="2"/>
  <c r="H43" i="2"/>
  <c r="H44" i="2"/>
  <c r="H45" i="2"/>
  <c r="E8" i="2"/>
  <c r="AF3" i="2"/>
  <c r="AG3" i="2"/>
  <c r="AH3" i="2"/>
  <c r="AF4" i="2"/>
  <c r="AG4" i="2"/>
  <c r="AH4" i="2"/>
  <c r="AF5" i="2"/>
  <c r="AG5" i="2"/>
  <c r="AH5" i="2"/>
  <c r="AF6" i="2"/>
  <c r="AG6" i="2"/>
  <c r="AH6" i="2"/>
  <c r="AF7" i="2"/>
  <c r="AG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6" i="1"/>
  <c r="S5" i="1"/>
  <c r="S4" i="1"/>
</calcChain>
</file>

<file path=xl/sharedStrings.xml><?xml version="1.0" encoding="utf-8"?>
<sst xmlns="http://schemas.openxmlformats.org/spreadsheetml/2006/main" count="1731" uniqueCount="67">
  <si>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</si>
  <si>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</si>
  <si>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</si>
  <si>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</si>
  <si>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</si>
  <si>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</si>
  <si>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</si>
  <si>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</si>
  <si>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</si>
  <si>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</si>
  <si>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</si>
  <si>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</si>
  <si>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</si>
  <si>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</si>
  <si>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</si>
  <si>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</si>
  <si>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</si>
  <si>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</si>
  <si>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</si>
  <si>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</si>
  <si>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</si>
  <si>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</si>
  <si>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</si>
  <si>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</si>
  <si>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</si>
  <si>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</si>
  <si>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</si>
  <si>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</si>
  <si>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</si>
  <si>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</si>
  <si>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</si>
  <si>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</si>
  <si>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</si>
  <si>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</si>
  <si>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</si>
  <si>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</si>
  <si>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</si>
  <si>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</si>
  <si>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</si>
  <si>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</si>
  <si>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</si>
  <si>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</si>
  <si>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</si>
  <si>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</si>
  <si>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</si>
  <si>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</si>
  <si>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</si>
  <si>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</si>
  <si>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</si>
  <si>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</si>
  <si>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</si>
  <si>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</si>
  <si>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</si>
  <si>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</si>
  <si>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</si>
  <si>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</si>
  <si>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</si>
  <si>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</si>
  <si>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</si>
  <si>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</si>
  <si>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>Clean biomass (g) (only values)</t>
  </si>
  <si>
    <t>T. Latifolia</t>
  </si>
  <si>
    <t>AIRBOAT</t>
  </si>
  <si>
    <t>S. Acutus</t>
  </si>
  <si>
    <t>.</t>
  </si>
  <si>
    <t>S. Californicus</t>
  </si>
  <si>
    <t>THATCHED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</si>
</sst>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86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  <xf numFmtId="0" fontId="7" fillId="2" borderId="2" xfId="53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541" applyBorder="1" applyAlignment="1">
      <alignment wrapText="1"/>
    </xf>
    <xf numFmtId="0" fontId="7" fillId="2" borderId="3" xfId="534" applyBorder="1"/>
    <xf numFmtId="0" fontId="7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534" applyBorder="1"/>
    <xf numFmtId="0" fontId="7" fillId="2" borderId="0" xfId="534" applyBorder="1"/>
    <xf numFmtId="0" fontId="7" fillId="2" borderId="8" xfId="534" applyBorder="1"/>
    <xf numFmtId="0" fontId="7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534" applyBorder="1"/>
    <xf numFmtId="0" fontId="7" fillId="2" borderId="11" xfId="534" applyBorder="1"/>
    <xf numFmtId="0" fontId="7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534" applyBorder="1"/>
    <xf numFmtId="0" fontId="7" fillId="0" borderId="3" xfId="534" applyFill="1" applyBorder="1"/>
    <xf numFmtId="0" fontId="7" fillId="0" borderId="4" xfId="534" applyFill="1" applyBorder="1"/>
    <xf numFmtId="0" fontId="7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  <xf numFmtId="0" fontId="0" fillId="0" borderId="0" xfId="0" applyNumberFormat="1"/>
  </cellXfs>
  <cellStyles count="8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5"/>
  <sheetViews>
    <sheetView tabSelected="1" zoomScale="125" zoomScaleNormal="125" zoomScalePageLayoutView="125" workbookViewId="0">
      <selection activeCell="P4" sqref="P4:P814"/>
    </sheetView>
  </sheetViews>
  <sheetFormatPr baseColWidth="10" defaultRowHeight="15" x14ac:dyDescent="0"/>
  <cols>
    <col min="2" max="2" width="12.1640625" bestFit="1" customWidth="1"/>
  </cols>
  <sheetData>
    <row r="1" spans="1:19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0"/>
      <c r="Q1" s="1"/>
      <c r="R1" s="1"/>
    </row>
    <row r="2" spans="1:19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1"/>
      <c r="Q2" s="2"/>
      <c r="R2" s="2"/>
    </row>
    <row r="3" spans="1:19" ht="64">
      <c r="A3" t="s">
        <v>2</v>
      </c>
      <c r="B3" s="3" t="s">
        <v>3</v>
      </c>
      <c r="C3" t="s">
        <v>4</v>
      </c>
      <c r="D3" s="4" t="s">
        <v>5</v>
      </c>
      <c r="E3" s="5" t="s">
        <v>6</v>
      </c>
      <c r="F3" s="6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60</v>
      </c>
      <c r="Q3" s="5" t="s">
        <v>17</v>
      </c>
      <c r="R3" s="5" t="s">
        <v>18</v>
      </c>
      <c r="S3" s="5" t="s">
        <v>26</v>
      </c>
    </row>
    <row r="4" spans="1:19">
      <c r="A4" s="7">
        <v>42431</v>
      </c>
      <c r="B4" t="s">
        <v>19</v>
      </c>
      <c r="C4">
        <v>48</v>
      </c>
      <c r="D4" t="s">
        <v>61</v>
      </c>
      <c r="F4">
        <v>1.41</v>
      </c>
      <c r="J4">
        <f>60+65+102+121+141+150</f>
        <v>639</v>
      </c>
      <c r="K4">
        <v>6</v>
      </c>
      <c r="L4">
        <v>150</v>
      </c>
      <c r="N4" t="str">
        <f t="shared" ref="N4:N67" si="0">IF(OR(D4="S. acutus", D4="S. tabernaemontani", D4="S. californicus"),(1/3)*(3.14159)*((F4/2)^2)*E4,"NA")</f>
        <v>NA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5.6255610000000047</v>
      </c>
      <c r="P4">
        <f>IF(O4&lt;0," ",O4)</f>
        <v>5.6255610000000047</v>
      </c>
      <c r="S4">
        <f>3.14159*((F4/2)^2)</f>
        <v>1.5614487697499997</v>
      </c>
    </row>
    <row r="5" spans="1:19">
      <c r="A5" s="7">
        <v>42431</v>
      </c>
      <c r="B5" t="s">
        <v>19</v>
      </c>
      <c r="C5">
        <v>48</v>
      </c>
      <c r="D5" t="s">
        <v>61</v>
      </c>
      <c r="F5">
        <v>15.7</v>
      </c>
      <c r="J5">
        <f>45+73+92+108+131+155+158</f>
        <v>762</v>
      </c>
      <c r="K5">
        <v>7</v>
      </c>
      <c r="L5">
        <v>158</v>
      </c>
      <c r="N5" t="str">
        <f t="shared" si="0"/>
        <v>NA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7.7251130000000074</v>
      </c>
      <c r="P5">
        <f t="shared" ref="P5:P7" si="1">IF(O5&lt;0," ",O5)</f>
        <v>7.7251130000000074</v>
      </c>
      <c r="S5">
        <f t="shared" ref="S5:S68" si="2">3.14159*((F5/2)^2)</f>
        <v>193.59262977499998</v>
      </c>
    </row>
    <row r="6" spans="1:19">
      <c r="A6" s="7">
        <v>42431</v>
      </c>
      <c r="B6" t="s">
        <v>19</v>
      </c>
      <c r="C6">
        <v>48</v>
      </c>
      <c r="D6" t="s">
        <v>61</v>
      </c>
      <c r="F6">
        <v>6.45</v>
      </c>
      <c r="J6">
        <f>69+84+85+213+241+240+250+252+263+269+275</f>
        <v>2241</v>
      </c>
      <c r="K6">
        <v>12</v>
      </c>
      <c r="L6">
        <v>275</v>
      </c>
      <c r="N6" t="str">
        <f t="shared" si="0"/>
        <v>NA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76.03132800000003</v>
      </c>
      <c r="P6">
        <f t="shared" si="1"/>
        <v>76.03132800000003</v>
      </c>
      <c r="S6">
        <f t="shared" si="2"/>
        <v>32.674499493749998</v>
      </c>
    </row>
    <row r="7" spans="1:19">
      <c r="A7" s="7">
        <v>42431</v>
      </c>
      <c r="B7" t="s">
        <v>19</v>
      </c>
      <c r="C7">
        <v>48</v>
      </c>
      <c r="D7" t="s">
        <v>61</v>
      </c>
      <c r="F7" s="44">
        <v>4.8499999999999996</v>
      </c>
      <c r="J7">
        <f>170+210+233+250+288</f>
        <v>1151</v>
      </c>
      <c r="K7">
        <v>5</v>
      </c>
      <c r="L7">
        <v>288</v>
      </c>
      <c r="N7" t="str">
        <f t="shared" si="0"/>
        <v>NA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19.078664000000011</v>
      </c>
      <c r="P7">
        <f t="shared" si="1"/>
        <v>19.078664000000011</v>
      </c>
      <c r="S7">
        <f t="shared" si="2"/>
        <v>18.474512693749997</v>
      </c>
    </row>
    <row r="8" spans="1:19">
      <c r="A8" s="7">
        <v>42431</v>
      </c>
      <c r="B8" t="s">
        <v>19</v>
      </c>
      <c r="C8">
        <v>48</v>
      </c>
      <c r="D8" t="s">
        <v>61</v>
      </c>
      <c r="F8">
        <v>1.35</v>
      </c>
      <c r="J8">
        <f>47+47+110+132+143</f>
        <v>479</v>
      </c>
      <c r="K8">
        <v>5</v>
      </c>
      <c r="L8">
        <v>143</v>
      </c>
      <c r="N8" t="str">
        <f t="shared" si="0"/>
        <v>NA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-0.24417100000000147</v>
      </c>
      <c r="P8" t="str">
        <f>IF(O8&lt;0,"0",O8)</f>
        <v>0</v>
      </c>
      <c r="S8">
        <f t="shared" si="2"/>
        <v>1.4313869437500002</v>
      </c>
    </row>
    <row r="9" spans="1:19">
      <c r="A9" s="7">
        <v>42431</v>
      </c>
      <c r="B9" t="s">
        <v>19</v>
      </c>
      <c r="C9">
        <v>48</v>
      </c>
      <c r="D9" t="s">
        <v>61</v>
      </c>
      <c r="F9">
        <v>4.41</v>
      </c>
      <c r="J9">
        <f>111+175+182+192+239+278+288+302+321</f>
        <v>2088</v>
      </c>
      <c r="K9">
        <v>9</v>
      </c>
      <c r="L9">
        <v>321</v>
      </c>
      <c r="N9" t="str">
        <f t="shared" si="0"/>
        <v>NA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68.89660200000003</v>
      </c>
      <c r="P9">
        <f t="shared" ref="P9:P72" si="3">IF(O9&lt;0,"0",O9)</f>
        <v>68.89660200000003</v>
      </c>
      <c r="S9">
        <f t="shared" si="2"/>
        <v>15.274489119749999</v>
      </c>
    </row>
    <row r="10" spans="1:19">
      <c r="A10" s="7">
        <v>42431</v>
      </c>
      <c r="B10" t="s">
        <v>19</v>
      </c>
      <c r="C10">
        <v>48</v>
      </c>
      <c r="D10" t="s">
        <v>61</v>
      </c>
      <c r="F10">
        <v>0.74</v>
      </c>
      <c r="J10">
        <f>33+38+52+79+108+119</f>
        <v>429</v>
      </c>
      <c r="K10">
        <v>6</v>
      </c>
      <c r="L10">
        <v>321</v>
      </c>
      <c r="N10" t="str">
        <f t="shared" si="0"/>
        <v>NA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-65.575884000000002</v>
      </c>
      <c r="P10" t="str">
        <f t="shared" si="3"/>
        <v>0</v>
      </c>
      <c r="S10">
        <f t="shared" si="2"/>
        <v>0.43008367099999995</v>
      </c>
    </row>
    <row r="11" spans="1:19">
      <c r="A11" s="7">
        <v>42431</v>
      </c>
      <c r="B11" t="s">
        <v>19</v>
      </c>
      <c r="C11">
        <v>48</v>
      </c>
      <c r="D11" t="s">
        <v>61</v>
      </c>
      <c r="F11">
        <v>1</v>
      </c>
      <c r="J11">
        <f>45+50+85+100+128</f>
        <v>408</v>
      </c>
      <c r="K11">
        <v>5</v>
      </c>
      <c r="L11">
        <v>128</v>
      </c>
      <c r="N11" t="str">
        <f t="shared" si="0"/>
        <v>NA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-2.3821009999999987</v>
      </c>
      <c r="P11" t="str">
        <f t="shared" si="3"/>
        <v>0</v>
      </c>
      <c r="S11">
        <f t="shared" si="2"/>
        <v>0.78539749999999997</v>
      </c>
    </row>
    <row r="12" spans="1:19">
      <c r="A12" s="7">
        <v>42431</v>
      </c>
      <c r="B12" t="s">
        <v>19</v>
      </c>
      <c r="C12">
        <v>48</v>
      </c>
      <c r="D12" t="s">
        <v>61</v>
      </c>
      <c r="F12">
        <v>1.24</v>
      </c>
      <c r="J12">
        <f>43+80+81+132+140+179+179</f>
        <v>834</v>
      </c>
      <c r="K12">
        <v>7</v>
      </c>
      <c r="L12">
        <v>179</v>
      </c>
      <c r="N12" t="str">
        <f t="shared" si="0"/>
        <v>NA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8.1493280000000041</v>
      </c>
      <c r="P12">
        <f t="shared" si="3"/>
        <v>8.1493280000000041</v>
      </c>
      <c r="S12">
        <f t="shared" si="2"/>
        <v>1.207627196</v>
      </c>
    </row>
    <row r="13" spans="1:19">
      <c r="A13" s="7">
        <v>42431</v>
      </c>
      <c r="B13" t="s">
        <v>19</v>
      </c>
      <c r="C13">
        <v>48</v>
      </c>
      <c r="D13" t="s">
        <v>61</v>
      </c>
      <c r="F13">
        <v>0.86</v>
      </c>
      <c r="J13">
        <f>69+115+138+155+176</f>
        <v>653</v>
      </c>
      <c r="K13">
        <v>5</v>
      </c>
      <c r="L13">
        <v>176</v>
      </c>
      <c r="N13" t="str">
        <f t="shared" si="0"/>
        <v>NA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6.1281140000000036</v>
      </c>
      <c r="P13">
        <f t="shared" si="3"/>
        <v>6.1281140000000036</v>
      </c>
      <c r="S13">
        <f t="shared" si="2"/>
        <v>0.58087999099999987</v>
      </c>
    </row>
    <row r="14" spans="1:19">
      <c r="A14" s="7">
        <v>42431</v>
      </c>
      <c r="B14" t="s">
        <v>19</v>
      </c>
      <c r="C14">
        <v>48</v>
      </c>
      <c r="D14" t="s">
        <v>61</v>
      </c>
      <c r="F14">
        <v>0.63</v>
      </c>
      <c r="J14">
        <f>57+100+118+153+154</f>
        <v>582</v>
      </c>
      <c r="K14">
        <v>5</v>
      </c>
      <c r="L14">
        <v>154</v>
      </c>
      <c r="N14" t="str">
        <f t="shared" si="0"/>
        <v>NA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6.098899000000003</v>
      </c>
      <c r="P14">
        <f t="shared" si="3"/>
        <v>6.098899000000003</v>
      </c>
      <c r="S14">
        <f t="shared" si="2"/>
        <v>0.31172426775000001</v>
      </c>
    </row>
    <row r="15" spans="1:19">
      <c r="A15" s="7">
        <v>42431</v>
      </c>
      <c r="B15" t="s">
        <v>19</v>
      </c>
      <c r="C15">
        <v>48</v>
      </c>
      <c r="D15" t="s">
        <v>61</v>
      </c>
      <c r="F15">
        <v>0.56999999999999995</v>
      </c>
      <c r="J15">
        <f>39+68+68</f>
        <v>175</v>
      </c>
      <c r="K15">
        <v>3</v>
      </c>
      <c r="L15">
        <v>68</v>
      </c>
      <c r="N15" t="str">
        <f t="shared" si="0"/>
        <v>NA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7.8923899999999989</v>
      </c>
      <c r="P15">
        <f t="shared" si="3"/>
        <v>7.8923899999999989</v>
      </c>
      <c r="S15">
        <f t="shared" si="2"/>
        <v>0.25517564774999996</v>
      </c>
    </row>
    <row r="16" spans="1:19">
      <c r="A16" s="7">
        <v>42431</v>
      </c>
      <c r="B16" t="s">
        <v>19</v>
      </c>
      <c r="C16">
        <v>48</v>
      </c>
      <c r="D16" t="s">
        <v>61</v>
      </c>
      <c r="F16">
        <v>0.49</v>
      </c>
      <c r="J16">
        <f>15+37+44+44</f>
        <v>140</v>
      </c>
      <c r="K16">
        <v>4</v>
      </c>
      <c r="L16">
        <v>44</v>
      </c>
      <c r="N16" t="str">
        <f t="shared" si="0"/>
        <v>NA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4.8184919999999991</v>
      </c>
      <c r="P16">
        <f t="shared" si="3"/>
        <v>4.8184919999999991</v>
      </c>
      <c r="S16">
        <f t="shared" si="2"/>
        <v>0.18857393974999997</v>
      </c>
    </row>
    <row r="17" spans="1:19">
      <c r="A17" s="7">
        <v>42431</v>
      </c>
      <c r="B17" t="s">
        <v>19</v>
      </c>
      <c r="C17">
        <v>48</v>
      </c>
      <c r="D17" t="s">
        <v>61</v>
      </c>
      <c r="F17">
        <v>0.61</v>
      </c>
      <c r="J17">
        <f>70+71+90</f>
        <v>231</v>
      </c>
      <c r="K17">
        <v>3</v>
      </c>
      <c r="L17">
        <v>90</v>
      </c>
      <c r="N17" t="str">
        <f t="shared" si="0"/>
        <v>NA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6.5152799999999971</v>
      </c>
      <c r="P17">
        <f t="shared" si="3"/>
        <v>6.5152799999999971</v>
      </c>
      <c r="S17">
        <f t="shared" si="2"/>
        <v>0.29224640974999999</v>
      </c>
    </row>
    <row r="18" spans="1:19">
      <c r="A18" s="7">
        <v>42431</v>
      </c>
      <c r="B18" t="s">
        <v>19</v>
      </c>
      <c r="C18">
        <v>48</v>
      </c>
      <c r="D18" t="s">
        <v>61</v>
      </c>
      <c r="F18">
        <v>1.04</v>
      </c>
      <c r="J18">
        <f>38+61+98+109+141+147</f>
        <v>594</v>
      </c>
      <c r="K18">
        <v>6</v>
      </c>
      <c r="L18">
        <v>147</v>
      </c>
      <c r="N18" t="str">
        <f t="shared" si="0"/>
        <v>NA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2.3103210000000018</v>
      </c>
      <c r="P18">
        <f t="shared" si="3"/>
        <v>2.3103210000000018</v>
      </c>
      <c r="S18">
        <f t="shared" si="2"/>
        <v>0.84948593600000011</v>
      </c>
    </row>
    <row r="19" spans="1:19">
      <c r="A19" s="7">
        <v>42431</v>
      </c>
      <c r="B19" t="s">
        <v>19</v>
      </c>
      <c r="C19">
        <v>48</v>
      </c>
      <c r="D19" t="s">
        <v>61</v>
      </c>
      <c r="F19">
        <v>0.59</v>
      </c>
      <c r="J19">
        <f>64+98+105+135</f>
        <v>402</v>
      </c>
      <c r="K19">
        <v>4</v>
      </c>
      <c r="L19">
        <v>135</v>
      </c>
      <c r="N19" t="str">
        <f t="shared" si="0"/>
        <v>NA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1.9690070000000013</v>
      </c>
      <c r="P19">
        <f t="shared" si="3"/>
        <v>1.9690070000000013</v>
      </c>
      <c r="S19">
        <f t="shared" si="2"/>
        <v>0.27339686974999994</v>
      </c>
    </row>
    <row r="20" spans="1:19">
      <c r="A20" s="7">
        <v>42431</v>
      </c>
      <c r="B20" t="s">
        <v>19</v>
      </c>
      <c r="C20">
        <v>48</v>
      </c>
      <c r="D20" t="s">
        <v>61</v>
      </c>
      <c r="F20">
        <v>1.38</v>
      </c>
      <c r="J20" s="8">
        <f>58+124+137+166</f>
        <v>485</v>
      </c>
      <c r="K20">
        <v>4</v>
      </c>
      <c r="L20">
        <v>166</v>
      </c>
      <c r="N20" t="str">
        <f t="shared" si="0"/>
        <v>NA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0.41207700000000358</v>
      </c>
      <c r="P20">
        <f t="shared" si="3"/>
        <v>0.41207700000000358</v>
      </c>
      <c r="S20">
        <f t="shared" si="2"/>
        <v>1.4957109989999997</v>
      </c>
    </row>
    <row r="21" spans="1:19">
      <c r="A21" s="7">
        <v>42431</v>
      </c>
      <c r="B21" t="s">
        <v>19</v>
      </c>
      <c r="C21">
        <v>48</v>
      </c>
      <c r="D21" t="s">
        <v>61</v>
      </c>
      <c r="F21">
        <v>1.37</v>
      </c>
      <c r="J21" s="8">
        <f>71+80+120+132+158</f>
        <v>561</v>
      </c>
      <c r="K21">
        <v>5</v>
      </c>
      <c r="L21">
        <v>158</v>
      </c>
      <c r="N21" t="str">
        <f t="shared" si="0"/>
        <v>NA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2.9250640000000061</v>
      </c>
      <c r="P21">
        <f t="shared" si="3"/>
        <v>2.9250640000000061</v>
      </c>
      <c r="S21">
        <f t="shared" si="2"/>
        <v>1.4741125677500002</v>
      </c>
    </row>
    <row r="22" spans="1:19">
      <c r="A22" s="7">
        <v>42431</v>
      </c>
      <c r="B22" t="s">
        <v>19</v>
      </c>
      <c r="C22">
        <v>48</v>
      </c>
      <c r="D22" t="s">
        <v>61</v>
      </c>
      <c r="F22">
        <v>1.34</v>
      </c>
      <c r="J22" s="8">
        <f>76+88+135+146+187+189</f>
        <v>821</v>
      </c>
      <c r="K22">
        <v>6</v>
      </c>
      <c r="L22">
        <v>189</v>
      </c>
      <c r="N22" t="str">
        <f t="shared" si="0"/>
        <v>NA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10.940416000000006</v>
      </c>
      <c r="P22">
        <f t="shared" si="3"/>
        <v>10.940416000000006</v>
      </c>
      <c r="S22">
        <f t="shared" si="2"/>
        <v>1.4102597510000001</v>
      </c>
    </row>
    <row r="23" spans="1:19">
      <c r="A23" s="7">
        <v>42431</v>
      </c>
      <c r="B23" t="s">
        <v>19</v>
      </c>
      <c r="C23">
        <v>48</v>
      </c>
      <c r="D23" t="s">
        <v>61</v>
      </c>
      <c r="F23">
        <v>1.65</v>
      </c>
      <c r="J23" s="8">
        <f>80+141+146+172+204+209+240</f>
        <v>1192</v>
      </c>
      <c r="K23">
        <v>7</v>
      </c>
      <c r="L23">
        <v>240</v>
      </c>
      <c r="N23" t="str">
        <f t="shared" si="0"/>
        <v>NA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23.337673000000002</v>
      </c>
      <c r="P23">
        <f t="shared" si="3"/>
        <v>23.337673000000002</v>
      </c>
      <c r="S23">
        <f t="shared" si="2"/>
        <v>2.1382446937499995</v>
      </c>
    </row>
    <row r="24" spans="1:19">
      <c r="A24" s="7">
        <v>42431</v>
      </c>
      <c r="B24" t="s">
        <v>19</v>
      </c>
      <c r="C24">
        <v>48</v>
      </c>
      <c r="D24" t="s">
        <v>61</v>
      </c>
      <c r="F24">
        <v>1.58</v>
      </c>
      <c r="J24" s="8">
        <f>75+114+131+137+167+181+198</f>
        <v>1003</v>
      </c>
      <c r="K24">
        <v>7</v>
      </c>
      <c r="L24">
        <v>198</v>
      </c>
      <c r="N24" t="str">
        <f t="shared" si="0"/>
        <v>NA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18.270268000000002</v>
      </c>
      <c r="P24">
        <f t="shared" si="3"/>
        <v>18.270268000000002</v>
      </c>
      <c r="S24">
        <f t="shared" si="2"/>
        <v>1.9606663190000002</v>
      </c>
    </row>
    <row r="25" spans="1:19">
      <c r="A25" s="7">
        <v>42431</v>
      </c>
      <c r="B25" t="s">
        <v>19</v>
      </c>
      <c r="C25">
        <v>48</v>
      </c>
      <c r="D25" t="s">
        <v>61</v>
      </c>
      <c r="F25">
        <v>2.06</v>
      </c>
      <c r="J25" s="8">
        <f>75+106+123+141+142+185+191+216</f>
        <v>1179</v>
      </c>
      <c r="K25">
        <v>8</v>
      </c>
      <c r="L25">
        <v>216</v>
      </c>
      <c r="N25" t="str">
        <f t="shared" si="0"/>
        <v>NA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22.326385000000016</v>
      </c>
      <c r="P25">
        <f t="shared" si="3"/>
        <v>22.326385000000016</v>
      </c>
      <c r="S25">
        <f t="shared" si="2"/>
        <v>3.3329128309999998</v>
      </c>
    </row>
    <row r="26" spans="1:19">
      <c r="A26" s="7">
        <v>42431</v>
      </c>
      <c r="B26" t="s">
        <v>19</v>
      </c>
      <c r="C26">
        <v>48</v>
      </c>
      <c r="D26" t="s">
        <v>61</v>
      </c>
      <c r="F26">
        <v>1.36</v>
      </c>
      <c r="J26" s="8">
        <f>68+107+155+171+211+227</f>
        <v>939</v>
      </c>
      <c r="K26">
        <v>6</v>
      </c>
      <c r="L26">
        <v>227</v>
      </c>
      <c r="N26" t="str">
        <f t="shared" si="0"/>
        <v>NA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10.556195999999993</v>
      </c>
      <c r="P26">
        <f t="shared" si="3"/>
        <v>10.556195999999993</v>
      </c>
      <c r="S26">
        <f t="shared" si="2"/>
        <v>1.4526712160000002</v>
      </c>
    </row>
    <row r="27" spans="1:19">
      <c r="A27" s="7">
        <v>42431</v>
      </c>
      <c r="B27" t="s">
        <v>19</v>
      </c>
      <c r="C27">
        <v>48</v>
      </c>
      <c r="D27" t="s">
        <v>61</v>
      </c>
      <c r="F27">
        <v>2.37</v>
      </c>
      <c r="J27" s="8">
        <f>93+140+177+188+226+231</f>
        <v>1055</v>
      </c>
      <c r="K27">
        <v>6</v>
      </c>
      <c r="L27">
        <v>231</v>
      </c>
      <c r="N27" t="str">
        <f t="shared" si="0"/>
        <v>NA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20.226796000000014</v>
      </c>
      <c r="P27">
        <f t="shared" si="3"/>
        <v>20.226796000000014</v>
      </c>
      <c r="S27">
        <f t="shared" si="2"/>
        <v>4.4114992177500003</v>
      </c>
    </row>
    <row r="28" spans="1:19">
      <c r="A28" s="7">
        <v>42431</v>
      </c>
      <c r="B28" t="s">
        <v>19</v>
      </c>
      <c r="C28">
        <v>43</v>
      </c>
      <c r="D28" t="s">
        <v>61</v>
      </c>
      <c r="F28">
        <v>1.24</v>
      </c>
      <c r="J28" s="8">
        <f>53+88+101</f>
        <v>242</v>
      </c>
      <c r="K28">
        <v>3</v>
      </c>
      <c r="L28">
        <v>101</v>
      </c>
      <c r="N28" t="str">
        <f t="shared" si="0"/>
        <v>NA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4.2328899999999976</v>
      </c>
      <c r="P28">
        <f t="shared" si="3"/>
        <v>4.2328899999999976</v>
      </c>
      <c r="S28">
        <f t="shared" si="2"/>
        <v>1.207627196</v>
      </c>
    </row>
    <row r="29" spans="1:19">
      <c r="A29" s="7">
        <v>42431</v>
      </c>
      <c r="B29" t="s">
        <v>19</v>
      </c>
      <c r="C29">
        <v>43</v>
      </c>
      <c r="D29" t="s">
        <v>61</v>
      </c>
      <c r="F29">
        <v>1.46</v>
      </c>
      <c r="J29" s="8">
        <f>97+107+140+152+172</f>
        <v>668</v>
      </c>
      <c r="K29">
        <v>5</v>
      </c>
      <c r="L29">
        <v>172</v>
      </c>
      <c r="N29" t="str">
        <f t="shared" si="0"/>
        <v>NA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8.7394190000000052</v>
      </c>
      <c r="P29">
        <f t="shared" si="3"/>
        <v>8.7394190000000052</v>
      </c>
      <c r="S29">
        <f t="shared" si="2"/>
        <v>1.6741533109999998</v>
      </c>
    </row>
    <row r="30" spans="1:19">
      <c r="A30" s="7">
        <v>42431</v>
      </c>
      <c r="B30" t="s">
        <v>19</v>
      </c>
      <c r="C30">
        <v>43</v>
      </c>
      <c r="D30" t="s">
        <v>61</v>
      </c>
      <c r="F30">
        <v>1.8</v>
      </c>
      <c r="J30" s="8">
        <f>125+141+175+175+199+206</f>
        <v>1021</v>
      </c>
      <c r="K30">
        <v>6</v>
      </c>
      <c r="L30">
        <v>206</v>
      </c>
      <c r="N30" t="str">
        <f t="shared" si="0"/>
        <v>NA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24.570250999999999</v>
      </c>
      <c r="P30">
        <f t="shared" si="3"/>
        <v>24.570250999999999</v>
      </c>
      <c r="S30">
        <f t="shared" si="2"/>
        <v>2.5446879</v>
      </c>
    </row>
    <row r="31" spans="1:19">
      <c r="A31" s="7">
        <v>42431</v>
      </c>
      <c r="B31" t="s">
        <v>19</v>
      </c>
      <c r="C31">
        <v>43</v>
      </c>
      <c r="D31" t="s">
        <v>61</v>
      </c>
      <c r="F31">
        <v>1.46</v>
      </c>
      <c r="J31" s="8">
        <f>63+107+11+130+188</f>
        <v>499</v>
      </c>
      <c r="K31">
        <v>5</v>
      </c>
      <c r="L31">
        <v>188</v>
      </c>
      <c r="N31" t="str">
        <f t="shared" si="0"/>
        <v>NA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-11.925095999999996</v>
      </c>
      <c r="P31" t="str">
        <f t="shared" si="3"/>
        <v>0</v>
      </c>
      <c r="S31">
        <f t="shared" si="2"/>
        <v>1.6741533109999998</v>
      </c>
    </row>
    <row r="32" spans="1:19">
      <c r="A32" s="7">
        <v>42431</v>
      </c>
      <c r="B32" t="s">
        <v>19</v>
      </c>
      <c r="C32">
        <v>43</v>
      </c>
      <c r="D32" t="s">
        <v>61</v>
      </c>
      <c r="F32">
        <v>1.17</v>
      </c>
      <c r="J32" s="8">
        <f>63+110+121+134</f>
        <v>428</v>
      </c>
      <c r="K32">
        <v>4</v>
      </c>
      <c r="L32">
        <v>134</v>
      </c>
      <c r="N32" t="str">
        <f t="shared" si="0"/>
        <v>NA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4.7078820000000015</v>
      </c>
      <c r="P32">
        <f t="shared" si="3"/>
        <v>4.7078820000000015</v>
      </c>
      <c r="S32">
        <f t="shared" si="2"/>
        <v>1.0751306377499998</v>
      </c>
    </row>
    <row r="33" spans="1:19">
      <c r="A33" s="7">
        <v>42431</v>
      </c>
      <c r="B33" t="s">
        <v>19</v>
      </c>
      <c r="C33">
        <v>43</v>
      </c>
      <c r="D33" t="s">
        <v>61</v>
      </c>
      <c r="F33">
        <v>1.29</v>
      </c>
      <c r="J33" s="8">
        <f>35+33+61+67+90</f>
        <v>286</v>
      </c>
      <c r="K33">
        <v>5</v>
      </c>
      <c r="L33">
        <v>90</v>
      </c>
      <c r="N33" t="str">
        <f t="shared" si="0"/>
        <v>NA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-2.3729009999999988</v>
      </c>
      <c r="P33" t="str">
        <f t="shared" si="3"/>
        <v>0</v>
      </c>
      <c r="S33">
        <f t="shared" si="2"/>
        <v>1.3069799797500001</v>
      </c>
    </row>
    <row r="34" spans="1:19">
      <c r="A34" s="7">
        <v>42431</v>
      </c>
      <c r="B34" t="s">
        <v>19</v>
      </c>
      <c r="C34">
        <v>43</v>
      </c>
      <c r="D34" t="s">
        <v>61</v>
      </c>
      <c r="F34">
        <v>0.81</v>
      </c>
      <c r="J34" s="8">
        <f>44+44+111</f>
        <v>199</v>
      </c>
      <c r="K34">
        <v>3</v>
      </c>
      <c r="L34">
        <v>111</v>
      </c>
      <c r="N34" t="str">
        <f t="shared" si="0"/>
        <v>NA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-2.8110250000000079</v>
      </c>
      <c r="P34" t="str">
        <f t="shared" si="3"/>
        <v>0</v>
      </c>
      <c r="S34">
        <f t="shared" si="2"/>
        <v>0.51529929975000011</v>
      </c>
    </row>
    <row r="35" spans="1:19">
      <c r="A35" s="7">
        <v>42431</v>
      </c>
      <c r="B35" t="s">
        <v>19</v>
      </c>
      <c r="C35">
        <v>43</v>
      </c>
      <c r="D35" t="s">
        <v>61</v>
      </c>
      <c r="F35">
        <v>2.79</v>
      </c>
      <c r="J35" s="8">
        <f>101+133+167+185+219+233+261</f>
        <v>1299</v>
      </c>
      <c r="K35">
        <v>7</v>
      </c>
      <c r="L35">
        <v>261</v>
      </c>
      <c r="N35" t="str">
        <f t="shared" si="0"/>
        <v>NA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27.043313000000005</v>
      </c>
      <c r="P35">
        <f t="shared" si="3"/>
        <v>27.043313000000005</v>
      </c>
      <c r="S35">
        <f t="shared" si="2"/>
        <v>6.1136126797500001</v>
      </c>
    </row>
    <row r="36" spans="1:19">
      <c r="A36" s="7">
        <v>42431</v>
      </c>
      <c r="B36" t="s">
        <v>19</v>
      </c>
      <c r="C36">
        <v>43</v>
      </c>
      <c r="D36" t="s">
        <v>61</v>
      </c>
      <c r="F36">
        <v>1.61</v>
      </c>
      <c r="J36" s="8">
        <f>69+108+122+155+157</f>
        <v>611</v>
      </c>
      <c r="K36">
        <v>5</v>
      </c>
      <c r="L36">
        <v>157</v>
      </c>
      <c r="N36" t="str">
        <f t="shared" si="0"/>
        <v>NA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7.9140590000000017</v>
      </c>
      <c r="P36">
        <f t="shared" si="3"/>
        <v>7.9140590000000017</v>
      </c>
      <c r="S36">
        <f t="shared" si="2"/>
        <v>2.0358288597500001</v>
      </c>
    </row>
    <row r="37" spans="1:19">
      <c r="A37" s="7">
        <v>42431</v>
      </c>
      <c r="B37" t="s">
        <v>19</v>
      </c>
      <c r="C37">
        <v>43</v>
      </c>
      <c r="D37" t="s">
        <v>61</v>
      </c>
      <c r="F37">
        <v>1.26</v>
      </c>
      <c r="J37" s="8">
        <f>39+74+89+109+123</f>
        <v>434</v>
      </c>
      <c r="K37">
        <v>5</v>
      </c>
      <c r="L37">
        <v>123</v>
      </c>
      <c r="N37" t="str">
        <f t="shared" si="0"/>
        <v>NA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1.5617540000000005</v>
      </c>
      <c r="P37">
        <f t="shared" si="3"/>
        <v>1.5617540000000005</v>
      </c>
      <c r="S37">
        <f t="shared" si="2"/>
        <v>1.246897071</v>
      </c>
    </row>
    <row r="38" spans="1:19">
      <c r="A38" s="7">
        <v>42431</v>
      </c>
      <c r="B38" t="s">
        <v>19</v>
      </c>
      <c r="C38">
        <v>43</v>
      </c>
      <c r="D38" t="s">
        <v>61</v>
      </c>
      <c r="F38">
        <v>1.51</v>
      </c>
      <c r="J38" s="8">
        <f>76+79+108+112+133+142</f>
        <v>650</v>
      </c>
      <c r="K38">
        <v>6</v>
      </c>
      <c r="L38">
        <v>142</v>
      </c>
      <c r="N38" t="str">
        <f t="shared" si="0"/>
        <v>NA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9.0668259999999989</v>
      </c>
      <c r="P38">
        <f t="shared" si="3"/>
        <v>9.0668259999999989</v>
      </c>
      <c r="S38">
        <f t="shared" si="2"/>
        <v>1.7907848397499999</v>
      </c>
    </row>
    <row r="39" spans="1:19">
      <c r="A39" s="7">
        <v>42431</v>
      </c>
      <c r="B39" t="s">
        <v>19</v>
      </c>
      <c r="C39">
        <v>43</v>
      </c>
      <c r="D39" t="s">
        <v>61</v>
      </c>
      <c r="F39">
        <v>2.0499999999999998</v>
      </c>
      <c r="J39" s="8">
        <f>120+145+155+167+170+180+183</f>
        <v>1120</v>
      </c>
      <c r="K39">
        <v>7</v>
      </c>
      <c r="L39">
        <v>183</v>
      </c>
      <c r="N39" t="str">
        <f t="shared" si="0"/>
        <v>NA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33.758278000000004</v>
      </c>
      <c r="P39">
        <f t="shared" si="3"/>
        <v>33.758278000000004</v>
      </c>
      <c r="S39">
        <f t="shared" si="2"/>
        <v>3.3006329937499994</v>
      </c>
    </row>
    <row r="40" spans="1:19">
      <c r="A40" s="7">
        <v>42431</v>
      </c>
      <c r="B40" t="s">
        <v>19</v>
      </c>
      <c r="C40">
        <v>43</v>
      </c>
      <c r="D40" t="s">
        <v>61</v>
      </c>
      <c r="F40">
        <v>0.82</v>
      </c>
      <c r="J40">
        <f>48+89+100+116</f>
        <v>353</v>
      </c>
      <c r="K40">
        <v>4</v>
      </c>
      <c r="L40">
        <v>116</v>
      </c>
      <c r="N40" t="str">
        <f t="shared" si="0"/>
        <v>NA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3.0986669999999954</v>
      </c>
      <c r="P40">
        <f t="shared" si="3"/>
        <v>3.0986669999999954</v>
      </c>
      <c r="S40">
        <f t="shared" si="2"/>
        <v>0.52810127899999992</v>
      </c>
    </row>
    <row r="41" spans="1:19">
      <c r="A41" s="7">
        <v>42431</v>
      </c>
      <c r="B41" t="s">
        <v>19</v>
      </c>
      <c r="C41">
        <v>43</v>
      </c>
      <c r="D41" t="s">
        <v>61</v>
      </c>
      <c r="F41">
        <v>0.68</v>
      </c>
      <c r="J41">
        <f>40+47+55</f>
        <v>142</v>
      </c>
      <c r="K41">
        <v>3</v>
      </c>
      <c r="L41">
        <v>55</v>
      </c>
      <c r="N41" t="str">
        <f t="shared" si="0"/>
        <v>NA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8.7146599999999985</v>
      </c>
      <c r="P41">
        <f t="shared" si="3"/>
        <v>8.7146599999999985</v>
      </c>
      <c r="S41">
        <f t="shared" si="2"/>
        <v>0.36316780400000004</v>
      </c>
    </row>
    <row r="42" spans="1:19">
      <c r="A42" s="7">
        <v>42431</v>
      </c>
      <c r="B42" t="s">
        <v>19</v>
      </c>
      <c r="C42">
        <v>43</v>
      </c>
      <c r="D42" t="s">
        <v>61</v>
      </c>
      <c r="F42">
        <v>2.85</v>
      </c>
      <c r="J42">
        <f>128+162+187+195+211+221+236</f>
        <v>1340</v>
      </c>
      <c r="K42">
        <v>7</v>
      </c>
      <c r="L42">
        <v>236</v>
      </c>
      <c r="N42" t="str">
        <f t="shared" si="0"/>
        <v>NA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38.418393000000016</v>
      </c>
      <c r="P42">
        <f t="shared" si="3"/>
        <v>38.418393000000016</v>
      </c>
      <c r="S42">
        <f t="shared" si="2"/>
        <v>6.3793911937500001</v>
      </c>
    </row>
    <row r="43" spans="1:19">
      <c r="A43" s="7">
        <v>42431</v>
      </c>
      <c r="B43" t="s">
        <v>19</v>
      </c>
      <c r="C43">
        <v>43</v>
      </c>
      <c r="D43" t="s">
        <v>61</v>
      </c>
      <c r="F43">
        <v>1.2</v>
      </c>
      <c r="J43">
        <f>31+48+83+130</f>
        <v>292</v>
      </c>
      <c r="K43">
        <v>4</v>
      </c>
      <c r="L43">
        <v>130</v>
      </c>
      <c r="N43" t="str">
        <f t="shared" si="0"/>
        <v>NA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-6.8378180000000057</v>
      </c>
      <c r="P43" t="str">
        <f t="shared" si="3"/>
        <v>0</v>
      </c>
      <c r="S43">
        <f t="shared" si="2"/>
        <v>1.1309723999999999</v>
      </c>
    </row>
    <row r="44" spans="1:19">
      <c r="A44" s="7">
        <v>42431</v>
      </c>
      <c r="B44" t="s">
        <v>19</v>
      </c>
      <c r="C44">
        <v>43</v>
      </c>
      <c r="D44" t="s">
        <v>61</v>
      </c>
      <c r="F44">
        <v>1.4</v>
      </c>
      <c r="J44">
        <f>70+72+115+141+151</f>
        <v>549</v>
      </c>
      <c r="K44">
        <v>5</v>
      </c>
      <c r="L44">
        <v>151</v>
      </c>
      <c r="N44" t="str">
        <f t="shared" si="0"/>
        <v>NA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3.9087190000000049</v>
      </c>
      <c r="P44">
        <f t="shared" si="3"/>
        <v>3.9087190000000049</v>
      </c>
      <c r="S44">
        <f t="shared" si="2"/>
        <v>1.5393790999999997</v>
      </c>
    </row>
    <row r="45" spans="1:19">
      <c r="A45" s="7">
        <v>42431</v>
      </c>
      <c r="B45" t="s">
        <v>19</v>
      </c>
      <c r="C45">
        <v>43</v>
      </c>
      <c r="D45" t="s">
        <v>61</v>
      </c>
      <c r="F45">
        <v>0.93</v>
      </c>
      <c r="J45">
        <f>42+54+72+92+98</f>
        <v>358</v>
      </c>
      <c r="K45">
        <v>5</v>
      </c>
      <c r="L45">
        <v>98</v>
      </c>
      <c r="N45" t="str">
        <f t="shared" si="0"/>
        <v>NA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1.9674990000000001</v>
      </c>
      <c r="P45">
        <f t="shared" si="3"/>
        <v>1.9674990000000001</v>
      </c>
      <c r="S45">
        <f t="shared" si="2"/>
        <v>0.67929029775000005</v>
      </c>
    </row>
    <row r="46" spans="1:19">
      <c r="A46" s="7">
        <v>42431</v>
      </c>
      <c r="B46" t="s">
        <v>19</v>
      </c>
      <c r="C46">
        <v>43</v>
      </c>
      <c r="D46" t="s">
        <v>61</v>
      </c>
      <c r="F46">
        <v>0.79</v>
      </c>
      <c r="J46">
        <f>61+71+87+105</f>
        <v>324</v>
      </c>
      <c r="K46">
        <v>4</v>
      </c>
      <c r="L46">
        <v>105</v>
      </c>
      <c r="N46" t="str">
        <f t="shared" si="0"/>
        <v>NA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3.6934670000000018</v>
      </c>
      <c r="P46">
        <f t="shared" si="3"/>
        <v>3.6934670000000018</v>
      </c>
      <c r="S46">
        <f t="shared" si="2"/>
        <v>0.49016657975000005</v>
      </c>
    </row>
    <row r="47" spans="1:19">
      <c r="A47" s="7">
        <v>42431</v>
      </c>
      <c r="B47" t="s">
        <v>19</v>
      </c>
      <c r="C47">
        <v>43</v>
      </c>
      <c r="D47" t="s">
        <v>61</v>
      </c>
      <c r="F47">
        <v>0.82</v>
      </c>
      <c r="J47">
        <f>53+62+85+93</f>
        <v>293</v>
      </c>
      <c r="K47">
        <v>4</v>
      </c>
      <c r="L47">
        <v>93</v>
      </c>
      <c r="N47" t="str">
        <f t="shared" si="0"/>
        <v>NA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4.4020020000000031</v>
      </c>
      <c r="P47">
        <f t="shared" si="3"/>
        <v>4.4020020000000031</v>
      </c>
      <c r="S47">
        <f t="shared" si="2"/>
        <v>0.52810127899999992</v>
      </c>
    </row>
    <row r="48" spans="1:19">
      <c r="A48" s="7">
        <v>42431</v>
      </c>
      <c r="B48" t="s">
        <v>19</v>
      </c>
      <c r="C48">
        <v>43</v>
      </c>
      <c r="D48" s="8" t="s">
        <v>61</v>
      </c>
      <c r="F48">
        <v>3.82</v>
      </c>
      <c r="J48">
        <f>103+134+163+175+209+237+239+258</f>
        <v>1518</v>
      </c>
      <c r="K48">
        <v>8</v>
      </c>
      <c r="L48">
        <v>258</v>
      </c>
      <c r="N48" t="str">
        <f t="shared" si="0"/>
        <v>NA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41.457040000000028</v>
      </c>
      <c r="P48">
        <f t="shared" si="3"/>
        <v>41.457040000000028</v>
      </c>
      <c r="S48">
        <f t="shared" si="2"/>
        <v>11.460834478999999</v>
      </c>
    </row>
    <row r="49" spans="1:19">
      <c r="A49" s="7">
        <v>42431</v>
      </c>
      <c r="B49" t="s">
        <v>19</v>
      </c>
      <c r="C49">
        <v>13</v>
      </c>
      <c r="D49" s="8"/>
      <c r="M49" t="s">
        <v>62</v>
      </c>
      <c r="N49" t="str">
        <f t="shared" si="0"/>
        <v>NA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0</v>
      </c>
      <c r="P49">
        <f t="shared" si="3"/>
        <v>0</v>
      </c>
      <c r="S49">
        <f t="shared" si="2"/>
        <v>0</v>
      </c>
    </row>
    <row r="50" spans="1:19">
      <c r="A50" s="7">
        <v>42431</v>
      </c>
      <c r="B50" t="s">
        <v>19</v>
      </c>
      <c r="C50">
        <v>8</v>
      </c>
      <c r="D50" s="8"/>
      <c r="M50" t="s">
        <v>62</v>
      </c>
      <c r="N50" t="str">
        <f t="shared" si="0"/>
        <v>NA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0</v>
      </c>
      <c r="P50">
        <f t="shared" si="3"/>
        <v>0</v>
      </c>
      <c r="S50">
        <f t="shared" si="2"/>
        <v>0</v>
      </c>
    </row>
    <row r="51" spans="1:19">
      <c r="A51" s="7">
        <v>42431</v>
      </c>
      <c r="B51" t="s">
        <v>19</v>
      </c>
      <c r="C51">
        <v>2</v>
      </c>
      <c r="D51" s="8" t="s">
        <v>61</v>
      </c>
      <c r="F51">
        <v>2.83</v>
      </c>
      <c r="J51">
        <f>83+110+107+123+131+128</f>
        <v>682</v>
      </c>
      <c r="K51">
        <v>6</v>
      </c>
      <c r="L51">
        <v>128</v>
      </c>
      <c r="N51" t="str">
        <f t="shared" si="0"/>
        <v>NA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16.284416</v>
      </c>
      <c r="P51">
        <f t="shared" si="3"/>
        <v>16.284416</v>
      </c>
      <c r="S51">
        <f t="shared" si="2"/>
        <v>6.2901700377500003</v>
      </c>
    </row>
    <row r="52" spans="1:19">
      <c r="A52" s="7">
        <v>42431</v>
      </c>
      <c r="B52" t="s">
        <v>19</v>
      </c>
      <c r="C52">
        <v>2</v>
      </c>
      <c r="D52" s="8" t="s">
        <v>63</v>
      </c>
      <c r="E52">
        <v>97</v>
      </c>
      <c r="F52">
        <v>0.66</v>
      </c>
      <c r="N52">
        <f t="shared" si="0"/>
        <v>11.061852548999999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2.2095880000000001</v>
      </c>
      <c r="P52">
        <f t="shared" si="3"/>
        <v>2.2095880000000001</v>
      </c>
      <c r="S52">
        <f t="shared" si="2"/>
        <v>0.34211915100000001</v>
      </c>
    </row>
    <row r="53" spans="1:19">
      <c r="A53" s="7">
        <v>42431</v>
      </c>
      <c r="B53" t="s">
        <v>19</v>
      </c>
      <c r="C53">
        <v>2</v>
      </c>
      <c r="D53" s="8" t="s">
        <v>63</v>
      </c>
      <c r="E53">
        <v>125</v>
      </c>
      <c r="F53">
        <v>0.83</v>
      </c>
      <c r="N53">
        <f t="shared" si="0"/>
        <v>22.544180739583329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4.1725280000000007</v>
      </c>
      <c r="P53">
        <f t="shared" si="3"/>
        <v>4.1725280000000007</v>
      </c>
      <c r="S53">
        <f t="shared" si="2"/>
        <v>0.54106033774999995</v>
      </c>
    </row>
    <row r="54" spans="1:19">
      <c r="A54" s="7">
        <v>42431</v>
      </c>
      <c r="B54" t="s">
        <v>19</v>
      </c>
      <c r="C54">
        <v>2</v>
      </c>
      <c r="D54" s="8" t="s">
        <v>63</v>
      </c>
      <c r="E54">
        <v>42</v>
      </c>
      <c r="F54">
        <v>0.68</v>
      </c>
      <c r="G54">
        <v>1</v>
      </c>
      <c r="N54">
        <f t="shared" si="0"/>
        <v>5.0843492560000003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1.7810188219575305</v>
      </c>
      <c r="P54">
        <f t="shared" si="3"/>
        <v>1.7810188219575305</v>
      </c>
      <c r="S54">
        <f t="shared" si="2"/>
        <v>0.36316780400000004</v>
      </c>
    </row>
    <row r="55" spans="1:19">
      <c r="A55" s="7">
        <v>42431</v>
      </c>
      <c r="B55" t="s">
        <v>19</v>
      </c>
      <c r="C55">
        <v>2</v>
      </c>
      <c r="D55" s="8" t="s">
        <v>63</v>
      </c>
      <c r="E55">
        <v>45</v>
      </c>
      <c r="F55">
        <v>0.64</v>
      </c>
      <c r="G55">
        <v>1</v>
      </c>
      <c r="N55">
        <f t="shared" si="0"/>
        <v>4.8254822400000004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1.8882043710620162</v>
      </c>
      <c r="P55">
        <f t="shared" si="3"/>
        <v>1.8882043710620162</v>
      </c>
      <c r="S55">
        <f t="shared" si="2"/>
        <v>0.321698816</v>
      </c>
    </row>
    <row r="56" spans="1:19">
      <c r="A56" s="7">
        <v>42431</v>
      </c>
      <c r="B56" t="s">
        <v>19</v>
      </c>
      <c r="C56">
        <v>2</v>
      </c>
      <c r="D56" s="8" t="s">
        <v>63</v>
      </c>
      <c r="E56">
        <v>61</v>
      </c>
      <c r="F56">
        <v>0.74</v>
      </c>
      <c r="G56">
        <v>1</v>
      </c>
      <c r="N56">
        <f t="shared" si="0"/>
        <v>8.7450346436666653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2.6305310860572457</v>
      </c>
      <c r="P56">
        <f t="shared" si="3"/>
        <v>2.6305310860572457</v>
      </c>
      <c r="S56">
        <f t="shared" si="2"/>
        <v>0.43008367099999995</v>
      </c>
    </row>
    <row r="57" spans="1:19">
      <c r="A57" s="7">
        <v>42431</v>
      </c>
      <c r="B57" t="s">
        <v>19</v>
      </c>
      <c r="C57">
        <v>2</v>
      </c>
      <c r="D57" s="8" t="s">
        <v>63</v>
      </c>
      <c r="E57">
        <v>113</v>
      </c>
      <c r="F57">
        <v>0.6</v>
      </c>
      <c r="N57">
        <f t="shared" si="0"/>
        <v>10.649990099999998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3.3312680000000006</v>
      </c>
      <c r="P57">
        <f t="shared" si="3"/>
        <v>3.3312680000000006</v>
      </c>
      <c r="S57">
        <f t="shared" si="2"/>
        <v>0.28274309999999997</v>
      </c>
    </row>
    <row r="58" spans="1:19">
      <c r="A58" s="7">
        <v>42431</v>
      </c>
      <c r="B58" t="s">
        <v>19</v>
      </c>
      <c r="C58">
        <v>2</v>
      </c>
      <c r="D58" s="8" t="s">
        <v>63</v>
      </c>
      <c r="E58">
        <v>45</v>
      </c>
      <c r="F58">
        <v>0.56000000000000005</v>
      </c>
      <c r="N58">
        <f t="shared" si="0"/>
        <v>3.6945098400000003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-1.4358719999999998</v>
      </c>
      <c r="P58" t="str">
        <f t="shared" si="3"/>
        <v>0</v>
      </c>
      <c r="S58">
        <f t="shared" si="2"/>
        <v>0.24630065600000003</v>
      </c>
    </row>
    <row r="59" spans="1:19">
      <c r="A59" s="7">
        <v>42431</v>
      </c>
      <c r="B59" t="s">
        <v>19</v>
      </c>
      <c r="C59">
        <v>2</v>
      </c>
      <c r="D59" s="8" t="s">
        <v>63</v>
      </c>
      <c r="E59">
        <v>61</v>
      </c>
      <c r="F59">
        <v>0.66</v>
      </c>
      <c r="N59">
        <f t="shared" si="0"/>
        <v>6.9564227369999996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-0.31419199999999936</v>
      </c>
      <c r="P59" t="str">
        <f t="shared" si="3"/>
        <v>0</v>
      </c>
      <c r="S59">
        <f t="shared" si="2"/>
        <v>0.34211915100000001</v>
      </c>
    </row>
    <row r="60" spans="1:19">
      <c r="A60" s="7">
        <v>42431</v>
      </c>
      <c r="B60" t="s">
        <v>19</v>
      </c>
      <c r="C60">
        <v>2</v>
      </c>
      <c r="D60" s="8" t="s">
        <v>63</v>
      </c>
      <c r="E60">
        <v>18</v>
      </c>
      <c r="F60">
        <v>0.54</v>
      </c>
      <c r="N60">
        <f t="shared" si="0"/>
        <v>1.3741314660000001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-3.3287069999999996</v>
      </c>
      <c r="P60" t="str">
        <f t="shared" si="3"/>
        <v>0</v>
      </c>
      <c r="S60">
        <f t="shared" si="2"/>
        <v>0.22902191100000002</v>
      </c>
    </row>
    <row r="61" spans="1:19">
      <c r="A61" s="7">
        <v>42431</v>
      </c>
      <c r="B61" t="s">
        <v>19</v>
      </c>
      <c r="C61">
        <v>2</v>
      </c>
      <c r="D61" s="8" t="s">
        <v>63</v>
      </c>
      <c r="E61">
        <v>27</v>
      </c>
      <c r="F61">
        <v>0.77</v>
      </c>
      <c r="N61">
        <f t="shared" si="0"/>
        <v>4.1909595997499993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-2.697762</v>
      </c>
      <c r="P61" t="str">
        <f t="shared" si="3"/>
        <v>0</v>
      </c>
      <c r="S61">
        <f t="shared" si="2"/>
        <v>0.46566217774999996</v>
      </c>
    </row>
    <row r="62" spans="1:19">
      <c r="A62" s="7">
        <v>42431</v>
      </c>
      <c r="B62" t="s">
        <v>19</v>
      </c>
      <c r="C62">
        <v>2</v>
      </c>
      <c r="D62" s="8" t="s">
        <v>63</v>
      </c>
      <c r="E62">
        <v>48</v>
      </c>
      <c r="F62">
        <v>0.54</v>
      </c>
      <c r="N62">
        <f t="shared" si="0"/>
        <v>3.6643505760000004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-1.2255569999999998</v>
      </c>
      <c r="P62" t="str">
        <f t="shared" si="3"/>
        <v>0</v>
      </c>
      <c r="S62">
        <f t="shared" si="2"/>
        <v>0.22902191100000002</v>
      </c>
    </row>
    <row r="63" spans="1:19">
      <c r="A63" s="7">
        <v>42431</v>
      </c>
      <c r="B63" t="s">
        <v>19</v>
      </c>
      <c r="C63">
        <v>2</v>
      </c>
      <c r="D63" s="8" t="s">
        <v>63</v>
      </c>
      <c r="E63">
        <v>48</v>
      </c>
      <c r="F63">
        <v>0.76</v>
      </c>
      <c r="N63">
        <f t="shared" si="0"/>
        <v>7.2583295359999997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-1.2255569999999998</v>
      </c>
      <c r="P63" t="str">
        <f t="shared" si="3"/>
        <v>0</v>
      </c>
      <c r="S63">
        <f t="shared" si="2"/>
        <v>0.45364559599999998</v>
      </c>
    </row>
    <row r="64" spans="1:19">
      <c r="A64" s="7">
        <v>42431</v>
      </c>
      <c r="B64" t="s">
        <v>19</v>
      </c>
      <c r="C64">
        <v>2</v>
      </c>
      <c r="D64" s="8" t="s">
        <v>63</v>
      </c>
      <c r="E64">
        <v>38</v>
      </c>
      <c r="F64">
        <v>0.64</v>
      </c>
      <c r="N64">
        <f t="shared" si="0"/>
        <v>4.0748516693333334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-1.9266069999999997</v>
      </c>
      <c r="P64" t="str">
        <f t="shared" si="3"/>
        <v>0</v>
      </c>
      <c r="S64">
        <f t="shared" si="2"/>
        <v>0.321698816</v>
      </c>
    </row>
    <row r="65" spans="1:19">
      <c r="A65" s="7">
        <v>42431</v>
      </c>
      <c r="B65" t="s">
        <v>19</v>
      </c>
      <c r="C65">
        <v>2</v>
      </c>
      <c r="D65" s="8" t="s">
        <v>63</v>
      </c>
      <c r="E65">
        <v>41</v>
      </c>
      <c r="F65">
        <v>0.6</v>
      </c>
      <c r="N65">
        <f t="shared" si="0"/>
        <v>3.8641556999999995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-1.7162919999999997</v>
      </c>
      <c r="P65" t="str">
        <f t="shared" si="3"/>
        <v>0</v>
      </c>
      <c r="S65">
        <f t="shared" si="2"/>
        <v>0.28274309999999997</v>
      </c>
    </row>
    <row r="66" spans="1:19">
      <c r="A66" s="7">
        <v>42431</v>
      </c>
      <c r="B66" t="s">
        <v>19</v>
      </c>
      <c r="C66">
        <v>2</v>
      </c>
      <c r="D66" s="8" t="s">
        <v>63</v>
      </c>
      <c r="E66">
        <v>56</v>
      </c>
      <c r="F66">
        <v>0.65</v>
      </c>
      <c r="G66">
        <v>1</v>
      </c>
      <c r="N66">
        <f t="shared" si="0"/>
        <v>6.1941682833333331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2.3558553934747883</v>
      </c>
      <c r="P66">
        <f t="shared" si="3"/>
        <v>2.3558553934747883</v>
      </c>
      <c r="S66">
        <f t="shared" si="2"/>
        <v>0.33183044375000004</v>
      </c>
    </row>
    <row r="67" spans="1:19">
      <c r="A67" s="7">
        <v>42431</v>
      </c>
      <c r="B67" t="s">
        <v>19</v>
      </c>
      <c r="C67">
        <v>2</v>
      </c>
      <c r="D67" s="8" t="s">
        <v>63</v>
      </c>
      <c r="E67">
        <v>44</v>
      </c>
      <c r="F67">
        <v>0.63</v>
      </c>
      <c r="N67">
        <f t="shared" si="0"/>
        <v>4.5719559270000003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-1.5059769999999997</v>
      </c>
      <c r="P67" t="str">
        <f t="shared" si="3"/>
        <v>0</v>
      </c>
      <c r="S67">
        <f t="shared" si="2"/>
        <v>0.31172426775000001</v>
      </c>
    </row>
    <row r="68" spans="1:19">
      <c r="A68" s="7">
        <v>42431</v>
      </c>
      <c r="B68" t="s">
        <v>19</v>
      </c>
      <c r="C68">
        <v>2</v>
      </c>
      <c r="D68" s="8" t="s">
        <v>63</v>
      </c>
      <c r="E68">
        <v>28</v>
      </c>
      <c r="F68">
        <v>0.62</v>
      </c>
      <c r="N68">
        <f t="shared" ref="N68:N131" si="4">IF(OR(D68="S. acutus", D68="S. tabernaemontani", D68="S. californicus"),(1/3)*(3.14159)*((F68/2)^2)*E68,"NA")</f>
        <v>2.8177967906666663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-2.6276569999999997</v>
      </c>
      <c r="P68" t="str">
        <f t="shared" si="3"/>
        <v>0</v>
      </c>
      <c r="S68">
        <f t="shared" si="2"/>
        <v>0.301906799</v>
      </c>
    </row>
    <row r="69" spans="1:19">
      <c r="A69" s="7">
        <v>42431</v>
      </c>
      <c r="B69" t="s">
        <v>19</v>
      </c>
      <c r="C69">
        <v>2</v>
      </c>
      <c r="D69" s="8" t="s">
        <v>63</v>
      </c>
      <c r="E69">
        <v>106</v>
      </c>
      <c r="F69">
        <v>1.1000000000000001</v>
      </c>
      <c r="G69">
        <v>2</v>
      </c>
      <c r="N69">
        <f t="shared" si="4"/>
        <v>33.57836111666667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5.1630060484816722</v>
      </c>
      <c r="P69">
        <f t="shared" si="3"/>
        <v>5.1630060484816722</v>
      </c>
      <c r="S69">
        <f t="shared" ref="S69:S132" si="5">3.14159*((F69/2)^2)</f>
        <v>0.95033097500000008</v>
      </c>
    </row>
    <row r="70" spans="1:19">
      <c r="A70" s="7">
        <v>42431</v>
      </c>
      <c r="B70" t="s">
        <v>19</v>
      </c>
      <c r="C70">
        <v>2</v>
      </c>
      <c r="D70" s="8" t="s">
        <v>63</v>
      </c>
      <c r="E70">
        <v>10</v>
      </c>
      <c r="F70">
        <v>0.47</v>
      </c>
      <c r="N70">
        <f t="shared" si="4"/>
        <v>0.57831435916666663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-3.8895469999999999</v>
      </c>
      <c r="P70" t="str">
        <f t="shared" si="3"/>
        <v>0</v>
      </c>
      <c r="S70">
        <f t="shared" si="5"/>
        <v>0.17349430774999999</v>
      </c>
    </row>
    <row r="71" spans="1:19">
      <c r="A71" s="7">
        <v>42431</v>
      </c>
      <c r="B71" t="s">
        <v>19</v>
      </c>
      <c r="C71">
        <v>2</v>
      </c>
      <c r="D71" s="8" t="s">
        <v>63</v>
      </c>
      <c r="E71">
        <v>56</v>
      </c>
      <c r="F71">
        <v>0.55000000000000004</v>
      </c>
      <c r="N71">
        <f t="shared" si="4"/>
        <v>4.4348778833333338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-0.66471699999999956</v>
      </c>
      <c r="P71" t="str">
        <f t="shared" si="3"/>
        <v>0</v>
      </c>
      <c r="S71">
        <f t="shared" si="5"/>
        <v>0.23758274375000002</v>
      </c>
    </row>
    <row r="72" spans="1:19">
      <c r="A72" s="7">
        <v>42431</v>
      </c>
      <c r="B72" t="s">
        <v>19</v>
      </c>
      <c r="C72">
        <v>2</v>
      </c>
      <c r="D72" s="8" t="s">
        <v>63</v>
      </c>
      <c r="E72">
        <v>90</v>
      </c>
      <c r="F72">
        <v>0.71</v>
      </c>
      <c r="N72">
        <f t="shared" si="4"/>
        <v>11.877566392499999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1.7188530000000002</v>
      </c>
      <c r="P72">
        <f t="shared" si="3"/>
        <v>1.7188530000000002</v>
      </c>
      <c r="S72">
        <f t="shared" si="5"/>
        <v>0.39591887974999995</v>
      </c>
    </row>
    <row r="73" spans="1:19">
      <c r="A73" s="7">
        <v>42431</v>
      </c>
      <c r="B73" t="s">
        <v>19</v>
      </c>
      <c r="C73">
        <v>2</v>
      </c>
      <c r="D73" s="8" t="s">
        <v>63</v>
      </c>
      <c r="E73">
        <v>73</v>
      </c>
      <c r="F73">
        <v>0.59</v>
      </c>
      <c r="N73">
        <f t="shared" si="4"/>
        <v>6.6526571639166656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0.52706799999999987</v>
      </c>
      <c r="P73">
        <f t="shared" ref="P73:P136" si="6">IF(O73&lt;0,"0",O73)</f>
        <v>0.52706799999999987</v>
      </c>
      <c r="S73">
        <f t="shared" si="5"/>
        <v>0.27339686974999994</v>
      </c>
    </row>
    <row r="74" spans="1:19">
      <c r="A74" s="7">
        <v>42431</v>
      </c>
      <c r="B74" t="s">
        <v>19</v>
      </c>
      <c r="C74">
        <v>2</v>
      </c>
      <c r="D74" s="8" t="s">
        <v>63</v>
      </c>
      <c r="E74">
        <v>21</v>
      </c>
      <c r="F74">
        <v>0.51</v>
      </c>
      <c r="N74">
        <f t="shared" si="4"/>
        <v>1.4299732282499997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-3.1183920000000001</v>
      </c>
      <c r="P74" t="str">
        <f t="shared" si="6"/>
        <v>0</v>
      </c>
      <c r="S74">
        <f t="shared" si="5"/>
        <v>0.20428188975</v>
      </c>
    </row>
    <row r="75" spans="1:19">
      <c r="A75" s="7">
        <v>42431</v>
      </c>
      <c r="B75" t="s">
        <v>19</v>
      </c>
      <c r="C75">
        <v>2</v>
      </c>
      <c r="D75" s="8" t="s">
        <v>63</v>
      </c>
      <c r="E75">
        <v>77</v>
      </c>
      <c r="F75">
        <v>0.74</v>
      </c>
      <c r="G75">
        <v>3</v>
      </c>
      <c r="N75">
        <f t="shared" si="4"/>
        <v>11.038814222333333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3.3205064528919337</v>
      </c>
      <c r="P75">
        <f t="shared" si="6"/>
        <v>3.3205064528919337</v>
      </c>
      <c r="S75">
        <f t="shared" si="5"/>
        <v>0.43008367099999995</v>
      </c>
    </row>
    <row r="76" spans="1:19">
      <c r="A76" s="7">
        <v>42431</v>
      </c>
      <c r="B76" t="s">
        <v>19</v>
      </c>
      <c r="C76">
        <v>2</v>
      </c>
      <c r="D76" s="8" t="s">
        <v>63</v>
      </c>
      <c r="E76">
        <v>53</v>
      </c>
      <c r="F76">
        <v>0.67</v>
      </c>
      <c r="G76">
        <v>1</v>
      </c>
      <c r="N76">
        <f t="shared" si="4"/>
        <v>6.2286472335833336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2.241444346703894</v>
      </c>
      <c r="P76">
        <f t="shared" si="6"/>
        <v>2.241444346703894</v>
      </c>
      <c r="S76">
        <f t="shared" si="5"/>
        <v>0.35256493775000003</v>
      </c>
    </row>
    <row r="77" spans="1:19">
      <c r="A77" s="7">
        <v>42431</v>
      </c>
      <c r="B77" t="s">
        <v>19</v>
      </c>
      <c r="C77">
        <v>2</v>
      </c>
      <c r="D77" s="8" t="s">
        <v>63</v>
      </c>
      <c r="E77">
        <v>20</v>
      </c>
      <c r="F77">
        <v>0.42</v>
      </c>
      <c r="N77">
        <f t="shared" si="4"/>
        <v>0.92362745999999984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-3.1884969999999999</v>
      </c>
      <c r="P77" t="str">
        <f t="shared" si="6"/>
        <v>0</v>
      </c>
      <c r="S77">
        <f t="shared" si="5"/>
        <v>0.13854411899999997</v>
      </c>
    </row>
    <row r="78" spans="1:19">
      <c r="A78" s="7">
        <v>42431</v>
      </c>
      <c r="B78" t="s">
        <v>19</v>
      </c>
      <c r="C78">
        <v>2</v>
      </c>
      <c r="D78" s="8" t="s">
        <v>63</v>
      </c>
      <c r="E78">
        <v>26</v>
      </c>
      <c r="F78">
        <v>0.72</v>
      </c>
      <c r="N78">
        <f t="shared" si="4"/>
        <v>3.5286338879999994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-2.7678669999999999</v>
      </c>
      <c r="P78" t="str">
        <f t="shared" si="6"/>
        <v>0</v>
      </c>
      <c r="S78">
        <f t="shared" si="5"/>
        <v>0.40715006399999998</v>
      </c>
    </row>
    <row r="79" spans="1:19">
      <c r="A79" s="7">
        <v>42431</v>
      </c>
      <c r="B79" t="s">
        <v>19</v>
      </c>
      <c r="C79">
        <v>2</v>
      </c>
      <c r="D79" s="8" t="s">
        <v>63</v>
      </c>
      <c r="E79">
        <v>13</v>
      </c>
      <c r="F79">
        <v>0.39</v>
      </c>
      <c r="N79">
        <f t="shared" si="4"/>
        <v>0.51765549224999996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-3.6792319999999998</v>
      </c>
      <c r="P79" t="str">
        <f t="shared" si="6"/>
        <v>0</v>
      </c>
      <c r="S79">
        <f t="shared" si="5"/>
        <v>0.11945895975000001</v>
      </c>
    </row>
    <row r="80" spans="1:19">
      <c r="A80" s="7">
        <v>42431</v>
      </c>
      <c r="B80" t="s">
        <v>19</v>
      </c>
      <c r="C80">
        <v>2</v>
      </c>
      <c r="D80" s="8" t="s">
        <v>63</v>
      </c>
      <c r="E80">
        <v>86</v>
      </c>
      <c r="F80">
        <v>1.03</v>
      </c>
      <c r="N80">
        <f t="shared" si="4"/>
        <v>23.885875288833333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1.4384329999999999</v>
      </c>
      <c r="P80">
        <f t="shared" si="6"/>
        <v>1.4384329999999999</v>
      </c>
      <c r="S80">
        <f t="shared" si="5"/>
        <v>0.83322820774999995</v>
      </c>
    </row>
    <row r="81" spans="1:19">
      <c r="A81" s="7">
        <v>42431</v>
      </c>
      <c r="B81" t="s">
        <v>19</v>
      </c>
      <c r="C81">
        <v>2</v>
      </c>
      <c r="D81" s="8" t="s">
        <v>63</v>
      </c>
      <c r="E81">
        <v>90</v>
      </c>
      <c r="F81">
        <v>0.96</v>
      </c>
      <c r="G81">
        <v>5</v>
      </c>
      <c r="N81">
        <f t="shared" si="4"/>
        <v>21.714670079999998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4.1648709197790721</v>
      </c>
      <c r="P81">
        <f t="shared" si="6"/>
        <v>4.1648709197790721</v>
      </c>
      <c r="S81">
        <f t="shared" si="5"/>
        <v>0.7238223359999999</v>
      </c>
    </row>
    <row r="82" spans="1:19">
      <c r="A82" s="7">
        <v>42431</v>
      </c>
      <c r="B82" t="s">
        <v>19</v>
      </c>
      <c r="C82">
        <v>2</v>
      </c>
      <c r="D82" s="8" t="s">
        <v>63</v>
      </c>
      <c r="E82">
        <v>60</v>
      </c>
      <c r="F82">
        <v>0.79</v>
      </c>
      <c r="G82">
        <v>1</v>
      </c>
      <c r="N82">
        <f t="shared" si="4"/>
        <v>9.8033315950000013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2.6261021003574356</v>
      </c>
      <c r="P82">
        <f t="shared" si="6"/>
        <v>2.6261021003574356</v>
      </c>
      <c r="S82">
        <f t="shared" si="5"/>
        <v>0.49016657975000005</v>
      </c>
    </row>
    <row r="83" spans="1:19">
      <c r="A83" s="7">
        <v>42431</v>
      </c>
      <c r="B83" t="s">
        <v>19</v>
      </c>
      <c r="C83">
        <v>2</v>
      </c>
      <c r="D83" s="8" t="s">
        <v>63</v>
      </c>
      <c r="E83">
        <v>76</v>
      </c>
      <c r="F83">
        <v>0.63</v>
      </c>
      <c r="G83">
        <v>1</v>
      </c>
      <c r="N83">
        <f t="shared" si="4"/>
        <v>7.8970147830000004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3.1808305833259052</v>
      </c>
      <c r="P83">
        <f t="shared" si="6"/>
        <v>3.1808305833259052</v>
      </c>
      <c r="S83">
        <f t="shared" si="5"/>
        <v>0.31172426775000001</v>
      </c>
    </row>
    <row r="84" spans="1:19">
      <c r="A84" s="7">
        <v>42431</v>
      </c>
      <c r="B84" t="s">
        <v>19</v>
      </c>
      <c r="C84">
        <v>2</v>
      </c>
      <c r="D84" s="8" t="s">
        <v>63</v>
      </c>
      <c r="E84">
        <v>36</v>
      </c>
      <c r="F84">
        <v>0.46</v>
      </c>
      <c r="N84">
        <f t="shared" si="4"/>
        <v>1.9942813319999999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-2.0668169999999999</v>
      </c>
      <c r="P84" t="str">
        <f t="shared" si="6"/>
        <v>0</v>
      </c>
      <c r="S84">
        <f t="shared" si="5"/>
        <v>0.166190111</v>
      </c>
    </row>
    <row r="85" spans="1:19">
      <c r="A85" s="9">
        <v>42431</v>
      </c>
      <c r="B85" s="8" t="s">
        <v>19</v>
      </c>
      <c r="C85">
        <v>2</v>
      </c>
      <c r="D85" s="8" t="s">
        <v>61</v>
      </c>
      <c r="F85">
        <v>0.62</v>
      </c>
      <c r="J85">
        <f>13+36+39+48</f>
        <v>136</v>
      </c>
      <c r="K85">
        <v>4</v>
      </c>
      <c r="L85">
        <v>48</v>
      </c>
      <c r="N85" t="str">
        <f t="shared" si="4"/>
        <v>NA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3.2384920000000008</v>
      </c>
      <c r="P85">
        <f t="shared" si="6"/>
        <v>3.2384920000000008</v>
      </c>
      <c r="S85">
        <f t="shared" si="5"/>
        <v>0.301906799</v>
      </c>
    </row>
    <row r="86" spans="1:19">
      <c r="A86" s="9">
        <v>42431</v>
      </c>
      <c r="B86" s="8" t="s">
        <v>19</v>
      </c>
      <c r="C86">
        <v>2</v>
      </c>
      <c r="D86" s="8" t="s">
        <v>63</v>
      </c>
      <c r="E86">
        <v>108</v>
      </c>
      <c r="F86">
        <v>0.9</v>
      </c>
      <c r="N86">
        <f t="shared" si="4"/>
        <v>22.9021911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2.9807430000000004</v>
      </c>
      <c r="P86">
        <f t="shared" si="6"/>
        <v>2.9807430000000004</v>
      </c>
      <c r="S86">
        <f t="shared" si="5"/>
        <v>0.636171975</v>
      </c>
    </row>
    <row r="87" spans="1:19">
      <c r="A87" s="9">
        <v>42431</v>
      </c>
      <c r="B87" s="8" t="s">
        <v>19</v>
      </c>
      <c r="C87">
        <v>2</v>
      </c>
      <c r="D87" s="8" t="s">
        <v>63</v>
      </c>
      <c r="E87">
        <v>19</v>
      </c>
      <c r="F87">
        <v>0.66</v>
      </c>
      <c r="N87">
        <f t="shared" si="4"/>
        <v>2.1667546230000001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-3.2586019999999998</v>
      </c>
      <c r="P87" t="str">
        <f t="shared" si="6"/>
        <v>0</v>
      </c>
      <c r="S87">
        <f t="shared" si="5"/>
        <v>0.34211915100000001</v>
      </c>
    </row>
    <row r="88" spans="1:19">
      <c r="A88" s="9">
        <v>42431</v>
      </c>
      <c r="B88" s="8" t="s">
        <v>19</v>
      </c>
      <c r="C88">
        <v>2</v>
      </c>
      <c r="D88" s="8" t="s">
        <v>63</v>
      </c>
      <c r="E88">
        <v>86</v>
      </c>
      <c r="F88">
        <v>0.65</v>
      </c>
      <c r="G88">
        <v>1</v>
      </c>
      <c r="N88">
        <f t="shared" si="4"/>
        <v>9.5124727208333333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3.6179207828362823</v>
      </c>
      <c r="P88">
        <f t="shared" si="6"/>
        <v>3.6179207828362823</v>
      </c>
      <c r="S88">
        <f t="shared" si="5"/>
        <v>0.33183044375000004</v>
      </c>
    </row>
    <row r="89" spans="1:19">
      <c r="A89" s="9">
        <v>42431</v>
      </c>
      <c r="B89" s="8" t="s">
        <v>19</v>
      </c>
      <c r="C89">
        <v>2</v>
      </c>
      <c r="D89" s="8" t="s">
        <v>63</v>
      </c>
      <c r="E89">
        <v>23</v>
      </c>
      <c r="F89">
        <v>0.41</v>
      </c>
      <c r="N89">
        <f t="shared" si="4"/>
        <v>1.0121941180833331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-2.9781819999999999</v>
      </c>
      <c r="P89" t="str">
        <f t="shared" si="6"/>
        <v>0</v>
      </c>
      <c r="S89">
        <f t="shared" si="5"/>
        <v>0.13202531974999998</v>
      </c>
    </row>
    <row r="90" spans="1:19">
      <c r="A90" s="9">
        <v>42431</v>
      </c>
      <c r="B90" s="8" t="s">
        <v>19</v>
      </c>
      <c r="C90">
        <v>2</v>
      </c>
      <c r="D90" s="8" t="s">
        <v>63</v>
      </c>
      <c r="E90">
        <v>58</v>
      </c>
      <c r="F90">
        <v>0.77</v>
      </c>
      <c r="N90">
        <f t="shared" si="4"/>
        <v>9.0028021031666654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-0.52450699999999983</v>
      </c>
      <c r="P90" t="str">
        <f t="shared" si="6"/>
        <v>0</v>
      </c>
      <c r="S90">
        <f t="shared" si="5"/>
        <v>0.46566217774999996</v>
      </c>
    </row>
    <row r="91" spans="1:19">
      <c r="A91" s="9">
        <v>42431</v>
      </c>
      <c r="B91" s="8" t="s">
        <v>19</v>
      </c>
      <c r="C91">
        <v>2</v>
      </c>
      <c r="D91" s="8" t="s">
        <v>63</v>
      </c>
      <c r="E91">
        <v>38</v>
      </c>
      <c r="F91">
        <v>0.82</v>
      </c>
      <c r="N91">
        <f t="shared" si="4"/>
        <v>6.6892828673333318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-1.9266069999999997</v>
      </c>
      <c r="P91" t="str">
        <f t="shared" si="6"/>
        <v>0</v>
      </c>
      <c r="S91">
        <f t="shared" si="5"/>
        <v>0.52810127899999992</v>
      </c>
    </row>
    <row r="92" spans="1:19">
      <c r="A92" s="9">
        <v>42431</v>
      </c>
      <c r="B92" s="8" t="s">
        <v>19</v>
      </c>
      <c r="C92">
        <v>2</v>
      </c>
      <c r="D92" s="8" t="s">
        <v>63</v>
      </c>
      <c r="E92">
        <v>29</v>
      </c>
      <c r="F92">
        <v>0.46</v>
      </c>
      <c r="N92">
        <f t="shared" si="4"/>
        <v>1.6065044063333334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-2.5575519999999998</v>
      </c>
      <c r="P92" t="str">
        <f t="shared" si="6"/>
        <v>0</v>
      </c>
      <c r="S92">
        <f t="shared" si="5"/>
        <v>0.166190111</v>
      </c>
    </row>
    <row r="93" spans="1:19">
      <c r="A93" s="9">
        <v>42431</v>
      </c>
      <c r="B93" s="8" t="s">
        <v>19</v>
      </c>
      <c r="C93">
        <v>2</v>
      </c>
      <c r="D93" s="8" t="s">
        <v>63</v>
      </c>
      <c r="E93">
        <v>47</v>
      </c>
      <c r="F93">
        <v>0.49</v>
      </c>
      <c r="G93">
        <v>1</v>
      </c>
      <c r="N93">
        <f t="shared" si="4"/>
        <v>2.9543250560833325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1.904965625698434</v>
      </c>
      <c r="P93">
        <f t="shared" si="6"/>
        <v>1.904965625698434</v>
      </c>
      <c r="S93">
        <f t="shared" si="5"/>
        <v>0.18857393974999997</v>
      </c>
    </row>
    <row r="94" spans="1:19">
      <c r="A94" s="9">
        <v>42431</v>
      </c>
      <c r="B94" s="8" t="s">
        <v>19</v>
      </c>
      <c r="C94">
        <v>2</v>
      </c>
      <c r="D94" s="8" t="s">
        <v>63</v>
      </c>
      <c r="E94">
        <v>43</v>
      </c>
      <c r="F94">
        <v>0.5</v>
      </c>
      <c r="G94">
        <v>1</v>
      </c>
      <c r="N94">
        <f t="shared" si="4"/>
        <v>2.8143410416666663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1.7464296144486042</v>
      </c>
      <c r="P94">
        <f t="shared" si="6"/>
        <v>1.7464296144486042</v>
      </c>
      <c r="S94">
        <f t="shared" si="5"/>
        <v>0.19634937499999999</v>
      </c>
    </row>
    <row r="95" spans="1:19">
      <c r="A95" s="9">
        <v>42431</v>
      </c>
      <c r="B95" s="8" t="s">
        <v>19</v>
      </c>
      <c r="C95">
        <v>2</v>
      </c>
      <c r="D95" s="8" t="s">
        <v>63</v>
      </c>
      <c r="E95">
        <v>138</v>
      </c>
      <c r="F95">
        <v>0.95</v>
      </c>
      <c r="N95">
        <f t="shared" si="4"/>
        <v>32.605777212499994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5.0838930000000007</v>
      </c>
      <c r="P95">
        <f t="shared" si="6"/>
        <v>5.0838930000000007</v>
      </c>
      <c r="S95">
        <f t="shared" si="5"/>
        <v>0.70882124375</v>
      </c>
    </row>
    <row r="96" spans="1:19">
      <c r="A96" s="9">
        <v>42431</v>
      </c>
      <c r="B96" s="8" t="s">
        <v>56</v>
      </c>
      <c r="C96">
        <v>33</v>
      </c>
      <c r="D96" s="8" t="s">
        <v>61</v>
      </c>
      <c r="F96">
        <v>1.67</v>
      </c>
      <c r="J96">
        <f>55+84+101+124+131</f>
        <v>495</v>
      </c>
      <c r="K96">
        <v>5</v>
      </c>
      <c r="L96">
        <v>131</v>
      </c>
      <c r="N96" t="str">
        <f t="shared" si="4"/>
        <v>NA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4.8708490000000069</v>
      </c>
      <c r="P96">
        <f t="shared" si="6"/>
        <v>4.8708490000000069</v>
      </c>
      <c r="S96">
        <f t="shared" si="5"/>
        <v>2.1903950877499998</v>
      </c>
    </row>
    <row r="97" spans="1:19">
      <c r="A97" s="9">
        <v>42431</v>
      </c>
      <c r="B97" s="8" t="s">
        <v>56</v>
      </c>
      <c r="C97">
        <v>33</v>
      </c>
      <c r="D97" s="8" t="s">
        <v>61</v>
      </c>
      <c r="F97">
        <v>1.43</v>
      </c>
      <c r="J97">
        <f>72+107+126+132</f>
        <v>437</v>
      </c>
      <c r="K97">
        <v>4</v>
      </c>
      <c r="L97">
        <v>132</v>
      </c>
      <c r="N97" t="str">
        <f t="shared" si="4"/>
        <v>NA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6.1541670000000046</v>
      </c>
      <c r="P97">
        <f t="shared" si="6"/>
        <v>6.1541670000000046</v>
      </c>
      <c r="S97">
        <f t="shared" si="5"/>
        <v>1.6060593477499998</v>
      </c>
    </row>
    <row r="98" spans="1:19">
      <c r="A98" s="9">
        <v>42431</v>
      </c>
      <c r="B98" s="8" t="s">
        <v>56</v>
      </c>
      <c r="C98">
        <v>33</v>
      </c>
      <c r="D98" s="8" t="s">
        <v>61</v>
      </c>
      <c r="F98">
        <v>1.45</v>
      </c>
      <c r="J98">
        <f>58+94+79+108+125+136</f>
        <v>600</v>
      </c>
      <c r="K98">
        <v>6</v>
      </c>
      <c r="L98">
        <v>136</v>
      </c>
      <c r="N98" t="str">
        <f t="shared" si="4"/>
        <v>NA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6.1865459999999999</v>
      </c>
      <c r="P98">
        <f t="shared" si="6"/>
        <v>6.1865459999999999</v>
      </c>
      <c r="S98">
        <f t="shared" si="5"/>
        <v>1.6512982437499999</v>
      </c>
    </row>
    <row r="99" spans="1:19">
      <c r="A99" s="9">
        <v>42431</v>
      </c>
      <c r="B99" s="8" t="s">
        <v>56</v>
      </c>
      <c r="C99">
        <v>33</v>
      </c>
      <c r="D99" s="8" t="s">
        <v>61</v>
      </c>
      <c r="F99">
        <v>0.99</v>
      </c>
      <c r="J99">
        <f>45+60+69+92+93+106</f>
        <v>465</v>
      </c>
      <c r="K99">
        <v>6</v>
      </c>
      <c r="L99">
        <v>106</v>
      </c>
      <c r="N99" t="str">
        <f t="shared" si="4"/>
        <v>NA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2.5669709999999952</v>
      </c>
      <c r="P99">
        <f t="shared" si="6"/>
        <v>2.5669709999999952</v>
      </c>
      <c r="S99">
        <f t="shared" si="5"/>
        <v>0.76976808975</v>
      </c>
    </row>
    <row r="100" spans="1:19">
      <c r="A100" s="9">
        <v>42431</v>
      </c>
      <c r="B100" s="8" t="s">
        <v>56</v>
      </c>
      <c r="C100">
        <v>33</v>
      </c>
      <c r="D100" s="8" t="s">
        <v>61</v>
      </c>
      <c r="F100">
        <v>0.86</v>
      </c>
      <c r="J100">
        <f>57+63+79+96</f>
        <v>295</v>
      </c>
      <c r="K100">
        <v>4</v>
      </c>
      <c r="L100">
        <v>96</v>
      </c>
      <c r="N100" t="str">
        <f t="shared" si="4"/>
        <v>NA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3.6857770000000016</v>
      </c>
      <c r="P100">
        <f t="shared" si="6"/>
        <v>3.6857770000000016</v>
      </c>
      <c r="S100">
        <f t="shared" si="5"/>
        <v>0.58087999099999987</v>
      </c>
    </row>
    <row r="101" spans="1:19">
      <c r="A101" s="9">
        <v>42431</v>
      </c>
      <c r="B101" s="8" t="s">
        <v>56</v>
      </c>
      <c r="C101">
        <v>33</v>
      </c>
      <c r="D101" s="8" t="s">
        <v>61</v>
      </c>
      <c r="F101">
        <v>1.23</v>
      </c>
      <c r="J101">
        <f>36+60+74+86+98</f>
        <v>354</v>
      </c>
      <c r="K101">
        <v>5</v>
      </c>
      <c r="L101">
        <v>98</v>
      </c>
      <c r="N101" t="str">
        <f t="shared" si="4"/>
        <v>NA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1.5924790000000009</v>
      </c>
      <c r="P101">
        <f t="shared" si="6"/>
        <v>1.5924790000000009</v>
      </c>
      <c r="S101">
        <f t="shared" si="5"/>
        <v>1.1882278777499999</v>
      </c>
    </row>
    <row r="102" spans="1:19">
      <c r="A102" s="9">
        <v>42431</v>
      </c>
      <c r="B102" s="8" t="s">
        <v>56</v>
      </c>
      <c r="C102">
        <v>30</v>
      </c>
      <c r="D102" s="8" t="s">
        <v>61</v>
      </c>
      <c r="F102">
        <v>1.21</v>
      </c>
      <c r="J102">
        <f>53+61+81+94</f>
        <v>289</v>
      </c>
      <c r="K102">
        <v>4</v>
      </c>
      <c r="L102">
        <v>94</v>
      </c>
      <c r="N102" t="str">
        <f t="shared" si="4"/>
        <v>NA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3.7257369999999987</v>
      </c>
      <c r="P102">
        <f t="shared" si="6"/>
        <v>3.7257369999999987</v>
      </c>
      <c r="S102">
        <f t="shared" si="5"/>
        <v>1.1499004797499999</v>
      </c>
    </row>
    <row r="103" spans="1:19">
      <c r="A103" s="9">
        <v>42431</v>
      </c>
      <c r="B103" s="8" t="s">
        <v>56</v>
      </c>
      <c r="C103">
        <v>30</v>
      </c>
      <c r="D103" s="8" t="s">
        <v>61</v>
      </c>
      <c r="F103">
        <v>1.38</v>
      </c>
      <c r="J103">
        <f>46+81+84+102</f>
        <v>313</v>
      </c>
      <c r="K103">
        <v>4</v>
      </c>
      <c r="L103">
        <v>102</v>
      </c>
      <c r="N103" t="str">
        <f t="shared" si="4"/>
        <v>NA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3.5658970000000032</v>
      </c>
      <c r="P103">
        <f t="shared" si="6"/>
        <v>3.5658970000000032</v>
      </c>
      <c r="S103">
        <f t="shared" si="5"/>
        <v>1.4957109989999997</v>
      </c>
    </row>
    <row r="104" spans="1:19">
      <c r="A104" s="9">
        <v>42431</v>
      </c>
      <c r="B104" s="8" t="s">
        <v>56</v>
      </c>
      <c r="C104">
        <v>30</v>
      </c>
      <c r="D104" s="8" t="s">
        <v>61</v>
      </c>
      <c r="F104">
        <v>2.85</v>
      </c>
      <c r="J104">
        <f>71+121+137+140+152+119</f>
        <v>740</v>
      </c>
      <c r="K104">
        <v>6</v>
      </c>
      <c r="L104">
        <v>152</v>
      </c>
      <c r="N104" t="str">
        <f t="shared" si="4"/>
        <v>NA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14.492326000000006</v>
      </c>
      <c r="P104">
        <f t="shared" si="6"/>
        <v>14.492326000000006</v>
      </c>
      <c r="S104">
        <f t="shared" si="5"/>
        <v>6.3793911937500001</v>
      </c>
    </row>
    <row r="105" spans="1:19">
      <c r="A105" s="9">
        <v>42431</v>
      </c>
      <c r="B105" s="8" t="s">
        <v>56</v>
      </c>
      <c r="C105">
        <v>30</v>
      </c>
      <c r="D105" s="8" t="s">
        <v>61</v>
      </c>
      <c r="F105">
        <v>1.78</v>
      </c>
      <c r="J105">
        <f>87+113+112+154</f>
        <v>466</v>
      </c>
      <c r="K105">
        <v>4</v>
      </c>
      <c r="L105">
        <v>154</v>
      </c>
      <c r="N105" t="str">
        <f t="shared" si="4"/>
        <v>NA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2.2456720000000026</v>
      </c>
      <c r="P105">
        <f t="shared" si="6"/>
        <v>2.2456720000000026</v>
      </c>
      <c r="S105">
        <f t="shared" si="5"/>
        <v>2.4884534390000002</v>
      </c>
    </row>
    <row r="106" spans="1:19">
      <c r="A106" s="9">
        <v>42431</v>
      </c>
      <c r="B106" s="8" t="s">
        <v>56</v>
      </c>
      <c r="C106">
        <v>30</v>
      </c>
      <c r="D106" s="8" t="s">
        <v>61</v>
      </c>
      <c r="F106">
        <v>0.59</v>
      </c>
      <c r="J106">
        <f>26+30+46</f>
        <v>102</v>
      </c>
      <c r="K106">
        <v>3</v>
      </c>
      <c r="L106">
        <v>46</v>
      </c>
      <c r="N106" t="str">
        <f t="shared" si="4"/>
        <v>NA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7.6756649999999951</v>
      </c>
      <c r="P106">
        <f t="shared" si="6"/>
        <v>7.6756649999999951</v>
      </c>
      <c r="S106">
        <f t="shared" si="5"/>
        <v>0.27339686974999994</v>
      </c>
    </row>
    <row r="107" spans="1:19">
      <c r="A107" s="9">
        <v>42431</v>
      </c>
      <c r="B107" s="8" t="s">
        <v>56</v>
      </c>
      <c r="C107">
        <v>30</v>
      </c>
      <c r="D107" s="8" t="s">
        <v>61</v>
      </c>
      <c r="F107">
        <v>3.2</v>
      </c>
      <c r="J107">
        <f>104+112+136+138+155+163+179</f>
        <v>987</v>
      </c>
      <c r="K107">
        <v>7</v>
      </c>
      <c r="L107">
        <v>179</v>
      </c>
      <c r="N107" t="str">
        <f t="shared" si="4"/>
        <v>NA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22.493843000000005</v>
      </c>
      <c r="P107">
        <f t="shared" si="6"/>
        <v>22.493843000000005</v>
      </c>
      <c r="S107">
        <f t="shared" si="5"/>
        <v>8.0424704000000009</v>
      </c>
    </row>
    <row r="108" spans="1:19">
      <c r="A108" s="9">
        <v>42431</v>
      </c>
      <c r="B108" s="8" t="s">
        <v>56</v>
      </c>
      <c r="C108">
        <v>30</v>
      </c>
      <c r="D108" s="8" t="s">
        <v>61</v>
      </c>
      <c r="F108">
        <v>2</v>
      </c>
      <c r="J108">
        <f>74+79+99+105+119+126</f>
        <v>602</v>
      </c>
      <c r="K108">
        <v>6</v>
      </c>
      <c r="L108">
        <v>126</v>
      </c>
      <c r="N108" t="str">
        <f t="shared" si="4"/>
        <v>NA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9.3865060000000042</v>
      </c>
      <c r="P108">
        <f t="shared" si="6"/>
        <v>9.3865060000000042</v>
      </c>
      <c r="S108">
        <f t="shared" si="5"/>
        <v>3.1415899999999999</v>
      </c>
    </row>
    <row r="109" spans="1:19">
      <c r="A109" s="9">
        <v>42431</v>
      </c>
      <c r="B109" s="8" t="s">
        <v>56</v>
      </c>
      <c r="C109">
        <v>30</v>
      </c>
      <c r="D109" s="8" t="s">
        <v>61</v>
      </c>
      <c r="F109">
        <v>1.93</v>
      </c>
      <c r="J109">
        <f>52+93+101+106+117+134</f>
        <v>603</v>
      </c>
      <c r="K109">
        <v>6</v>
      </c>
      <c r="L109">
        <v>134</v>
      </c>
      <c r="N109" t="str">
        <f t="shared" si="4"/>
        <v>NA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7.0703010000000006</v>
      </c>
      <c r="P109">
        <f t="shared" si="6"/>
        <v>7.0703010000000006</v>
      </c>
      <c r="S109">
        <f t="shared" si="5"/>
        <v>2.92552714775</v>
      </c>
    </row>
    <row r="110" spans="1:19">
      <c r="A110" s="9">
        <v>42431</v>
      </c>
      <c r="B110" s="8" t="s">
        <v>56</v>
      </c>
      <c r="C110">
        <v>30</v>
      </c>
      <c r="D110" s="8" t="s">
        <v>61</v>
      </c>
      <c r="F110">
        <v>0.62</v>
      </c>
      <c r="J110">
        <f>34+35+46</f>
        <v>115</v>
      </c>
      <c r="K110">
        <v>3</v>
      </c>
      <c r="L110">
        <v>46</v>
      </c>
      <c r="N110" t="str">
        <f t="shared" si="4"/>
        <v>NA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8.8944799999999979</v>
      </c>
      <c r="P110">
        <f t="shared" si="6"/>
        <v>8.8944799999999979</v>
      </c>
      <c r="S110">
        <f t="shared" si="5"/>
        <v>0.301906799</v>
      </c>
    </row>
    <row r="111" spans="1:19">
      <c r="A111" s="9">
        <v>42431</v>
      </c>
      <c r="B111" s="8" t="s">
        <v>56</v>
      </c>
      <c r="C111">
        <v>30</v>
      </c>
      <c r="D111" s="8" t="s">
        <v>61</v>
      </c>
      <c r="F111">
        <v>1.1000000000000001</v>
      </c>
      <c r="J111">
        <f>67+95+97+116</f>
        <v>375</v>
      </c>
      <c r="K111">
        <v>4</v>
      </c>
      <c r="L111">
        <v>116</v>
      </c>
      <c r="N111" t="str">
        <f t="shared" si="4"/>
        <v>NA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5.1612770000000019</v>
      </c>
      <c r="P111">
        <f t="shared" si="6"/>
        <v>5.1612770000000019</v>
      </c>
      <c r="S111">
        <f t="shared" si="5"/>
        <v>0.95033097500000008</v>
      </c>
    </row>
    <row r="112" spans="1:19">
      <c r="A112" s="9">
        <v>42431</v>
      </c>
      <c r="B112" s="8" t="s">
        <v>56</v>
      </c>
      <c r="C112">
        <v>30</v>
      </c>
      <c r="D112" s="8" t="s">
        <v>61</v>
      </c>
      <c r="F112">
        <v>3.47</v>
      </c>
      <c r="J112">
        <f>87+120+145+169+172+182+187</f>
        <v>1062</v>
      </c>
      <c r="K112">
        <v>7</v>
      </c>
      <c r="L112">
        <v>187</v>
      </c>
      <c r="N112" t="str">
        <f t="shared" si="4"/>
        <v>NA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27.115508000000013</v>
      </c>
      <c r="P112">
        <f t="shared" si="6"/>
        <v>27.115508000000013</v>
      </c>
      <c r="S112">
        <f t="shared" si="5"/>
        <v>9.4568927577499995</v>
      </c>
    </row>
    <row r="113" spans="1:19">
      <c r="A113" s="9">
        <v>42431</v>
      </c>
      <c r="B113" s="8" t="s">
        <v>56</v>
      </c>
      <c r="C113">
        <v>30</v>
      </c>
      <c r="D113" s="8" t="s">
        <v>61</v>
      </c>
      <c r="F113">
        <v>1.2</v>
      </c>
      <c r="J113">
        <f>45+46+78+90+95</f>
        <v>354</v>
      </c>
      <c r="K113">
        <v>5</v>
      </c>
      <c r="L113">
        <v>95</v>
      </c>
      <c r="N113" t="str">
        <f t="shared" si="4"/>
        <v>NA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2.4962140000000019</v>
      </c>
      <c r="P113">
        <f t="shared" si="6"/>
        <v>2.4962140000000019</v>
      </c>
      <c r="S113">
        <f t="shared" si="5"/>
        <v>1.1309723999999999</v>
      </c>
    </row>
    <row r="114" spans="1:19">
      <c r="A114" s="9">
        <v>42431</v>
      </c>
      <c r="B114" s="8" t="s">
        <v>56</v>
      </c>
      <c r="C114">
        <v>30</v>
      </c>
      <c r="D114" s="8" t="s">
        <v>61</v>
      </c>
      <c r="F114">
        <v>1.31</v>
      </c>
      <c r="J114">
        <f>37+37+61+64+73</f>
        <v>272</v>
      </c>
      <c r="K114">
        <v>5</v>
      </c>
      <c r="L114">
        <v>73</v>
      </c>
      <c r="N114" t="str">
        <f t="shared" si="4"/>
        <v>NA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1.4356940000000016</v>
      </c>
      <c r="P114">
        <f t="shared" si="6"/>
        <v>1.4356940000000016</v>
      </c>
      <c r="S114">
        <f t="shared" si="5"/>
        <v>1.34782064975</v>
      </c>
    </row>
    <row r="115" spans="1:19">
      <c r="A115" s="9">
        <v>42431</v>
      </c>
      <c r="B115" s="8" t="s">
        <v>56</v>
      </c>
      <c r="C115">
        <v>30</v>
      </c>
      <c r="D115" s="8" t="s">
        <v>61</v>
      </c>
      <c r="F115">
        <v>5.17</v>
      </c>
      <c r="J115">
        <f>87+134+157+158+163+176+181+206</f>
        <v>1262</v>
      </c>
      <c r="K115">
        <v>8</v>
      </c>
      <c r="L115">
        <v>206</v>
      </c>
      <c r="N115" t="str">
        <f t="shared" si="4"/>
        <v>NA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33.120500000000014</v>
      </c>
      <c r="P115">
        <f t="shared" si="6"/>
        <v>33.120500000000014</v>
      </c>
      <c r="S115">
        <f t="shared" si="5"/>
        <v>20.992811237749997</v>
      </c>
    </row>
    <row r="116" spans="1:19">
      <c r="A116" s="9">
        <v>42431</v>
      </c>
      <c r="B116" s="8" t="s">
        <v>56</v>
      </c>
      <c r="C116">
        <v>30</v>
      </c>
      <c r="D116" s="8" t="s">
        <v>61</v>
      </c>
      <c r="F116">
        <v>3.46</v>
      </c>
      <c r="J116">
        <f>65+108+141+141+141+162+162+164+183</f>
        <v>1267</v>
      </c>
      <c r="K116">
        <v>8</v>
      </c>
      <c r="L116">
        <v>183</v>
      </c>
      <c r="N116" t="str">
        <f t="shared" si="4"/>
        <v>NA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40.517910000000008</v>
      </c>
      <c r="P116">
        <f t="shared" si="6"/>
        <v>40.517910000000008</v>
      </c>
      <c r="S116">
        <f t="shared" si="5"/>
        <v>9.4024647110000004</v>
      </c>
    </row>
    <row r="117" spans="1:19">
      <c r="A117" s="9">
        <v>42431</v>
      </c>
      <c r="B117" s="8" t="s">
        <v>56</v>
      </c>
      <c r="C117">
        <v>26</v>
      </c>
      <c r="D117" s="8" t="s">
        <v>61</v>
      </c>
      <c r="F117">
        <v>0.88</v>
      </c>
      <c r="J117">
        <f>78+78+96+105</f>
        <v>357</v>
      </c>
      <c r="K117">
        <v>4</v>
      </c>
      <c r="L117">
        <v>105</v>
      </c>
      <c r="N117" t="str">
        <f t="shared" si="4"/>
        <v>NA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6.7873820000000045</v>
      </c>
      <c r="P117">
        <f t="shared" si="6"/>
        <v>6.7873820000000045</v>
      </c>
      <c r="S117">
        <f t="shared" si="5"/>
        <v>0.60821182399999996</v>
      </c>
    </row>
    <row r="118" spans="1:19">
      <c r="A118" s="9">
        <v>42431</v>
      </c>
      <c r="B118" s="8" t="s">
        <v>56</v>
      </c>
      <c r="C118">
        <v>26</v>
      </c>
      <c r="D118" s="8" t="s">
        <v>61</v>
      </c>
      <c r="F118">
        <v>2.8</v>
      </c>
      <c r="J118">
        <f>103+136+163+181</f>
        <v>583</v>
      </c>
      <c r="K118">
        <v>4</v>
      </c>
      <c r="L118">
        <v>181</v>
      </c>
      <c r="N118" t="str">
        <f t="shared" si="4"/>
        <v>NA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5.0813920000000046</v>
      </c>
      <c r="P118">
        <f t="shared" si="6"/>
        <v>5.0813920000000046</v>
      </c>
      <c r="S118">
        <f t="shared" si="5"/>
        <v>6.1575163999999987</v>
      </c>
    </row>
    <row r="119" spans="1:19">
      <c r="A119" s="9">
        <v>42431</v>
      </c>
      <c r="B119" s="8" t="s">
        <v>56</v>
      </c>
      <c r="C119">
        <v>26</v>
      </c>
      <c r="D119" s="8" t="s">
        <v>61</v>
      </c>
      <c r="F119">
        <v>3.41</v>
      </c>
      <c r="J119">
        <f>120+141+168+180</f>
        <v>609</v>
      </c>
      <c r="K119">
        <v>4</v>
      </c>
      <c r="L119">
        <v>180</v>
      </c>
      <c r="N119" t="str">
        <f t="shared" si="4"/>
        <v>NA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7.8202669999999976</v>
      </c>
      <c r="P119">
        <f t="shared" si="6"/>
        <v>7.8202669999999976</v>
      </c>
      <c r="S119">
        <f t="shared" si="5"/>
        <v>9.1326806697500018</v>
      </c>
    </row>
    <row r="120" spans="1:19">
      <c r="A120" s="9">
        <v>42431</v>
      </c>
      <c r="B120" s="8" t="s">
        <v>56</v>
      </c>
      <c r="C120">
        <v>26</v>
      </c>
      <c r="D120" s="8" t="s">
        <v>61</v>
      </c>
      <c r="F120">
        <v>1.46</v>
      </c>
      <c r="J120">
        <f>64+95+108+112</f>
        <v>379</v>
      </c>
      <c r="K120">
        <v>4</v>
      </c>
      <c r="L120">
        <v>112</v>
      </c>
      <c r="N120" t="str">
        <f t="shared" si="4"/>
        <v>NA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6.7412770000000002</v>
      </c>
      <c r="P120">
        <f t="shared" si="6"/>
        <v>6.7412770000000002</v>
      </c>
      <c r="S120">
        <f t="shared" si="5"/>
        <v>1.6741533109999998</v>
      </c>
    </row>
    <row r="121" spans="1:19">
      <c r="A121" s="9">
        <v>42431</v>
      </c>
      <c r="B121" s="8" t="s">
        <v>56</v>
      </c>
      <c r="C121">
        <v>26</v>
      </c>
      <c r="D121" s="8" t="s">
        <v>61</v>
      </c>
      <c r="F121">
        <v>1.73</v>
      </c>
      <c r="J121">
        <f>79+91+115+118</f>
        <v>403</v>
      </c>
      <c r="K121">
        <v>4</v>
      </c>
      <c r="L121">
        <v>118</v>
      </c>
      <c r="N121" t="str">
        <f t="shared" si="4"/>
        <v>NA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7.1839270000000006</v>
      </c>
      <c r="P121">
        <f t="shared" si="6"/>
        <v>7.1839270000000006</v>
      </c>
      <c r="S121">
        <f t="shared" si="5"/>
        <v>2.3506161777500001</v>
      </c>
    </row>
    <row r="122" spans="1:19">
      <c r="A122" s="9">
        <v>42431</v>
      </c>
      <c r="B122" s="8" t="s">
        <v>56</v>
      </c>
      <c r="C122">
        <v>19</v>
      </c>
      <c r="D122" s="8" t="s">
        <v>61</v>
      </c>
      <c r="F122">
        <v>2.33</v>
      </c>
      <c r="J122">
        <f>89+114+164+132+177+201</f>
        <v>877</v>
      </c>
      <c r="K122">
        <v>6</v>
      </c>
      <c r="L122">
        <v>201</v>
      </c>
      <c r="N122" t="str">
        <f t="shared" si="4"/>
        <v>NA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12.575755999999998</v>
      </c>
      <c r="P122">
        <f t="shared" si="6"/>
        <v>12.575755999999998</v>
      </c>
      <c r="S122">
        <f t="shared" si="5"/>
        <v>4.2638444877500001</v>
      </c>
    </row>
    <row r="123" spans="1:19">
      <c r="A123" s="9">
        <v>42431</v>
      </c>
      <c r="B123" s="8" t="s">
        <v>56</v>
      </c>
      <c r="C123">
        <v>19</v>
      </c>
      <c r="D123" s="8" t="s">
        <v>61</v>
      </c>
      <c r="F123">
        <v>0.73</v>
      </c>
      <c r="J123">
        <f>33+35+46+49</f>
        <v>163</v>
      </c>
      <c r="K123">
        <v>4</v>
      </c>
      <c r="L123">
        <v>49</v>
      </c>
      <c r="N123" t="str">
        <f t="shared" si="4"/>
        <v>NA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5.4686319999999995</v>
      </c>
      <c r="P123">
        <f t="shared" si="6"/>
        <v>5.4686319999999995</v>
      </c>
      <c r="S123">
        <f t="shared" si="5"/>
        <v>0.41853832774999994</v>
      </c>
    </row>
    <row r="124" spans="1:19">
      <c r="A124" s="9">
        <v>42431</v>
      </c>
      <c r="B124" s="8" t="s">
        <v>56</v>
      </c>
      <c r="C124">
        <v>19</v>
      </c>
      <c r="D124" s="8" t="s">
        <v>61</v>
      </c>
      <c r="F124">
        <v>1.25</v>
      </c>
      <c r="J124">
        <f>83+90+107+113</f>
        <v>393</v>
      </c>
      <c r="K124">
        <v>4</v>
      </c>
      <c r="L124">
        <v>113</v>
      </c>
      <c r="N124" t="str">
        <f t="shared" si="4"/>
        <v>NA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7.7526019999999995</v>
      </c>
      <c r="P124">
        <f t="shared" si="6"/>
        <v>7.7526019999999995</v>
      </c>
      <c r="S124">
        <f t="shared" si="5"/>
        <v>1.22718359375</v>
      </c>
    </row>
    <row r="125" spans="1:19">
      <c r="A125" s="9">
        <v>42431</v>
      </c>
      <c r="B125" s="8" t="s">
        <v>56</v>
      </c>
      <c r="C125">
        <v>19</v>
      </c>
      <c r="D125" s="8" t="s">
        <v>61</v>
      </c>
      <c r="F125">
        <v>1.69</v>
      </c>
      <c r="J125">
        <f>13+29+36+44</f>
        <v>122</v>
      </c>
      <c r="K125">
        <v>4</v>
      </c>
      <c r="L125">
        <v>44</v>
      </c>
      <c r="N125" t="str">
        <f t="shared" si="4"/>
        <v>NA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3.1309019999999954</v>
      </c>
      <c r="P125">
        <f t="shared" si="6"/>
        <v>3.1309019999999954</v>
      </c>
      <c r="S125">
        <f t="shared" si="5"/>
        <v>2.2431737997499996</v>
      </c>
    </row>
    <row r="126" spans="1:19">
      <c r="A126" s="9">
        <v>42431</v>
      </c>
      <c r="B126" s="8" t="s">
        <v>56</v>
      </c>
      <c r="C126">
        <v>19</v>
      </c>
      <c r="D126" s="8" t="s">
        <v>61</v>
      </c>
      <c r="F126">
        <v>1.34</v>
      </c>
      <c r="J126">
        <f>24+44+60+77+98</f>
        <v>303</v>
      </c>
      <c r="K126">
        <v>5</v>
      </c>
      <c r="L126">
        <v>98</v>
      </c>
      <c r="N126" t="str">
        <f t="shared" si="4"/>
        <v>NA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-3.1890259999999984</v>
      </c>
      <c r="P126" t="str">
        <f t="shared" si="6"/>
        <v>0</v>
      </c>
      <c r="S126">
        <f t="shared" si="5"/>
        <v>1.4102597510000001</v>
      </c>
    </row>
    <row r="127" spans="1:19">
      <c r="A127" s="9">
        <v>42431</v>
      </c>
      <c r="B127" s="8" t="s">
        <v>56</v>
      </c>
      <c r="C127">
        <v>19</v>
      </c>
      <c r="D127" s="8" t="s">
        <v>61</v>
      </c>
      <c r="F127">
        <v>2.64</v>
      </c>
      <c r="J127" s="8">
        <f>79+101+106+111+119+126</f>
        <v>642</v>
      </c>
      <c r="K127">
        <v>6</v>
      </c>
      <c r="L127">
        <v>126</v>
      </c>
      <c r="N127" t="str">
        <f t="shared" si="4"/>
        <v>NA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13.136706000000004</v>
      </c>
      <c r="P127">
        <f t="shared" si="6"/>
        <v>13.136706000000004</v>
      </c>
      <c r="S127">
        <f t="shared" si="5"/>
        <v>5.4739064160000002</v>
      </c>
    </row>
    <row r="128" spans="1:19">
      <c r="A128" s="9">
        <v>42431</v>
      </c>
      <c r="B128" s="8" t="s">
        <v>56</v>
      </c>
      <c r="C128">
        <v>19</v>
      </c>
      <c r="D128" s="8" t="s">
        <v>61</v>
      </c>
      <c r="F128">
        <v>1.74</v>
      </c>
      <c r="J128">
        <f>56+67+77+82+104</f>
        <v>386</v>
      </c>
      <c r="K128">
        <v>5</v>
      </c>
      <c r="L128">
        <v>104</v>
      </c>
      <c r="N128" t="str">
        <f t="shared" si="4"/>
        <v>NA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2.7851690000000033</v>
      </c>
      <c r="P128">
        <f t="shared" si="6"/>
        <v>2.7851690000000033</v>
      </c>
      <c r="S128">
        <f t="shared" si="5"/>
        <v>2.3778694709999999</v>
      </c>
    </row>
    <row r="129" spans="1:19">
      <c r="A129" s="9">
        <v>42431</v>
      </c>
      <c r="B129" s="8" t="s">
        <v>56</v>
      </c>
      <c r="C129">
        <v>19</v>
      </c>
      <c r="D129" s="8" t="s">
        <v>61</v>
      </c>
      <c r="F129">
        <v>1.76</v>
      </c>
      <c r="J129">
        <f>26+63+65+95+103</f>
        <v>352</v>
      </c>
      <c r="K129">
        <v>5</v>
      </c>
      <c r="L129">
        <v>103</v>
      </c>
      <c r="N129" t="str">
        <f t="shared" si="4"/>
        <v>NA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-0.10125599999999935</v>
      </c>
      <c r="P129" t="str">
        <f t="shared" si="6"/>
        <v>0</v>
      </c>
      <c r="S129">
        <f t="shared" si="5"/>
        <v>2.4328472959999998</v>
      </c>
    </row>
    <row r="130" spans="1:19">
      <c r="A130" s="9">
        <v>42431</v>
      </c>
      <c r="B130" s="8" t="s">
        <v>56</v>
      </c>
      <c r="C130">
        <v>19</v>
      </c>
      <c r="D130" s="8" t="s">
        <v>61</v>
      </c>
      <c r="F130">
        <v>0.95</v>
      </c>
      <c r="J130">
        <f>42+24+48+86</f>
        <v>200</v>
      </c>
      <c r="K130">
        <v>4</v>
      </c>
      <c r="L130">
        <v>86</v>
      </c>
      <c r="N130" t="str">
        <f t="shared" si="4"/>
        <v>NA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-2.2084979999999987</v>
      </c>
      <c r="P130" t="str">
        <f t="shared" si="6"/>
        <v>0</v>
      </c>
      <c r="S130">
        <f t="shared" si="5"/>
        <v>0.70882124375</v>
      </c>
    </row>
    <row r="131" spans="1:19">
      <c r="A131" s="9">
        <v>42431</v>
      </c>
      <c r="B131" s="8" t="s">
        <v>56</v>
      </c>
      <c r="C131">
        <v>19</v>
      </c>
      <c r="D131" s="8" t="s">
        <v>61</v>
      </c>
      <c r="F131">
        <v>0.85</v>
      </c>
      <c r="J131">
        <f>12+12+12+27+39+45</f>
        <v>147</v>
      </c>
      <c r="K131">
        <v>6</v>
      </c>
      <c r="L131">
        <v>45</v>
      </c>
      <c r="N131" t="str">
        <f t="shared" si="4"/>
        <v>NA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-8.8711740000000034</v>
      </c>
      <c r="P131" t="str">
        <f t="shared" si="6"/>
        <v>0</v>
      </c>
      <c r="S131">
        <f t="shared" si="5"/>
        <v>0.56744969374999987</v>
      </c>
    </row>
    <row r="132" spans="1:19">
      <c r="A132" s="9">
        <v>42431</v>
      </c>
      <c r="B132" s="8" t="s">
        <v>56</v>
      </c>
      <c r="C132">
        <v>18</v>
      </c>
      <c r="D132" s="8" t="s">
        <v>61</v>
      </c>
      <c r="F132">
        <v>1.38</v>
      </c>
      <c r="J132">
        <f>32+61+81+93</f>
        <v>267</v>
      </c>
      <c r="K132">
        <v>4</v>
      </c>
      <c r="L132">
        <v>93</v>
      </c>
      <c r="N132" t="str">
        <f t="shared" ref="N132:N195" si="7">IF(OR(D132="S. acutus", D132="S. tabernaemontani", D132="S. californicus"),(1/3)*(3.14159)*((F132/2)^2)*E132,"NA")</f>
        <v>NA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1.9643720000000009</v>
      </c>
      <c r="P132">
        <f t="shared" si="6"/>
        <v>1.9643720000000009</v>
      </c>
      <c r="S132">
        <f t="shared" si="5"/>
        <v>1.4957109989999997</v>
      </c>
    </row>
    <row r="133" spans="1:19">
      <c r="A133" s="9">
        <v>42431</v>
      </c>
      <c r="B133" s="8" t="s">
        <v>56</v>
      </c>
      <c r="C133">
        <v>18</v>
      </c>
      <c r="D133" s="8" t="s">
        <v>61</v>
      </c>
      <c r="F133">
        <v>1.18</v>
      </c>
      <c r="J133">
        <f>71+72+93+92+105</f>
        <v>433</v>
      </c>
      <c r="K133">
        <v>5</v>
      </c>
      <c r="L133">
        <v>102</v>
      </c>
      <c r="N133" t="str">
        <f t="shared" si="7"/>
        <v>NA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7.7941440000000064</v>
      </c>
      <c r="P133">
        <f t="shared" si="6"/>
        <v>7.7941440000000064</v>
      </c>
      <c r="S133">
        <f t="shared" ref="S133:S196" si="8">3.14159*((F133/2)^2)</f>
        <v>1.0935874789999998</v>
      </c>
    </row>
    <row r="134" spans="1:19">
      <c r="A134" s="9">
        <v>42431</v>
      </c>
      <c r="B134" s="8" t="s">
        <v>56</v>
      </c>
      <c r="C134">
        <v>18</v>
      </c>
      <c r="D134" s="8" t="s">
        <v>61</v>
      </c>
      <c r="F134">
        <v>0.63</v>
      </c>
      <c r="J134">
        <f>16+31+32+41</f>
        <v>120</v>
      </c>
      <c r="K134">
        <v>4</v>
      </c>
      <c r="L134">
        <v>41</v>
      </c>
      <c r="N134" t="str">
        <f t="shared" si="7"/>
        <v>NA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3.8471270000000004</v>
      </c>
      <c r="P134">
        <f t="shared" si="6"/>
        <v>3.8471270000000004</v>
      </c>
      <c r="S134">
        <f t="shared" si="8"/>
        <v>0.31172426775000001</v>
      </c>
    </row>
    <row r="135" spans="1:19">
      <c r="A135" s="9">
        <v>42431</v>
      </c>
      <c r="B135" s="8" t="s">
        <v>56</v>
      </c>
      <c r="C135">
        <v>18</v>
      </c>
      <c r="D135" s="8" t="s">
        <v>61</v>
      </c>
      <c r="F135">
        <v>3</v>
      </c>
      <c r="J135">
        <f>90+119+143+151+171</f>
        <v>674</v>
      </c>
      <c r="K135">
        <v>5</v>
      </c>
      <c r="L135">
        <v>171</v>
      </c>
      <c r="N135" t="str">
        <f t="shared" si="7"/>
        <v>NA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9.603194000000002</v>
      </c>
      <c r="P135">
        <f t="shared" si="6"/>
        <v>9.603194000000002</v>
      </c>
      <c r="S135">
        <f t="shared" si="8"/>
        <v>7.0685775</v>
      </c>
    </row>
    <row r="136" spans="1:19">
      <c r="A136" s="9">
        <v>42431</v>
      </c>
      <c r="B136" s="8" t="s">
        <v>56</v>
      </c>
      <c r="C136">
        <v>18</v>
      </c>
      <c r="D136" s="8" t="s">
        <v>61</v>
      </c>
      <c r="F136">
        <v>1.86</v>
      </c>
      <c r="J136">
        <f>38+42+60+66+81+91</f>
        <v>378</v>
      </c>
      <c r="K136">
        <v>6</v>
      </c>
      <c r="L136">
        <v>91</v>
      </c>
      <c r="N136" t="str">
        <f t="shared" si="7"/>
        <v>NA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-1.071038999999999</v>
      </c>
      <c r="P136" t="str">
        <f t="shared" si="6"/>
        <v>0</v>
      </c>
      <c r="S136">
        <f t="shared" si="8"/>
        <v>2.7171611910000002</v>
      </c>
    </row>
    <row r="137" spans="1:19">
      <c r="A137" s="9">
        <v>42431</v>
      </c>
      <c r="B137" s="8" t="s">
        <v>56</v>
      </c>
      <c r="C137">
        <v>18</v>
      </c>
      <c r="D137" s="8" t="s">
        <v>61</v>
      </c>
      <c r="F137">
        <v>3.03</v>
      </c>
      <c r="J137">
        <f>48+74+88+114+119+150+183</f>
        <v>776</v>
      </c>
      <c r="K137">
        <v>7</v>
      </c>
      <c r="L137">
        <v>183</v>
      </c>
      <c r="N137" t="str">
        <f t="shared" si="7"/>
        <v>NA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1.5065580000000125</v>
      </c>
      <c r="P137">
        <f t="shared" ref="P137:P200" si="9">IF(O137&lt;0,"0",O137)</f>
        <v>1.5065580000000125</v>
      </c>
      <c r="S137">
        <f t="shared" si="8"/>
        <v>7.2106559077499996</v>
      </c>
    </row>
    <row r="138" spans="1:19">
      <c r="A138" s="9">
        <v>42431</v>
      </c>
      <c r="B138" s="8" t="s">
        <v>56</v>
      </c>
      <c r="C138">
        <v>18</v>
      </c>
      <c r="D138" s="8" t="s">
        <v>61</v>
      </c>
      <c r="F138">
        <v>1.32</v>
      </c>
      <c r="J138">
        <f>29+27+47+59+71</f>
        <v>233</v>
      </c>
      <c r="K138">
        <v>5</v>
      </c>
      <c r="L138">
        <v>71</v>
      </c>
      <c r="N138" t="str">
        <f t="shared" si="7"/>
        <v>NA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-1.6182609999999968</v>
      </c>
      <c r="P138" t="str">
        <f t="shared" si="9"/>
        <v>0</v>
      </c>
      <c r="S138">
        <f t="shared" si="8"/>
        <v>1.368476604</v>
      </c>
    </row>
    <row r="139" spans="1:19">
      <c r="A139" s="9">
        <v>42443</v>
      </c>
      <c r="B139" s="8" t="s">
        <v>55</v>
      </c>
      <c r="C139">
        <v>48</v>
      </c>
      <c r="D139" s="8" t="s">
        <v>61</v>
      </c>
      <c r="F139">
        <v>1.73</v>
      </c>
      <c r="J139">
        <f>82+112+139+140+166+160+165</f>
        <v>964</v>
      </c>
      <c r="K139">
        <v>7</v>
      </c>
      <c r="L139">
        <v>165</v>
      </c>
      <c r="N139" t="str">
        <f t="shared" si="7"/>
        <v>NA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24.554908000000012</v>
      </c>
      <c r="P139">
        <f t="shared" si="9"/>
        <v>24.554908000000012</v>
      </c>
      <c r="S139">
        <f t="shared" si="8"/>
        <v>2.3506161777500001</v>
      </c>
    </row>
    <row r="140" spans="1:19">
      <c r="A140" s="9">
        <v>42443</v>
      </c>
      <c r="B140" s="8" t="s">
        <v>55</v>
      </c>
      <c r="C140">
        <v>48</v>
      </c>
      <c r="D140" s="8" t="s">
        <v>61</v>
      </c>
      <c r="F140">
        <v>4.57</v>
      </c>
      <c r="J140">
        <f>105+131+133+150</f>
        <v>519</v>
      </c>
      <c r="K140">
        <v>5</v>
      </c>
      <c r="L140">
        <v>150</v>
      </c>
      <c r="N140" t="str">
        <f t="shared" si="7"/>
        <v>NA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1.3973140000000015</v>
      </c>
      <c r="P140">
        <f t="shared" si="9"/>
        <v>1.3973140000000015</v>
      </c>
      <c r="S140">
        <f t="shared" si="8"/>
        <v>16.40294824775</v>
      </c>
    </row>
    <row r="141" spans="1:19">
      <c r="A141" s="9">
        <v>42443</v>
      </c>
      <c r="B141" s="8" t="s">
        <v>55</v>
      </c>
      <c r="C141">
        <v>48</v>
      </c>
      <c r="D141" s="8" t="s">
        <v>61</v>
      </c>
      <c r="F141">
        <v>2.25</v>
      </c>
      <c r="J141">
        <f>62+73+75+49+39+30</f>
        <v>328</v>
      </c>
      <c r="K141">
        <v>6</v>
      </c>
      <c r="L141">
        <v>75</v>
      </c>
      <c r="N141" t="str">
        <f t="shared" si="7"/>
        <v>NA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-0.93886900000000395</v>
      </c>
      <c r="P141" t="str">
        <f t="shared" si="9"/>
        <v>0</v>
      </c>
      <c r="S141">
        <f t="shared" si="8"/>
        <v>3.9760748437499998</v>
      </c>
    </row>
    <row r="142" spans="1:19">
      <c r="A142" s="9">
        <v>42443</v>
      </c>
      <c r="B142" s="8" t="s">
        <v>55</v>
      </c>
      <c r="C142">
        <v>31</v>
      </c>
      <c r="D142" s="8" t="s">
        <v>61</v>
      </c>
      <c r="F142">
        <v>1.1000000000000001</v>
      </c>
      <c r="J142">
        <f>44+33+19+22</f>
        <v>118</v>
      </c>
      <c r="K142">
        <v>4</v>
      </c>
      <c r="L142">
        <v>44</v>
      </c>
      <c r="N142" t="str">
        <f t="shared" si="7"/>
        <v>NA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2.7558819999999962</v>
      </c>
      <c r="P142">
        <f t="shared" si="9"/>
        <v>2.7558819999999962</v>
      </c>
      <c r="S142">
        <f t="shared" si="8"/>
        <v>0.95033097500000008</v>
      </c>
    </row>
    <row r="143" spans="1:19">
      <c r="A143" s="9">
        <v>42443</v>
      </c>
      <c r="B143" s="8" t="s">
        <v>55</v>
      </c>
      <c r="C143">
        <v>31</v>
      </c>
      <c r="D143" s="8" t="s">
        <v>61</v>
      </c>
      <c r="F143">
        <v>0.82</v>
      </c>
      <c r="J143">
        <f>14+14</f>
        <v>28</v>
      </c>
      <c r="K143">
        <v>2</v>
      </c>
      <c r="L143">
        <v>14</v>
      </c>
      <c r="N143" t="str">
        <f t="shared" si="7"/>
        <v>NA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17.399987999999997</v>
      </c>
      <c r="P143">
        <f t="shared" si="9"/>
        <v>17.399987999999997</v>
      </c>
      <c r="S143">
        <f t="shared" si="8"/>
        <v>0.52810127899999992</v>
      </c>
    </row>
    <row r="144" spans="1:19">
      <c r="A144" s="9">
        <v>42443</v>
      </c>
      <c r="B144" s="8" t="s">
        <v>55</v>
      </c>
      <c r="C144">
        <v>31</v>
      </c>
      <c r="D144" s="8" t="s">
        <v>61</v>
      </c>
      <c r="F144">
        <v>0.69</v>
      </c>
      <c r="J144">
        <f>11+12+12</f>
        <v>35</v>
      </c>
      <c r="K144">
        <v>3</v>
      </c>
      <c r="L144">
        <v>12</v>
      </c>
      <c r="N144" t="str">
        <f t="shared" si="7"/>
        <v>NA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11.636409999999994</v>
      </c>
      <c r="P144">
        <f t="shared" si="9"/>
        <v>11.636409999999994</v>
      </c>
      <c r="S144">
        <f t="shared" si="8"/>
        <v>0.37392774974999993</v>
      </c>
    </row>
    <row r="145" spans="1:19">
      <c r="A145" s="9">
        <v>42443</v>
      </c>
      <c r="B145" s="8" t="s">
        <v>55</v>
      </c>
      <c r="C145">
        <v>31</v>
      </c>
      <c r="D145" s="8" t="s">
        <v>61</v>
      </c>
      <c r="F145">
        <v>0.77</v>
      </c>
      <c r="J145">
        <f>19+29+40+47</f>
        <v>135</v>
      </c>
      <c r="K145">
        <v>4</v>
      </c>
      <c r="L145">
        <v>47</v>
      </c>
      <c r="N145" t="str">
        <f t="shared" si="7"/>
        <v>NA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3.4459820000000008</v>
      </c>
      <c r="P145">
        <f t="shared" si="9"/>
        <v>3.4459820000000008</v>
      </c>
      <c r="S145">
        <f t="shared" si="8"/>
        <v>0.46566217774999996</v>
      </c>
    </row>
    <row r="146" spans="1:19">
      <c r="A146" s="9">
        <v>42443</v>
      </c>
      <c r="B146" s="8" t="s">
        <v>55</v>
      </c>
      <c r="C146">
        <v>31</v>
      </c>
      <c r="D146" s="8" t="s">
        <v>61</v>
      </c>
      <c r="F146">
        <v>0.99</v>
      </c>
      <c r="J146">
        <f>26+30+44+56</f>
        <v>156</v>
      </c>
      <c r="K146">
        <v>4</v>
      </c>
      <c r="L146">
        <v>56</v>
      </c>
      <c r="N146" t="str">
        <f t="shared" si="7"/>
        <v>NA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2.7036319999999989</v>
      </c>
      <c r="P146">
        <f t="shared" si="9"/>
        <v>2.7036319999999989</v>
      </c>
      <c r="S146">
        <f t="shared" si="8"/>
        <v>0.76976808975</v>
      </c>
    </row>
    <row r="147" spans="1:19">
      <c r="A147" s="9">
        <v>42443</v>
      </c>
      <c r="B147" s="8" t="s">
        <v>55</v>
      </c>
      <c r="C147">
        <v>31</v>
      </c>
      <c r="D147" s="8" t="s">
        <v>61</v>
      </c>
      <c r="F147">
        <v>1.1100000000000001</v>
      </c>
      <c r="J147">
        <f>24+43+59+62</f>
        <v>188</v>
      </c>
      <c r="K147">
        <v>4</v>
      </c>
      <c r="L147">
        <v>62</v>
      </c>
      <c r="N147" t="str">
        <f t="shared" si="7"/>
        <v>NA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3.8963219999999978</v>
      </c>
      <c r="P147">
        <f t="shared" si="9"/>
        <v>3.8963219999999978</v>
      </c>
      <c r="S147">
        <f t="shared" si="8"/>
        <v>0.96768825975000017</v>
      </c>
    </row>
    <row r="148" spans="1:19">
      <c r="A148" s="9">
        <v>42443</v>
      </c>
      <c r="B148" s="8" t="s">
        <v>55</v>
      </c>
      <c r="C148">
        <v>31</v>
      </c>
      <c r="D148" s="8" t="s">
        <v>61</v>
      </c>
      <c r="F148">
        <v>1.05</v>
      </c>
      <c r="J148">
        <f>23+46+47</f>
        <v>116</v>
      </c>
      <c r="K148">
        <v>3</v>
      </c>
      <c r="L148">
        <v>47</v>
      </c>
      <c r="N148" t="str">
        <f t="shared" si="7"/>
        <v>NA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8.686989999999998</v>
      </c>
      <c r="P148">
        <f t="shared" si="9"/>
        <v>8.686989999999998</v>
      </c>
      <c r="S148">
        <f t="shared" si="8"/>
        <v>0.86590074375000003</v>
      </c>
    </row>
    <row r="149" spans="1:19">
      <c r="A149" s="9">
        <v>42443</v>
      </c>
      <c r="B149" s="8" t="s">
        <v>55</v>
      </c>
      <c r="C149">
        <v>31</v>
      </c>
      <c r="D149" s="8" t="s">
        <v>61</v>
      </c>
      <c r="F149">
        <v>0.48</v>
      </c>
      <c r="J149">
        <v>12</v>
      </c>
      <c r="K149">
        <v>1</v>
      </c>
      <c r="L149">
        <v>12</v>
      </c>
      <c r="N149" t="str">
        <f t="shared" si="7"/>
        <v>NA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23.524750999999998</v>
      </c>
      <c r="P149">
        <f t="shared" si="9"/>
        <v>23.524750999999998</v>
      </c>
      <c r="S149">
        <f t="shared" si="8"/>
        <v>0.18095558399999997</v>
      </c>
    </row>
    <row r="150" spans="1:19">
      <c r="A150" s="9">
        <v>42443</v>
      </c>
      <c r="B150" s="8" t="s">
        <v>55</v>
      </c>
      <c r="C150">
        <v>31</v>
      </c>
      <c r="D150" s="8" t="s">
        <v>61</v>
      </c>
      <c r="F150">
        <v>0.68</v>
      </c>
      <c r="J150">
        <f>23+17+20</f>
        <v>60</v>
      </c>
      <c r="K150">
        <v>3</v>
      </c>
      <c r="L150">
        <v>23</v>
      </c>
      <c r="N150" t="str">
        <f t="shared" si="7"/>
        <v>NA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10.666589999999996</v>
      </c>
      <c r="P150">
        <f t="shared" si="9"/>
        <v>10.666589999999996</v>
      </c>
      <c r="S150">
        <f t="shared" si="8"/>
        <v>0.36316780400000004</v>
      </c>
    </row>
    <row r="151" spans="1:19">
      <c r="A151" s="9">
        <v>42443</v>
      </c>
      <c r="B151" s="8" t="s">
        <v>55</v>
      </c>
      <c r="C151">
        <v>31</v>
      </c>
      <c r="D151" s="8" t="s">
        <v>61</v>
      </c>
      <c r="F151">
        <v>0.74</v>
      </c>
      <c r="J151">
        <f>23+20+19</f>
        <v>62</v>
      </c>
      <c r="K151">
        <v>3</v>
      </c>
      <c r="L151">
        <v>23</v>
      </c>
      <c r="N151" t="str">
        <f t="shared" si="7"/>
        <v>NA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10.854099999999995</v>
      </c>
      <c r="P151">
        <f t="shared" si="9"/>
        <v>10.854099999999995</v>
      </c>
      <c r="S151">
        <f t="shared" si="8"/>
        <v>0.43008367099999995</v>
      </c>
    </row>
    <row r="152" spans="1:19">
      <c r="A152" s="9">
        <v>42443</v>
      </c>
      <c r="B152" s="8" t="s">
        <v>55</v>
      </c>
      <c r="C152">
        <v>31</v>
      </c>
      <c r="D152" s="8" t="s">
        <v>61</v>
      </c>
      <c r="F152">
        <v>0.88</v>
      </c>
      <c r="J152">
        <f>21+33+40</f>
        <v>94</v>
      </c>
      <c r="K152">
        <v>3</v>
      </c>
      <c r="L152">
        <v>40</v>
      </c>
      <c r="N152" t="str">
        <f t="shared" si="7"/>
        <v>NA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8.7330949999999987</v>
      </c>
      <c r="P152">
        <f t="shared" si="9"/>
        <v>8.7330949999999987</v>
      </c>
      <c r="S152">
        <f t="shared" si="8"/>
        <v>0.60821182399999996</v>
      </c>
    </row>
    <row r="153" spans="1:19">
      <c r="A153" s="9">
        <v>42443</v>
      </c>
      <c r="B153" s="8" t="s">
        <v>55</v>
      </c>
      <c r="C153">
        <v>31</v>
      </c>
      <c r="D153" s="8" t="s">
        <v>61</v>
      </c>
      <c r="F153">
        <v>0.88</v>
      </c>
      <c r="J153">
        <f>10+16+28+38+51</f>
        <v>143</v>
      </c>
      <c r="K153">
        <v>5</v>
      </c>
      <c r="L153">
        <v>51</v>
      </c>
      <c r="N153" t="str">
        <f t="shared" si="7"/>
        <v>NA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-4.0313110000000023</v>
      </c>
      <c r="P153" t="str">
        <f t="shared" si="9"/>
        <v>0</v>
      </c>
      <c r="S153">
        <f t="shared" si="8"/>
        <v>0.60821182399999996</v>
      </c>
    </row>
    <row r="154" spans="1:19">
      <c r="A154" s="9">
        <v>42443</v>
      </c>
      <c r="B154" s="8" t="s">
        <v>55</v>
      </c>
      <c r="C154">
        <v>26</v>
      </c>
      <c r="D154" s="8" t="s">
        <v>61</v>
      </c>
      <c r="F154">
        <v>0.77</v>
      </c>
      <c r="J154">
        <f>38+40+28+29</f>
        <v>135</v>
      </c>
      <c r="K154">
        <v>4</v>
      </c>
      <c r="L154">
        <v>40</v>
      </c>
      <c r="N154" t="str">
        <f t="shared" si="7"/>
        <v>NA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5.5546969999999973</v>
      </c>
      <c r="P154">
        <f t="shared" si="9"/>
        <v>5.5546969999999973</v>
      </c>
      <c r="S154">
        <f t="shared" si="8"/>
        <v>0.46566217774999996</v>
      </c>
    </row>
    <row r="155" spans="1:19">
      <c r="A155" s="9">
        <v>42443</v>
      </c>
      <c r="B155" s="8" t="s">
        <v>55</v>
      </c>
      <c r="C155">
        <v>26</v>
      </c>
      <c r="D155" s="8" t="s">
        <v>61</v>
      </c>
      <c r="F155">
        <v>1.1599999999999999</v>
      </c>
      <c r="J155">
        <f>20+46+65+70</f>
        <v>201</v>
      </c>
      <c r="K155">
        <v>4</v>
      </c>
      <c r="L155">
        <v>70</v>
      </c>
      <c r="N155" t="str">
        <f t="shared" si="7"/>
        <v>NA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2.7051769999999991</v>
      </c>
      <c r="P155">
        <f t="shared" si="9"/>
        <v>2.7051769999999991</v>
      </c>
      <c r="S155">
        <f t="shared" si="8"/>
        <v>1.0568308759999998</v>
      </c>
    </row>
    <row r="156" spans="1:19">
      <c r="A156" s="9">
        <v>42443</v>
      </c>
      <c r="B156" s="8" t="s">
        <v>55</v>
      </c>
      <c r="C156">
        <v>26</v>
      </c>
      <c r="D156" s="8" t="s">
        <v>61</v>
      </c>
      <c r="F156">
        <v>2.16</v>
      </c>
      <c r="J156">
        <f>59+77+100+109+122</f>
        <v>467</v>
      </c>
      <c r="K156">
        <v>5</v>
      </c>
      <c r="L156">
        <v>122</v>
      </c>
      <c r="N156" t="str">
        <f t="shared" si="7"/>
        <v>NA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4.9569140000000047</v>
      </c>
      <c r="P156">
        <f t="shared" si="9"/>
        <v>4.9569140000000047</v>
      </c>
      <c r="S156">
        <f t="shared" si="8"/>
        <v>3.6643505760000004</v>
      </c>
    </row>
    <row r="157" spans="1:19">
      <c r="A157" s="9">
        <v>42443</v>
      </c>
      <c r="B157" s="8" t="s">
        <v>55</v>
      </c>
      <c r="C157">
        <v>26</v>
      </c>
      <c r="D157" s="8" t="s">
        <v>61</v>
      </c>
      <c r="F157">
        <v>1.22</v>
      </c>
      <c r="J157">
        <f>71+90+99+91+65+40</f>
        <v>456</v>
      </c>
      <c r="K157">
        <v>6</v>
      </c>
      <c r="L157">
        <v>99</v>
      </c>
      <c r="N157" t="str">
        <f t="shared" si="7"/>
        <v>NA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3.8318909999999953</v>
      </c>
      <c r="P157">
        <f t="shared" si="9"/>
        <v>3.8318909999999953</v>
      </c>
      <c r="S157">
        <f t="shared" si="8"/>
        <v>1.168985639</v>
      </c>
    </row>
    <row r="158" spans="1:19">
      <c r="A158" s="9">
        <v>42443</v>
      </c>
      <c r="B158" s="8" t="s">
        <v>55</v>
      </c>
      <c r="C158">
        <v>26</v>
      </c>
      <c r="D158" s="8" t="s">
        <v>61</v>
      </c>
      <c r="F158">
        <v>5.46</v>
      </c>
      <c r="J158">
        <f>126+154+156+158+173</f>
        <v>767</v>
      </c>
      <c r="K158">
        <v>5</v>
      </c>
      <c r="L158">
        <v>173</v>
      </c>
      <c r="N158" t="str">
        <f t="shared" si="7"/>
        <v>NA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17.719919000000012</v>
      </c>
      <c r="P158">
        <f t="shared" si="9"/>
        <v>17.719919000000012</v>
      </c>
      <c r="S158">
        <f t="shared" si="8"/>
        <v>23.413956110999997</v>
      </c>
    </row>
    <row r="159" spans="1:19">
      <c r="A159" s="9">
        <v>42443</v>
      </c>
      <c r="B159" s="8" t="s">
        <v>55</v>
      </c>
      <c r="C159">
        <v>26</v>
      </c>
      <c r="D159" s="8" t="s">
        <v>61</v>
      </c>
      <c r="F159">
        <v>0.9</v>
      </c>
      <c r="J159">
        <f>51+54+69+30+28</f>
        <v>232</v>
      </c>
      <c r="K159">
        <v>5</v>
      </c>
      <c r="L159">
        <v>69</v>
      </c>
      <c r="N159" t="str">
        <f t="shared" si="7"/>
        <v>NA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-1.1095259999999953</v>
      </c>
      <c r="P159" t="str">
        <f t="shared" si="9"/>
        <v>0</v>
      </c>
      <c r="S159">
        <f t="shared" si="8"/>
        <v>0.636171975</v>
      </c>
    </row>
    <row r="160" spans="1:19">
      <c r="A160" s="9">
        <v>42443</v>
      </c>
      <c r="B160" s="8" t="s">
        <v>55</v>
      </c>
      <c r="C160">
        <v>26</v>
      </c>
      <c r="D160" s="8" t="s">
        <v>61</v>
      </c>
      <c r="F160">
        <v>1.39</v>
      </c>
      <c r="J160">
        <f>40+54+72+82+99</f>
        <v>347</v>
      </c>
      <c r="K160">
        <v>5</v>
      </c>
      <c r="L160">
        <v>99</v>
      </c>
      <c r="N160" t="str">
        <f t="shared" si="7"/>
        <v>NA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0.63494899999999888</v>
      </c>
      <c r="P160">
        <f t="shared" si="9"/>
        <v>0.63494899999999888</v>
      </c>
      <c r="S160">
        <f t="shared" si="8"/>
        <v>1.5174665097499997</v>
      </c>
    </row>
    <row r="161" spans="1:19">
      <c r="A161" s="9">
        <v>42443</v>
      </c>
      <c r="B161" s="8" t="s">
        <v>55</v>
      </c>
      <c r="C161">
        <v>26</v>
      </c>
      <c r="D161" s="8" t="s">
        <v>61</v>
      </c>
      <c r="F161">
        <v>1.4</v>
      </c>
      <c r="J161">
        <f>98+83+61+71</f>
        <v>313</v>
      </c>
      <c r="K161">
        <v>4</v>
      </c>
      <c r="L161">
        <v>98</v>
      </c>
      <c r="N161" t="str">
        <f t="shared" si="7"/>
        <v>NA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4.7708770000000023</v>
      </c>
      <c r="P161">
        <f t="shared" si="9"/>
        <v>4.7708770000000023</v>
      </c>
      <c r="S161">
        <f t="shared" si="8"/>
        <v>1.5393790999999997</v>
      </c>
    </row>
    <row r="162" spans="1:19">
      <c r="A162" s="9">
        <v>42443</v>
      </c>
      <c r="B162" s="8" t="s">
        <v>55</v>
      </c>
      <c r="C162">
        <v>26</v>
      </c>
      <c r="D162" s="8" t="s">
        <v>61</v>
      </c>
      <c r="F162">
        <v>1.28</v>
      </c>
      <c r="J162">
        <f>27+47+63+86+86</f>
        <v>309</v>
      </c>
      <c r="K162">
        <v>5</v>
      </c>
      <c r="L162">
        <v>86</v>
      </c>
      <c r="N162" t="str">
        <f t="shared" si="7"/>
        <v>NA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0.98844400000000121</v>
      </c>
      <c r="P162">
        <f t="shared" si="9"/>
        <v>0.98844400000000121</v>
      </c>
      <c r="S162">
        <f t="shared" si="8"/>
        <v>1.286795264</v>
      </c>
    </row>
    <row r="163" spans="1:19">
      <c r="A163" s="9">
        <v>42443</v>
      </c>
      <c r="B163" s="8" t="s">
        <v>55</v>
      </c>
      <c r="C163">
        <v>21</v>
      </c>
      <c r="D163" s="8" t="s">
        <v>61</v>
      </c>
      <c r="F163">
        <v>0.76</v>
      </c>
      <c r="J163">
        <f>19+44+46+54</f>
        <v>163</v>
      </c>
      <c r="K163">
        <v>4</v>
      </c>
      <c r="L163">
        <v>54</v>
      </c>
      <c r="N163" t="str">
        <f t="shared" si="7"/>
        <v>NA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3.9624069999999989</v>
      </c>
      <c r="P163">
        <f t="shared" si="9"/>
        <v>3.9624069999999989</v>
      </c>
      <c r="S163">
        <f t="shared" si="8"/>
        <v>0.45364559599999998</v>
      </c>
    </row>
    <row r="164" spans="1:19">
      <c r="A164" s="9">
        <v>42443</v>
      </c>
      <c r="B164" s="8" t="s">
        <v>55</v>
      </c>
      <c r="C164">
        <v>21</v>
      </c>
      <c r="D164" s="8" t="s">
        <v>61</v>
      </c>
      <c r="F164">
        <v>1.1399999999999999</v>
      </c>
      <c r="J164">
        <f>29+51+61+31</f>
        <v>172</v>
      </c>
      <c r="K164">
        <v>4</v>
      </c>
      <c r="L164">
        <v>61</v>
      </c>
      <c r="N164" t="str">
        <f t="shared" si="7"/>
        <v>NA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2.6974869999999989</v>
      </c>
      <c r="P164">
        <f t="shared" si="9"/>
        <v>2.6974869999999989</v>
      </c>
      <c r="S164">
        <f t="shared" si="8"/>
        <v>1.0207025909999998</v>
      </c>
    </row>
    <row r="165" spans="1:19">
      <c r="A165" s="9">
        <v>42443</v>
      </c>
      <c r="B165" s="8" t="s">
        <v>55</v>
      </c>
      <c r="C165">
        <v>21</v>
      </c>
      <c r="D165" s="8" t="s">
        <v>61</v>
      </c>
      <c r="F165">
        <v>1.1499999999999999</v>
      </c>
      <c r="J165">
        <f>13+38+53+63+84+92</f>
        <v>343</v>
      </c>
      <c r="K165">
        <v>6</v>
      </c>
      <c r="L165">
        <v>92</v>
      </c>
      <c r="N165" t="str">
        <f t="shared" si="7"/>
        <v>NA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-4.6537089999999992</v>
      </c>
      <c r="P165" t="str">
        <f t="shared" si="9"/>
        <v>0</v>
      </c>
      <c r="S165">
        <f t="shared" si="8"/>
        <v>1.0386881937499999</v>
      </c>
    </row>
    <row r="166" spans="1:19">
      <c r="A166" s="9">
        <v>42443</v>
      </c>
      <c r="B166" s="8" t="s">
        <v>55</v>
      </c>
      <c r="C166">
        <v>21</v>
      </c>
      <c r="D166" s="8" t="s">
        <v>61</v>
      </c>
      <c r="F166">
        <v>1.42</v>
      </c>
      <c r="J166">
        <f>87+89+109+42+64</f>
        <v>391</v>
      </c>
      <c r="K166">
        <v>5</v>
      </c>
      <c r="L166">
        <v>109</v>
      </c>
      <c r="N166" t="str">
        <f t="shared" si="7"/>
        <v>NA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1.7477190000000036</v>
      </c>
      <c r="P166">
        <f t="shared" si="9"/>
        <v>1.7477190000000036</v>
      </c>
      <c r="S166">
        <f t="shared" si="8"/>
        <v>1.5836755189999998</v>
      </c>
    </row>
    <row r="167" spans="1:19">
      <c r="A167" s="9">
        <v>42443</v>
      </c>
      <c r="B167" s="8" t="s">
        <v>55</v>
      </c>
      <c r="C167">
        <v>21</v>
      </c>
      <c r="D167" s="8" t="s">
        <v>61</v>
      </c>
      <c r="F167">
        <v>0.49</v>
      </c>
      <c r="J167">
        <f>20+28+34</f>
        <v>82</v>
      </c>
      <c r="K167">
        <v>3</v>
      </c>
      <c r="L167">
        <v>34</v>
      </c>
      <c r="N167" t="str">
        <f t="shared" si="7"/>
        <v>NA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9.415504999999996</v>
      </c>
      <c r="P167">
        <f t="shared" si="9"/>
        <v>9.415504999999996</v>
      </c>
      <c r="S167">
        <f t="shared" si="8"/>
        <v>0.18857393974999997</v>
      </c>
    </row>
    <row r="168" spans="1:19">
      <c r="A168" s="9">
        <v>42443</v>
      </c>
      <c r="B168" s="8" t="s">
        <v>55</v>
      </c>
      <c r="C168">
        <v>21</v>
      </c>
      <c r="D168" s="8" t="s">
        <v>61</v>
      </c>
      <c r="F168">
        <v>0.91</v>
      </c>
      <c r="J168">
        <f>39+42+59+70</f>
        <v>210</v>
      </c>
      <c r="K168">
        <v>4</v>
      </c>
      <c r="L168">
        <v>70</v>
      </c>
      <c r="N168" t="str">
        <f t="shared" si="7"/>
        <v>NA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3.5489719999999991</v>
      </c>
      <c r="P168">
        <f t="shared" si="9"/>
        <v>3.5489719999999991</v>
      </c>
      <c r="S168">
        <f t="shared" si="8"/>
        <v>0.65038766975000006</v>
      </c>
    </row>
    <row r="169" spans="1:19">
      <c r="A169" s="9">
        <v>42443</v>
      </c>
      <c r="B169" s="8" t="s">
        <v>55</v>
      </c>
      <c r="C169">
        <v>21</v>
      </c>
      <c r="D169" s="8" t="s">
        <v>61</v>
      </c>
      <c r="F169">
        <v>1.08</v>
      </c>
      <c r="J169">
        <f>87+88+64+44</f>
        <v>283</v>
      </c>
      <c r="K169">
        <v>4</v>
      </c>
      <c r="L169">
        <v>88</v>
      </c>
      <c r="N169" t="str">
        <f t="shared" si="7"/>
        <v>NA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4.9706769999999985</v>
      </c>
      <c r="P169">
        <f t="shared" si="9"/>
        <v>4.9706769999999985</v>
      </c>
      <c r="S169">
        <f t="shared" si="8"/>
        <v>0.91608764400000009</v>
      </c>
    </row>
    <row r="170" spans="1:19">
      <c r="A170" s="9">
        <v>42443</v>
      </c>
      <c r="B170" s="8" t="s">
        <v>55</v>
      </c>
      <c r="C170">
        <v>21</v>
      </c>
      <c r="D170" s="8" t="s">
        <v>61</v>
      </c>
      <c r="F170">
        <v>0.75</v>
      </c>
      <c r="J170">
        <f>20+44+53+68</f>
        <v>185</v>
      </c>
      <c r="K170">
        <v>4</v>
      </c>
      <c r="L170">
        <v>68</v>
      </c>
      <c r="N170" t="str">
        <f t="shared" si="7"/>
        <v>NA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1.8075870000000016</v>
      </c>
      <c r="P170">
        <f t="shared" si="9"/>
        <v>1.8075870000000016</v>
      </c>
      <c r="S170">
        <f t="shared" si="8"/>
        <v>0.44178609375</v>
      </c>
    </row>
    <row r="171" spans="1:19">
      <c r="A171" s="9">
        <v>42443</v>
      </c>
      <c r="B171" s="8" t="s">
        <v>55</v>
      </c>
      <c r="C171">
        <v>21</v>
      </c>
      <c r="D171" s="8" t="s">
        <v>61</v>
      </c>
      <c r="F171">
        <v>1.17</v>
      </c>
      <c r="J171">
        <f>91+87+88+50</f>
        <v>316</v>
      </c>
      <c r="K171">
        <v>4</v>
      </c>
      <c r="L171">
        <v>91</v>
      </c>
      <c r="N171" t="str">
        <f t="shared" si="7"/>
        <v>NA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7.160857</v>
      </c>
      <c r="P171">
        <f t="shared" si="9"/>
        <v>7.160857</v>
      </c>
      <c r="S171">
        <f t="shared" si="8"/>
        <v>1.0751306377499998</v>
      </c>
    </row>
    <row r="172" spans="1:19">
      <c r="A172" s="9">
        <v>42443</v>
      </c>
      <c r="B172" s="8" t="s">
        <v>55</v>
      </c>
      <c r="C172">
        <v>21</v>
      </c>
      <c r="D172" s="8" t="s">
        <v>61</v>
      </c>
      <c r="F172">
        <v>0.6</v>
      </c>
      <c r="J172">
        <f>10+13+16</f>
        <v>39</v>
      </c>
      <c r="K172">
        <v>3</v>
      </c>
      <c r="L172">
        <v>16</v>
      </c>
      <c r="N172" t="str">
        <f t="shared" si="7"/>
        <v>NA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10.806449999999998</v>
      </c>
      <c r="P172">
        <f t="shared" si="9"/>
        <v>10.806449999999998</v>
      </c>
      <c r="S172">
        <f t="shared" si="8"/>
        <v>0.28274309999999997</v>
      </c>
    </row>
    <row r="173" spans="1:19">
      <c r="A173" s="9">
        <v>42443</v>
      </c>
      <c r="B173" s="8" t="s">
        <v>55</v>
      </c>
      <c r="C173">
        <v>21</v>
      </c>
      <c r="D173" s="8" t="s">
        <v>61</v>
      </c>
      <c r="F173">
        <v>0.71</v>
      </c>
      <c r="J173">
        <f>48+46+30</f>
        <v>124</v>
      </c>
      <c r="K173">
        <v>3</v>
      </c>
      <c r="L173">
        <v>48</v>
      </c>
      <c r="N173" t="str">
        <f t="shared" si="7"/>
        <v>NA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9.1357849999999985</v>
      </c>
      <c r="P173">
        <f t="shared" si="9"/>
        <v>9.1357849999999985</v>
      </c>
      <c r="S173">
        <f t="shared" si="8"/>
        <v>0.39591887974999995</v>
      </c>
    </row>
    <row r="174" spans="1:19">
      <c r="A174" s="9">
        <v>42443</v>
      </c>
      <c r="B174" s="8" t="s">
        <v>55</v>
      </c>
      <c r="C174">
        <v>21</v>
      </c>
      <c r="D174" s="8" t="s">
        <v>61</v>
      </c>
      <c r="F174">
        <v>0.8</v>
      </c>
      <c r="J174">
        <f>22+44+53+41</f>
        <v>160</v>
      </c>
      <c r="K174">
        <v>4</v>
      </c>
      <c r="L174">
        <v>53</v>
      </c>
      <c r="N174" t="str">
        <f t="shared" si="7"/>
        <v>NA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3.9823869999999992</v>
      </c>
      <c r="P174">
        <f t="shared" si="9"/>
        <v>3.9823869999999992</v>
      </c>
      <c r="S174">
        <f t="shared" si="8"/>
        <v>0.50265440000000006</v>
      </c>
    </row>
    <row r="175" spans="1:19">
      <c r="A175" s="9">
        <v>42443</v>
      </c>
      <c r="B175" s="8" t="s">
        <v>55</v>
      </c>
      <c r="C175">
        <v>21</v>
      </c>
      <c r="D175" s="8" t="s">
        <v>61</v>
      </c>
      <c r="F175">
        <v>4.9400000000000004</v>
      </c>
      <c r="J175">
        <f>122+128+102+117+134</f>
        <v>603</v>
      </c>
      <c r="K175">
        <v>5</v>
      </c>
      <c r="L175">
        <v>148</v>
      </c>
      <c r="N175" t="str">
        <f t="shared" si="7"/>
        <v>NA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9.8752240000000029</v>
      </c>
      <c r="P175">
        <f t="shared" si="9"/>
        <v>9.8752240000000029</v>
      </c>
      <c r="S175">
        <f t="shared" si="8"/>
        <v>19.166526431000001</v>
      </c>
    </row>
    <row r="176" spans="1:19">
      <c r="A176" s="9">
        <v>42443</v>
      </c>
      <c r="B176" s="8" t="s">
        <v>55</v>
      </c>
      <c r="C176">
        <v>13</v>
      </c>
      <c r="D176" s="8" t="s">
        <v>61</v>
      </c>
      <c r="F176">
        <v>5.83</v>
      </c>
      <c r="J176">
        <f>71+110+117+134</f>
        <v>432</v>
      </c>
      <c r="K176">
        <v>4</v>
      </c>
      <c r="L176">
        <v>134</v>
      </c>
      <c r="N176" t="str">
        <f t="shared" si="7"/>
        <v>NA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5.0829020000000007</v>
      </c>
      <c r="P176">
        <f t="shared" si="9"/>
        <v>5.0829020000000007</v>
      </c>
      <c r="S176">
        <f t="shared" si="8"/>
        <v>26.69479708775</v>
      </c>
    </row>
    <row r="177" spans="1:19">
      <c r="A177" s="9">
        <v>42443</v>
      </c>
      <c r="B177" s="8" t="s">
        <v>55</v>
      </c>
      <c r="C177">
        <v>13</v>
      </c>
      <c r="D177" s="8" t="s">
        <v>61</v>
      </c>
      <c r="F177">
        <v>1.869</v>
      </c>
      <c r="J177">
        <f>104+83+56+102+76+44</f>
        <v>465</v>
      </c>
      <c r="K177">
        <v>6</v>
      </c>
      <c r="L177">
        <v>104</v>
      </c>
      <c r="N177" t="str">
        <f t="shared" si="7"/>
        <v>NA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3.1694609999999983</v>
      </c>
      <c r="P177">
        <f t="shared" si="9"/>
        <v>3.1694609999999983</v>
      </c>
      <c r="S177">
        <f t="shared" si="8"/>
        <v>2.7435199164975002</v>
      </c>
    </row>
    <row r="178" spans="1:19">
      <c r="A178" s="9">
        <v>42443</v>
      </c>
      <c r="B178" s="8" t="s">
        <v>55</v>
      </c>
      <c r="C178">
        <v>13</v>
      </c>
      <c r="D178" s="8" t="s">
        <v>61</v>
      </c>
      <c r="F178">
        <v>1.62</v>
      </c>
      <c r="J178">
        <f>53+58+90+95+108</f>
        <v>404</v>
      </c>
      <c r="K178">
        <v>5</v>
      </c>
      <c r="L178">
        <v>108</v>
      </c>
      <c r="N178" t="str">
        <f t="shared" si="7"/>
        <v>NA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3.2677790000000044</v>
      </c>
      <c r="P178">
        <f t="shared" si="9"/>
        <v>3.2677790000000044</v>
      </c>
      <c r="S178">
        <f t="shared" si="8"/>
        <v>2.0611971990000004</v>
      </c>
    </row>
    <row r="179" spans="1:19">
      <c r="A179" s="9">
        <v>42443</v>
      </c>
      <c r="B179" s="8" t="s">
        <v>55</v>
      </c>
      <c r="C179">
        <v>13</v>
      </c>
      <c r="D179" s="8" t="s">
        <v>63</v>
      </c>
      <c r="E179">
        <v>39</v>
      </c>
      <c r="F179">
        <v>0.56000000000000005</v>
      </c>
      <c r="N179">
        <f t="shared" si="7"/>
        <v>3.2019085280000001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-1.8565019999999999</v>
      </c>
      <c r="P179" t="str">
        <f t="shared" si="9"/>
        <v>0</v>
      </c>
      <c r="S179">
        <f t="shared" si="8"/>
        <v>0.24630065600000003</v>
      </c>
    </row>
    <row r="180" spans="1:19">
      <c r="A180" s="9">
        <v>42443</v>
      </c>
      <c r="B180" s="8" t="s">
        <v>55</v>
      </c>
      <c r="C180">
        <v>13</v>
      </c>
      <c r="D180" s="8" t="s">
        <v>61</v>
      </c>
      <c r="F180">
        <v>6.84</v>
      </c>
      <c r="J180">
        <f>133+68+144+128+96+44+68+134</f>
        <v>815</v>
      </c>
      <c r="K180">
        <v>8</v>
      </c>
      <c r="L180">
        <v>144</v>
      </c>
      <c r="N180" t="str">
        <f t="shared" si="7"/>
        <v>NA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9.889205000000004</v>
      </c>
      <c r="P180">
        <f t="shared" si="9"/>
        <v>9.889205000000004</v>
      </c>
      <c r="S180">
        <f t="shared" si="8"/>
        <v>36.745293275999998</v>
      </c>
    </row>
    <row r="181" spans="1:19">
      <c r="A181" s="9">
        <v>42443</v>
      </c>
      <c r="B181" s="8" t="s">
        <v>55</v>
      </c>
      <c r="C181">
        <v>13</v>
      </c>
      <c r="D181" s="8" t="s">
        <v>63</v>
      </c>
      <c r="E181">
        <v>37</v>
      </c>
      <c r="F181">
        <v>0.68</v>
      </c>
      <c r="N181">
        <f t="shared" si="7"/>
        <v>4.4790695826666669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-1.9967119999999996</v>
      </c>
      <c r="P181" t="str">
        <f t="shared" si="9"/>
        <v>0</v>
      </c>
      <c r="S181">
        <f t="shared" si="8"/>
        <v>0.36316780400000004</v>
      </c>
    </row>
    <row r="182" spans="1:19">
      <c r="A182" s="9">
        <v>42443</v>
      </c>
      <c r="B182" s="8" t="s">
        <v>55</v>
      </c>
      <c r="C182">
        <v>13</v>
      </c>
      <c r="D182" s="8" t="s">
        <v>61</v>
      </c>
      <c r="F182">
        <v>0.66</v>
      </c>
      <c r="J182">
        <f>22+31+36</f>
        <v>89</v>
      </c>
      <c r="K182">
        <v>3</v>
      </c>
      <c r="L182">
        <v>36</v>
      </c>
      <c r="N182" t="str">
        <f t="shared" si="7"/>
        <v>NA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9.4692999999999969</v>
      </c>
      <c r="P182">
        <f t="shared" si="9"/>
        <v>9.4692999999999969</v>
      </c>
      <c r="S182">
        <f t="shared" si="8"/>
        <v>0.34211915100000001</v>
      </c>
    </row>
    <row r="183" spans="1:19">
      <c r="A183" s="9">
        <v>42443</v>
      </c>
      <c r="B183" s="8" t="s">
        <v>55</v>
      </c>
      <c r="C183">
        <v>13</v>
      </c>
      <c r="D183" s="8" t="s">
        <v>61</v>
      </c>
      <c r="F183">
        <v>2.36</v>
      </c>
      <c r="J183">
        <f>67+53+80+96+107+111+124</f>
        <v>638</v>
      </c>
      <c r="K183">
        <v>7</v>
      </c>
      <c r="L183">
        <v>124</v>
      </c>
      <c r="N183" t="str">
        <f t="shared" si="7"/>
        <v>NA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6.3418230000000051</v>
      </c>
      <c r="P183">
        <f t="shared" si="9"/>
        <v>6.3418230000000051</v>
      </c>
      <c r="S183">
        <f t="shared" si="8"/>
        <v>4.374349915999999</v>
      </c>
    </row>
    <row r="184" spans="1:19">
      <c r="A184" s="9">
        <v>42443</v>
      </c>
      <c r="B184" s="8" t="s">
        <v>55</v>
      </c>
      <c r="C184">
        <v>13</v>
      </c>
      <c r="D184" s="8" t="s">
        <v>61</v>
      </c>
      <c r="F184">
        <v>0.66</v>
      </c>
      <c r="J184">
        <f>19+40+51+57</f>
        <v>167</v>
      </c>
      <c r="K184">
        <v>4</v>
      </c>
      <c r="L184">
        <v>57</v>
      </c>
      <c r="N184" t="str">
        <f t="shared" si="7"/>
        <v>NA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3.4336920000000006</v>
      </c>
      <c r="P184">
        <f t="shared" si="9"/>
        <v>3.4336920000000006</v>
      </c>
      <c r="S184">
        <f t="shared" si="8"/>
        <v>0.34211915100000001</v>
      </c>
    </row>
    <row r="185" spans="1:19">
      <c r="A185" s="9">
        <v>42443</v>
      </c>
      <c r="B185" s="8" t="s">
        <v>55</v>
      </c>
      <c r="C185">
        <v>13</v>
      </c>
      <c r="D185" s="8" t="s">
        <v>61</v>
      </c>
      <c r="F185">
        <v>1.46</v>
      </c>
      <c r="J185">
        <f>74+73+55+34+49</f>
        <v>285</v>
      </c>
      <c r="K185">
        <v>5</v>
      </c>
      <c r="L185">
        <v>74</v>
      </c>
      <c r="N185" t="str">
        <f t="shared" si="7"/>
        <v>NA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2.3532639999999994</v>
      </c>
      <c r="P185">
        <f t="shared" si="9"/>
        <v>2.3532639999999994</v>
      </c>
      <c r="S185">
        <f t="shared" si="8"/>
        <v>1.6741533109999998</v>
      </c>
    </row>
    <row r="186" spans="1:19">
      <c r="A186" s="9">
        <v>42443</v>
      </c>
      <c r="B186" s="8" t="s">
        <v>55</v>
      </c>
      <c r="C186">
        <v>13</v>
      </c>
      <c r="D186" s="8" t="s">
        <v>61</v>
      </c>
      <c r="F186">
        <v>3.06</v>
      </c>
      <c r="J186">
        <f>59+87+92+114+114</f>
        <v>466</v>
      </c>
      <c r="K186">
        <v>5</v>
      </c>
      <c r="L186">
        <v>114</v>
      </c>
      <c r="N186" t="str">
        <f t="shared" si="7"/>
        <v>NA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7.2731190000000012</v>
      </c>
      <c r="P186">
        <f t="shared" si="9"/>
        <v>7.2731190000000012</v>
      </c>
      <c r="S186">
        <f t="shared" si="8"/>
        <v>7.3541480309999994</v>
      </c>
    </row>
    <row r="187" spans="1:19">
      <c r="A187" s="9">
        <v>42443</v>
      </c>
      <c r="B187" s="8" t="s">
        <v>55</v>
      </c>
      <c r="C187">
        <v>13</v>
      </c>
      <c r="D187" s="8" t="s">
        <v>61</v>
      </c>
      <c r="F187">
        <v>2.08</v>
      </c>
      <c r="J187">
        <f>82+100+72+76+106+81</f>
        <v>517</v>
      </c>
      <c r="K187">
        <v>6</v>
      </c>
      <c r="L187">
        <v>106</v>
      </c>
      <c r="N187" t="str">
        <f t="shared" si="7"/>
        <v>NA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7.4422309999999996</v>
      </c>
      <c r="P187">
        <f t="shared" si="9"/>
        <v>7.4422309999999996</v>
      </c>
      <c r="S187">
        <f t="shared" si="8"/>
        <v>3.3979437440000004</v>
      </c>
    </row>
    <row r="188" spans="1:19">
      <c r="A188" s="9">
        <v>42443</v>
      </c>
      <c r="B188" s="8" t="s">
        <v>55</v>
      </c>
      <c r="C188">
        <v>13</v>
      </c>
      <c r="D188" s="8" t="s">
        <v>61</v>
      </c>
      <c r="F188">
        <v>2.5099999999999998</v>
      </c>
      <c r="J188">
        <f>74+93+104+112</f>
        <v>383</v>
      </c>
      <c r="K188">
        <v>4</v>
      </c>
      <c r="L188">
        <v>112</v>
      </c>
      <c r="N188" t="str">
        <f t="shared" si="7"/>
        <v>NA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7.1162969999999994</v>
      </c>
      <c r="P188">
        <f t="shared" si="9"/>
        <v>7.1162969999999994</v>
      </c>
      <c r="S188">
        <f t="shared" si="8"/>
        <v>4.948082789749999</v>
      </c>
    </row>
    <row r="189" spans="1:19">
      <c r="A189" s="9">
        <v>42443</v>
      </c>
      <c r="B189" s="8" t="s">
        <v>55</v>
      </c>
      <c r="C189">
        <v>13</v>
      </c>
      <c r="D189" s="8" t="s">
        <v>61</v>
      </c>
      <c r="F189">
        <v>2.29</v>
      </c>
      <c r="J189">
        <f>72+85+98+102+114</f>
        <v>471</v>
      </c>
      <c r="K189">
        <v>5</v>
      </c>
      <c r="L189">
        <v>114</v>
      </c>
      <c r="N189" t="str">
        <f t="shared" si="7"/>
        <v>NA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7.7418940000000021</v>
      </c>
      <c r="P189">
        <f t="shared" si="9"/>
        <v>7.7418940000000021</v>
      </c>
      <c r="S189">
        <f t="shared" si="8"/>
        <v>4.1187030297499998</v>
      </c>
    </row>
    <row r="190" spans="1:19">
      <c r="A190" s="9">
        <v>42443</v>
      </c>
      <c r="B190" s="8" t="s">
        <v>55</v>
      </c>
      <c r="C190">
        <v>13</v>
      </c>
      <c r="D190" s="8" t="s">
        <v>61</v>
      </c>
      <c r="F190">
        <v>1.18</v>
      </c>
      <c r="J190">
        <f>74+61+39+70+30+83</f>
        <v>357</v>
      </c>
      <c r="K190">
        <v>6</v>
      </c>
      <c r="L190">
        <v>83</v>
      </c>
      <c r="N190" t="str">
        <f t="shared" si="7"/>
        <v>NA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-0.62993399999999866</v>
      </c>
      <c r="P190" t="str">
        <f t="shared" si="9"/>
        <v>0</v>
      </c>
      <c r="S190">
        <f t="shared" si="8"/>
        <v>1.0935874789999998</v>
      </c>
    </row>
    <row r="191" spans="1:19">
      <c r="A191" s="9">
        <v>42443</v>
      </c>
      <c r="B191" s="8" t="s">
        <v>20</v>
      </c>
      <c r="C191">
        <v>47</v>
      </c>
      <c r="D191" s="8" t="s">
        <v>61</v>
      </c>
      <c r="F191">
        <v>4.88</v>
      </c>
      <c r="J191">
        <f>35+58+59+63+88+105+115+116+160+182</f>
        <v>981</v>
      </c>
      <c r="K191">
        <v>10</v>
      </c>
      <c r="L191">
        <v>182</v>
      </c>
      <c r="N191" t="str">
        <f t="shared" si="7"/>
        <v>NA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-3.9480999999987887E-2</v>
      </c>
      <c r="P191" t="str">
        <f t="shared" si="9"/>
        <v>0</v>
      </c>
      <c r="S191">
        <f t="shared" si="8"/>
        <v>18.703770223999999</v>
      </c>
    </row>
    <row r="192" spans="1:19">
      <c r="A192" s="9">
        <v>42443</v>
      </c>
      <c r="B192" s="8" t="s">
        <v>20</v>
      </c>
      <c r="C192">
        <v>47</v>
      </c>
      <c r="D192" s="8" t="s">
        <v>61</v>
      </c>
      <c r="F192">
        <v>1</v>
      </c>
      <c r="J192">
        <f>39+59+68</f>
        <v>166</v>
      </c>
      <c r="K192">
        <v>3</v>
      </c>
      <c r="L192">
        <v>68</v>
      </c>
      <c r="N192" t="str">
        <f t="shared" si="7"/>
        <v>NA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7.0485949999999988</v>
      </c>
      <c r="P192">
        <f t="shared" si="9"/>
        <v>7.0485949999999988</v>
      </c>
      <c r="S192">
        <f t="shared" si="8"/>
        <v>0.78539749999999997</v>
      </c>
    </row>
    <row r="193" spans="1:19">
      <c r="A193" s="9">
        <v>42443</v>
      </c>
      <c r="B193" s="8" t="s">
        <v>20</v>
      </c>
      <c r="C193">
        <v>47</v>
      </c>
      <c r="D193" s="8" t="s">
        <v>61</v>
      </c>
      <c r="F193">
        <v>0.83</v>
      </c>
      <c r="J193">
        <f>21+24+56</f>
        <v>101</v>
      </c>
      <c r="K193">
        <v>3</v>
      </c>
      <c r="L193">
        <v>56</v>
      </c>
      <c r="N193" t="str">
        <f t="shared" si="7"/>
        <v>NA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4.5694599999999959</v>
      </c>
      <c r="P193">
        <f t="shared" si="9"/>
        <v>4.5694599999999959</v>
      </c>
      <c r="S193">
        <f t="shared" si="8"/>
        <v>0.54106033774999995</v>
      </c>
    </row>
    <row r="194" spans="1:19">
      <c r="A194" s="9">
        <v>42443</v>
      </c>
      <c r="B194" s="8" t="s">
        <v>20</v>
      </c>
      <c r="C194">
        <v>47</v>
      </c>
      <c r="D194" s="8" t="s">
        <v>61</v>
      </c>
      <c r="F194">
        <v>1.4</v>
      </c>
      <c r="J194">
        <f>36+38+74+84+101</f>
        <v>333</v>
      </c>
      <c r="K194">
        <v>5</v>
      </c>
      <c r="L194">
        <v>101</v>
      </c>
      <c r="N194" t="str">
        <f t="shared" si="7"/>
        <v>NA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-1.280110999999998</v>
      </c>
      <c r="P194" t="str">
        <f t="shared" si="9"/>
        <v>0</v>
      </c>
      <c r="S194">
        <f t="shared" si="8"/>
        <v>1.5393790999999997</v>
      </c>
    </row>
    <row r="195" spans="1:19">
      <c r="A195" s="9">
        <v>42443</v>
      </c>
      <c r="B195" s="8" t="s">
        <v>20</v>
      </c>
      <c r="C195">
        <v>47</v>
      </c>
      <c r="D195" s="8" t="s">
        <v>61</v>
      </c>
      <c r="F195">
        <v>1.6</v>
      </c>
      <c r="J195">
        <f>30+63+74+94+106</f>
        <v>367</v>
      </c>
      <c r="K195">
        <v>5</v>
      </c>
      <c r="L195">
        <v>106</v>
      </c>
      <c r="N195" t="str">
        <f t="shared" si="7"/>
        <v>NA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0.40133399999999853</v>
      </c>
      <c r="P195">
        <f t="shared" si="9"/>
        <v>0.40133399999999853</v>
      </c>
      <c r="S195">
        <f t="shared" si="8"/>
        <v>2.0106176000000002</v>
      </c>
    </row>
    <row r="196" spans="1:19">
      <c r="A196" s="9">
        <v>42443</v>
      </c>
      <c r="B196" s="8" t="s">
        <v>20</v>
      </c>
      <c r="C196">
        <v>47</v>
      </c>
      <c r="D196" s="8" t="s">
        <v>61</v>
      </c>
      <c r="F196">
        <v>0.7</v>
      </c>
      <c r="J196">
        <f>9+10+15+18</f>
        <v>52</v>
      </c>
      <c r="K196">
        <v>4</v>
      </c>
      <c r="L196">
        <v>18</v>
      </c>
      <c r="N196" t="str">
        <f t="shared" ref="N196:N259" si="10">IF(OR(D196="S. acutus", D196="S. tabernaemontani", D196="S. californicus"),(1/3)*(3.14159)*((F196/2)^2)*E196,"NA")</f>
        <v>NA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4.4004219999999989</v>
      </c>
      <c r="P196">
        <f t="shared" si="9"/>
        <v>4.4004219999999989</v>
      </c>
      <c r="S196">
        <f t="shared" si="8"/>
        <v>0.38484477499999992</v>
      </c>
    </row>
    <row r="197" spans="1:19">
      <c r="A197" s="9">
        <v>42443</v>
      </c>
      <c r="B197" s="8" t="s">
        <v>20</v>
      </c>
      <c r="C197">
        <v>47</v>
      </c>
      <c r="D197" s="8" t="s">
        <v>61</v>
      </c>
      <c r="F197">
        <v>1.1499999999999999</v>
      </c>
      <c r="J197">
        <f>16+22+27</f>
        <v>65</v>
      </c>
      <c r="K197">
        <v>3</v>
      </c>
      <c r="L197">
        <v>27</v>
      </c>
      <c r="N197" t="str">
        <f t="shared" si="10"/>
        <v>NA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9.9303849999999976</v>
      </c>
      <c r="P197">
        <f t="shared" si="9"/>
        <v>9.9303849999999976</v>
      </c>
      <c r="S197">
        <f t="shared" ref="S197:S260" si="11">3.14159*((F197/2)^2)</f>
        <v>1.0386881937499999</v>
      </c>
    </row>
    <row r="198" spans="1:19">
      <c r="A198" s="9">
        <v>42443</v>
      </c>
      <c r="B198" s="8" t="s">
        <v>20</v>
      </c>
      <c r="C198">
        <v>47</v>
      </c>
      <c r="D198" s="8" t="s">
        <v>61</v>
      </c>
      <c r="F198">
        <v>1.4</v>
      </c>
      <c r="J198">
        <f>18+27+27</f>
        <v>72</v>
      </c>
      <c r="K198">
        <v>3</v>
      </c>
      <c r="L198">
        <v>27</v>
      </c>
      <c r="N198" t="str">
        <f t="shared" si="10"/>
        <v>NA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10.586669999999998</v>
      </c>
      <c r="P198">
        <f t="shared" si="9"/>
        <v>10.586669999999998</v>
      </c>
      <c r="S198">
        <f t="shared" si="11"/>
        <v>1.5393790999999997</v>
      </c>
    </row>
    <row r="199" spans="1:19">
      <c r="A199" s="9">
        <v>42443</v>
      </c>
      <c r="B199" s="8" t="s">
        <v>20</v>
      </c>
      <c r="C199">
        <v>35</v>
      </c>
      <c r="D199" s="8" t="s">
        <v>61</v>
      </c>
      <c r="F199">
        <v>1</v>
      </c>
      <c r="J199">
        <f>13+33+57+31</f>
        <v>134</v>
      </c>
      <c r="K199">
        <v>4</v>
      </c>
      <c r="L199">
        <v>57</v>
      </c>
      <c r="N199" t="str">
        <f t="shared" si="10"/>
        <v>NA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0.339776999999998</v>
      </c>
      <c r="P199">
        <f t="shared" si="9"/>
        <v>0.339776999999998</v>
      </c>
      <c r="S199">
        <f t="shared" si="11"/>
        <v>0.78539749999999997</v>
      </c>
    </row>
    <row r="200" spans="1:19">
      <c r="A200" s="9">
        <v>42443</v>
      </c>
      <c r="B200" s="8" t="s">
        <v>20</v>
      </c>
      <c r="C200">
        <v>35</v>
      </c>
      <c r="D200" s="8" t="s">
        <v>61</v>
      </c>
      <c r="F200">
        <v>2.5</v>
      </c>
      <c r="J200">
        <f>77+121+145+150+181</f>
        <v>674</v>
      </c>
      <c r="K200">
        <v>5</v>
      </c>
      <c r="L200">
        <v>181</v>
      </c>
      <c r="N200" t="str">
        <f t="shared" si="10"/>
        <v>NA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6.5907440000000079</v>
      </c>
      <c r="P200">
        <f t="shared" si="9"/>
        <v>6.5907440000000079</v>
      </c>
      <c r="S200">
        <f t="shared" si="11"/>
        <v>4.9087343749999999</v>
      </c>
    </row>
    <row r="201" spans="1:19">
      <c r="A201" s="9">
        <v>42443</v>
      </c>
      <c r="B201" s="8" t="s">
        <v>20</v>
      </c>
      <c r="C201">
        <v>35</v>
      </c>
      <c r="D201" s="8" t="s">
        <v>61</v>
      </c>
      <c r="F201">
        <v>2</v>
      </c>
      <c r="J201">
        <f>86+114+121+125+126</f>
        <v>572</v>
      </c>
      <c r="K201">
        <v>5</v>
      </c>
      <c r="L201">
        <v>126</v>
      </c>
      <c r="N201" t="str">
        <f t="shared" si="10"/>
        <v>NA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13.596209000000009</v>
      </c>
      <c r="P201">
        <f t="shared" ref="P201:P264" si="12">IF(O201&lt;0,"0",O201)</f>
        <v>13.596209000000009</v>
      </c>
      <c r="S201">
        <f t="shared" si="11"/>
        <v>3.1415899999999999</v>
      </c>
    </row>
    <row r="202" spans="1:19">
      <c r="A202" s="9">
        <v>42443</v>
      </c>
      <c r="B202" s="8" t="s">
        <v>20</v>
      </c>
      <c r="C202">
        <v>35</v>
      </c>
      <c r="D202" s="8" t="s">
        <v>61</v>
      </c>
      <c r="F202">
        <v>3</v>
      </c>
      <c r="J202">
        <f>62+106+135+133+48</f>
        <v>484</v>
      </c>
      <c r="K202">
        <v>5</v>
      </c>
      <c r="L202">
        <v>135</v>
      </c>
      <c r="N202" t="str">
        <f t="shared" si="10"/>
        <v>NA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2.6345640000000046</v>
      </c>
      <c r="P202">
        <f t="shared" si="12"/>
        <v>2.6345640000000046</v>
      </c>
      <c r="S202">
        <f t="shared" si="11"/>
        <v>7.0685775</v>
      </c>
    </row>
    <row r="203" spans="1:19">
      <c r="A203" s="9">
        <v>42443</v>
      </c>
      <c r="B203" s="8" t="s">
        <v>20</v>
      </c>
      <c r="C203">
        <v>35</v>
      </c>
      <c r="D203" s="8" t="s">
        <v>61</v>
      </c>
      <c r="F203">
        <v>1.5</v>
      </c>
      <c r="J203">
        <f>54+74+81+75+56</f>
        <v>340</v>
      </c>
      <c r="K203">
        <v>5</v>
      </c>
      <c r="L203">
        <v>81</v>
      </c>
      <c r="N203" t="str">
        <f t="shared" si="10"/>
        <v>NA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5.4010740000000013</v>
      </c>
      <c r="P203">
        <f t="shared" si="12"/>
        <v>5.4010740000000013</v>
      </c>
      <c r="S203">
        <f t="shared" si="11"/>
        <v>1.767144375</v>
      </c>
    </row>
    <row r="204" spans="1:19">
      <c r="A204" s="9">
        <v>42443</v>
      </c>
      <c r="B204" s="8" t="s">
        <v>20</v>
      </c>
      <c r="C204">
        <v>35</v>
      </c>
      <c r="D204" s="8" t="s">
        <v>61</v>
      </c>
      <c r="F204">
        <v>2.5499999999999998</v>
      </c>
      <c r="J204">
        <f>117+131+138+144+153</f>
        <v>683</v>
      </c>
      <c r="K204">
        <v>5</v>
      </c>
      <c r="L204">
        <v>153</v>
      </c>
      <c r="N204" t="str">
        <f t="shared" si="10"/>
        <v>NA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15.869399000000001</v>
      </c>
      <c r="P204">
        <f t="shared" si="12"/>
        <v>15.869399000000001</v>
      </c>
      <c r="S204">
        <f t="shared" si="11"/>
        <v>5.1070472437499994</v>
      </c>
    </row>
    <row r="205" spans="1:19">
      <c r="A205" s="9">
        <v>42443</v>
      </c>
      <c r="B205" s="8" t="s">
        <v>20</v>
      </c>
      <c r="C205">
        <v>35</v>
      </c>
      <c r="D205" s="8" t="s">
        <v>61</v>
      </c>
      <c r="F205">
        <v>2.81</v>
      </c>
      <c r="J205">
        <f>45+69+91+96+109</f>
        <v>410</v>
      </c>
      <c r="K205">
        <v>5</v>
      </c>
      <c r="L205">
        <v>109</v>
      </c>
      <c r="N205" t="str">
        <f t="shared" si="10"/>
        <v>NA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3.5290640000000053</v>
      </c>
      <c r="P205">
        <f t="shared" si="12"/>
        <v>3.5290640000000053</v>
      </c>
      <c r="S205">
        <f t="shared" si="11"/>
        <v>6.20157719975</v>
      </c>
    </row>
    <row r="206" spans="1:19">
      <c r="A206" s="9">
        <v>42443</v>
      </c>
      <c r="B206" s="8" t="s">
        <v>20</v>
      </c>
      <c r="C206">
        <v>35</v>
      </c>
      <c r="D206" s="8" t="s">
        <v>61</v>
      </c>
      <c r="F206">
        <v>0.62</v>
      </c>
      <c r="J206">
        <f>12+30+31+39</f>
        <v>112</v>
      </c>
      <c r="K206">
        <v>4</v>
      </c>
      <c r="L206">
        <v>39</v>
      </c>
      <c r="N206" t="str">
        <f t="shared" si="10"/>
        <v>NA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3.6995769999999979</v>
      </c>
      <c r="P206">
        <f t="shared" si="12"/>
        <v>3.6995769999999979</v>
      </c>
      <c r="S206">
        <f t="shared" si="11"/>
        <v>0.301906799</v>
      </c>
    </row>
    <row r="207" spans="1:19">
      <c r="A207" s="9">
        <v>42443</v>
      </c>
      <c r="B207" s="8" t="s">
        <v>20</v>
      </c>
      <c r="C207">
        <v>32</v>
      </c>
      <c r="D207" s="8" t="s">
        <v>61</v>
      </c>
      <c r="F207">
        <v>0.59</v>
      </c>
      <c r="J207">
        <f>22+38+40</f>
        <v>100</v>
      </c>
      <c r="K207">
        <v>3</v>
      </c>
      <c r="L207">
        <v>40</v>
      </c>
      <c r="N207" t="str">
        <f t="shared" si="10"/>
        <v>NA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9.2956249999999976</v>
      </c>
      <c r="P207">
        <f t="shared" si="12"/>
        <v>9.2956249999999976</v>
      </c>
      <c r="S207">
        <f t="shared" si="11"/>
        <v>0.27339686974999994</v>
      </c>
    </row>
    <row r="208" spans="1:19">
      <c r="A208" s="9">
        <v>42443</v>
      </c>
      <c r="B208" s="8" t="s">
        <v>20</v>
      </c>
      <c r="C208">
        <v>32</v>
      </c>
      <c r="D208" s="8" t="s">
        <v>61</v>
      </c>
      <c r="F208">
        <v>1.31</v>
      </c>
      <c r="J208">
        <f>48+81+105+115+133</f>
        <v>482</v>
      </c>
      <c r="K208">
        <v>5</v>
      </c>
      <c r="L208">
        <v>133</v>
      </c>
      <c r="N208" t="str">
        <f t="shared" si="10"/>
        <v>NA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3.0495440000000045</v>
      </c>
      <c r="P208">
        <f t="shared" si="12"/>
        <v>3.0495440000000045</v>
      </c>
      <c r="S208">
        <f t="shared" si="11"/>
        <v>1.34782064975</v>
      </c>
    </row>
    <row r="209" spans="1:19">
      <c r="A209" s="9">
        <v>42443</v>
      </c>
      <c r="B209" s="8" t="s">
        <v>20</v>
      </c>
      <c r="C209">
        <v>32</v>
      </c>
      <c r="D209" s="8" t="s">
        <v>61</v>
      </c>
      <c r="F209">
        <v>1.41</v>
      </c>
      <c r="J209">
        <f>31+56+70+74</f>
        <v>231</v>
      </c>
      <c r="K209">
        <v>4</v>
      </c>
      <c r="L209">
        <v>74</v>
      </c>
      <c r="N209" t="str">
        <f t="shared" si="10"/>
        <v>NA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4.3128469999999979</v>
      </c>
      <c r="P209">
        <f t="shared" si="12"/>
        <v>4.3128469999999979</v>
      </c>
      <c r="S209">
        <f t="shared" si="11"/>
        <v>1.5614487697499997</v>
      </c>
    </row>
    <row r="210" spans="1:19">
      <c r="A210" s="9">
        <v>42443</v>
      </c>
      <c r="B210" s="8" t="s">
        <v>20</v>
      </c>
      <c r="C210">
        <v>32</v>
      </c>
      <c r="D210" s="8" t="s">
        <v>61</v>
      </c>
      <c r="F210">
        <v>1.57</v>
      </c>
      <c r="J210">
        <f>43+52+71+79</f>
        <v>245</v>
      </c>
      <c r="K210">
        <v>4</v>
      </c>
      <c r="L210">
        <v>79</v>
      </c>
      <c r="N210" t="str">
        <f t="shared" si="10"/>
        <v>NA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4.1191920000000017</v>
      </c>
      <c r="P210">
        <f t="shared" si="12"/>
        <v>4.1191920000000017</v>
      </c>
      <c r="S210">
        <f t="shared" si="11"/>
        <v>1.93592629775</v>
      </c>
    </row>
    <row r="211" spans="1:19">
      <c r="A211" s="9">
        <v>42443</v>
      </c>
      <c r="B211" s="8" t="s">
        <v>20</v>
      </c>
      <c r="C211">
        <v>32</v>
      </c>
      <c r="D211" s="8" t="s">
        <v>61</v>
      </c>
      <c r="F211">
        <v>5.25</v>
      </c>
      <c r="J211">
        <f>112+154+159+167</f>
        <v>592</v>
      </c>
      <c r="K211">
        <v>4</v>
      </c>
      <c r="L211">
        <v>167</v>
      </c>
      <c r="N211" t="str">
        <f t="shared" si="10"/>
        <v>NA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10.142617000000005</v>
      </c>
      <c r="P211">
        <f t="shared" si="12"/>
        <v>10.142617000000005</v>
      </c>
      <c r="S211">
        <f t="shared" si="11"/>
        <v>21.64751859375</v>
      </c>
    </row>
    <row r="212" spans="1:19">
      <c r="A212" s="9">
        <v>42443</v>
      </c>
      <c r="B212" s="8" t="s">
        <v>20</v>
      </c>
      <c r="C212">
        <v>32</v>
      </c>
      <c r="D212" s="8" t="s">
        <v>61</v>
      </c>
      <c r="F212">
        <v>0.6</v>
      </c>
      <c r="J212">
        <f>11+26+27</f>
        <v>64</v>
      </c>
      <c r="K212">
        <v>3</v>
      </c>
      <c r="L212">
        <v>27</v>
      </c>
      <c r="N212" t="str">
        <f t="shared" si="10"/>
        <v>NA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9.8366299999999995</v>
      </c>
      <c r="P212">
        <f t="shared" si="12"/>
        <v>9.8366299999999995</v>
      </c>
      <c r="S212">
        <f t="shared" si="11"/>
        <v>0.28274309999999997</v>
      </c>
    </row>
    <row r="213" spans="1:19">
      <c r="A213" s="9">
        <v>42443</v>
      </c>
      <c r="B213" s="8" t="s">
        <v>20</v>
      </c>
      <c r="C213">
        <v>32</v>
      </c>
      <c r="D213" s="8" t="s">
        <v>61</v>
      </c>
      <c r="F213">
        <v>0.65</v>
      </c>
      <c r="J213">
        <f>36+42+44</f>
        <v>122</v>
      </c>
      <c r="K213">
        <v>3</v>
      </c>
      <c r="L213">
        <v>44</v>
      </c>
      <c r="N213" t="str">
        <f t="shared" si="10"/>
        <v>NA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10.153254999999994</v>
      </c>
      <c r="P213">
        <f t="shared" si="12"/>
        <v>10.153254999999994</v>
      </c>
      <c r="S213">
        <f t="shared" si="11"/>
        <v>0.33183044375000004</v>
      </c>
    </row>
    <row r="214" spans="1:19">
      <c r="A214" s="9">
        <v>42443</v>
      </c>
      <c r="B214" s="8" t="s">
        <v>20</v>
      </c>
      <c r="C214">
        <v>32</v>
      </c>
      <c r="D214" s="8" t="s">
        <v>61</v>
      </c>
      <c r="F214">
        <v>0.65</v>
      </c>
      <c r="J214">
        <f>9+25+34+48+55</f>
        <v>171</v>
      </c>
      <c r="K214">
        <v>5</v>
      </c>
      <c r="L214">
        <v>55</v>
      </c>
      <c r="N214" t="str">
        <f t="shared" si="10"/>
        <v>NA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-2.6111509999999996</v>
      </c>
      <c r="P214" t="str">
        <f t="shared" si="12"/>
        <v>0</v>
      </c>
      <c r="S214">
        <f t="shared" si="11"/>
        <v>0.33183044375000004</v>
      </c>
    </row>
    <row r="215" spans="1:19">
      <c r="A215" s="9">
        <v>42443</v>
      </c>
      <c r="B215" s="8" t="s">
        <v>20</v>
      </c>
      <c r="C215">
        <v>32</v>
      </c>
      <c r="D215" s="8" t="s">
        <v>61</v>
      </c>
      <c r="F215">
        <v>2.31</v>
      </c>
      <c r="J215">
        <f>51+56+75+75+86</f>
        <v>343</v>
      </c>
      <c r="K215">
        <v>5</v>
      </c>
      <c r="L215">
        <v>83</v>
      </c>
      <c r="N215" t="str">
        <f t="shared" si="10"/>
        <v>NA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5.0798490000000029</v>
      </c>
      <c r="P215">
        <f t="shared" si="12"/>
        <v>5.0798490000000029</v>
      </c>
      <c r="S215">
        <f t="shared" si="11"/>
        <v>4.1909595997500002</v>
      </c>
    </row>
    <row r="216" spans="1:19">
      <c r="A216" s="9">
        <v>42443</v>
      </c>
      <c r="B216" s="8" t="s">
        <v>20</v>
      </c>
      <c r="C216">
        <v>32</v>
      </c>
      <c r="D216" s="8" t="s">
        <v>61</v>
      </c>
      <c r="F216">
        <v>1.05</v>
      </c>
      <c r="J216">
        <f>116+128+173+201+201</f>
        <v>819</v>
      </c>
      <c r="K216">
        <v>5</v>
      </c>
      <c r="L216">
        <v>201</v>
      </c>
      <c r="N216" t="str">
        <f t="shared" si="10"/>
        <v>NA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14.160319000000008</v>
      </c>
      <c r="P216">
        <f t="shared" si="12"/>
        <v>14.160319000000008</v>
      </c>
      <c r="S216">
        <f t="shared" si="11"/>
        <v>0.86590074375000003</v>
      </c>
    </row>
    <row r="217" spans="1:19">
      <c r="A217" s="9">
        <v>42443</v>
      </c>
      <c r="B217" s="8" t="s">
        <v>20</v>
      </c>
      <c r="C217">
        <v>32</v>
      </c>
      <c r="D217" s="8" t="s">
        <v>61</v>
      </c>
      <c r="F217">
        <v>0.83</v>
      </c>
      <c r="J217">
        <f>70+78+37+37</f>
        <v>222</v>
      </c>
      <c r="K217">
        <v>4</v>
      </c>
      <c r="L217">
        <v>37</v>
      </c>
      <c r="N217" t="str">
        <f t="shared" si="10"/>
        <v>NA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14.615116999999998</v>
      </c>
      <c r="P217">
        <f t="shared" si="12"/>
        <v>14.615116999999998</v>
      </c>
      <c r="S217">
        <f t="shared" si="11"/>
        <v>0.54106033774999995</v>
      </c>
    </row>
    <row r="218" spans="1:19">
      <c r="A218" s="9">
        <v>42443</v>
      </c>
      <c r="B218" s="8" t="s">
        <v>20</v>
      </c>
      <c r="C218">
        <v>32</v>
      </c>
      <c r="D218" s="8" t="s">
        <v>61</v>
      </c>
      <c r="F218">
        <v>2.72</v>
      </c>
      <c r="J218">
        <f>60+86+100+130</f>
        <v>376</v>
      </c>
      <c r="K218">
        <v>4</v>
      </c>
      <c r="L218">
        <v>130</v>
      </c>
      <c r="N218" t="str">
        <f t="shared" si="10"/>
        <v>NA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1.0376019999999961</v>
      </c>
      <c r="P218">
        <f t="shared" si="12"/>
        <v>1.0376019999999961</v>
      </c>
      <c r="S218">
        <f t="shared" si="11"/>
        <v>5.8106848640000006</v>
      </c>
    </row>
    <row r="219" spans="1:19">
      <c r="A219" s="9">
        <v>42443</v>
      </c>
      <c r="B219" s="8" t="s">
        <v>20</v>
      </c>
      <c r="C219">
        <v>32</v>
      </c>
      <c r="D219" s="8" t="s">
        <v>61</v>
      </c>
      <c r="F219">
        <v>0.7</v>
      </c>
      <c r="J219">
        <f>33+36+44</f>
        <v>113</v>
      </c>
      <c r="K219">
        <v>3</v>
      </c>
      <c r="L219">
        <v>44</v>
      </c>
      <c r="N219" t="str">
        <f t="shared" si="10"/>
        <v>NA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9.3094599999999943</v>
      </c>
      <c r="P219">
        <f t="shared" si="12"/>
        <v>9.3094599999999943</v>
      </c>
      <c r="S219">
        <f t="shared" si="11"/>
        <v>0.38484477499999992</v>
      </c>
    </row>
    <row r="220" spans="1:19">
      <c r="A220" s="9">
        <v>42443</v>
      </c>
      <c r="B220" s="8" t="s">
        <v>20</v>
      </c>
      <c r="C220">
        <v>32</v>
      </c>
      <c r="D220" s="8" t="s">
        <v>61</v>
      </c>
      <c r="F220">
        <v>0.99</v>
      </c>
      <c r="J220">
        <f>34+29+20</f>
        <v>83</v>
      </c>
      <c r="K220">
        <v>3</v>
      </c>
      <c r="L220">
        <v>34</v>
      </c>
      <c r="N220" t="str">
        <f t="shared" si="10"/>
        <v>NA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9.5092599999999976</v>
      </c>
      <c r="P220">
        <f t="shared" si="12"/>
        <v>9.5092599999999976</v>
      </c>
      <c r="S220">
        <f t="shared" si="11"/>
        <v>0.76976808975</v>
      </c>
    </row>
    <row r="221" spans="1:19">
      <c r="A221" s="9">
        <v>42443</v>
      </c>
      <c r="B221" s="8" t="s">
        <v>20</v>
      </c>
      <c r="C221">
        <v>28</v>
      </c>
      <c r="D221" s="8" t="s">
        <v>61</v>
      </c>
      <c r="F221">
        <v>5.26</v>
      </c>
      <c r="J221">
        <f>97+132+159+183+189+198</f>
        <v>958</v>
      </c>
      <c r="K221">
        <v>6</v>
      </c>
      <c r="L221">
        <v>198</v>
      </c>
      <c r="N221" t="str">
        <f t="shared" si="10"/>
        <v>NA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21.073645999999997</v>
      </c>
      <c r="P221">
        <f t="shared" si="12"/>
        <v>21.073645999999997</v>
      </c>
      <c r="S221">
        <f t="shared" si="11"/>
        <v>21.730063870999995</v>
      </c>
    </row>
    <row r="222" spans="1:19">
      <c r="A222" s="9">
        <v>42443</v>
      </c>
      <c r="B222" s="8" t="s">
        <v>20</v>
      </c>
      <c r="C222">
        <v>28</v>
      </c>
      <c r="D222" s="8" t="s">
        <v>61</v>
      </c>
      <c r="F222">
        <v>1.55</v>
      </c>
      <c r="J222">
        <f>35+77+77+99</f>
        <v>288</v>
      </c>
      <c r="K222">
        <v>4</v>
      </c>
      <c r="L222">
        <v>99</v>
      </c>
      <c r="N222" t="str">
        <f t="shared" si="10"/>
        <v>NA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2.1257570000000001</v>
      </c>
      <c r="P222">
        <f t="shared" si="12"/>
        <v>2.1257570000000001</v>
      </c>
      <c r="S222">
        <f t="shared" si="11"/>
        <v>1.8869174937500002</v>
      </c>
    </row>
    <row r="223" spans="1:19">
      <c r="A223" s="9">
        <v>42443</v>
      </c>
      <c r="B223" s="8" t="s">
        <v>20</v>
      </c>
      <c r="C223">
        <v>28</v>
      </c>
      <c r="D223" s="8" t="s">
        <v>61</v>
      </c>
      <c r="F223">
        <v>3.45</v>
      </c>
      <c r="J223">
        <f>72+123+126+135+151</f>
        <v>607</v>
      </c>
      <c r="K223">
        <v>5</v>
      </c>
      <c r="L223">
        <v>151</v>
      </c>
      <c r="N223" t="str">
        <f t="shared" si="10"/>
        <v>NA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9.3465090000000046</v>
      </c>
      <c r="P223">
        <f t="shared" si="12"/>
        <v>9.3465090000000046</v>
      </c>
      <c r="S223">
        <f t="shared" si="11"/>
        <v>9.3481937437500005</v>
      </c>
    </row>
    <row r="224" spans="1:19">
      <c r="A224" s="9">
        <v>42443</v>
      </c>
      <c r="B224" s="8" t="s">
        <v>20</v>
      </c>
      <c r="C224">
        <v>28</v>
      </c>
      <c r="D224" s="8" t="s">
        <v>61</v>
      </c>
      <c r="F224">
        <v>1.87</v>
      </c>
      <c r="J224">
        <f>31+40+41+62+61</f>
        <v>235</v>
      </c>
      <c r="K224">
        <v>5</v>
      </c>
      <c r="L224">
        <v>62</v>
      </c>
      <c r="N224" t="str">
        <f t="shared" si="10"/>
        <v>NA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1.2804539999999989</v>
      </c>
      <c r="P224">
        <f t="shared" si="12"/>
        <v>1.2804539999999989</v>
      </c>
      <c r="S224">
        <f t="shared" si="11"/>
        <v>2.7464565177500004</v>
      </c>
    </row>
    <row r="225" spans="1:19">
      <c r="A225" s="9">
        <v>42443</v>
      </c>
      <c r="B225" s="8" t="s">
        <v>20</v>
      </c>
      <c r="C225">
        <v>28</v>
      </c>
      <c r="D225" s="8" t="s">
        <v>61</v>
      </c>
      <c r="F225">
        <v>0.7</v>
      </c>
      <c r="J225">
        <f>14+32+36+48</f>
        <v>130</v>
      </c>
      <c r="K225">
        <v>4</v>
      </c>
      <c r="L225">
        <v>48</v>
      </c>
      <c r="N225" t="str">
        <f t="shared" si="10"/>
        <v>NA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2.6759619999999984</v>
      </c>
      <c r="P225">
        <f t="shared" si="12"/>
        <v>2.6759619999999984</v>
      </c>
      <c r="S225">
        <f t="shared" si="11"/>
        <v>0.38484477499999992</v>
      </c>
    </row>
    <row r="226" spans="1:19">
      <c r="A226" s="9">
        <v>42443</v>
      </c>
      <c r="B226" s="8" t="s">
        <v>20</v>
      </c>
      <c r="C226">
        <v>28</v>
      </c>
      <c r="D226" s="8" t="s">
        <v>61</v>
      </c>
      <c r="F226">
        <v>0.89</v>
      </c>
      <c r="J226">
        <f>52+66+75+91</f>
        <v>284</v>
      </c>
      <c r="K226">
        <v>4</v>
      </c>
      <c r="L226">
        <v>91</v>
      </c>
      <c r="N226" t="str">
        <f t="shared" si="10"/>
        <v>NA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4.1606970000000025</v>
      </c>
      <c r="P226">
        <f t="shared" si="12"/>
        <v>4.1606970000000025</v>
      </c>
      <c r="S226">
        <f t="shared" si="11"/>
        <v>0.62211335975000004</v>
      </c>
    </row>
    <row r="227" spans="1:19">
      <c r="A227" s="9">
        <v>42443</v>
      </c>
      <c r="B227" s="8" t="s">
        <v>20</v>
      </c>
      <c r="C227">
        <v>28</v>
      </c>
      <c r="D227" s="8" t="s">
        <v>61</v>
      </c>
      <c r="F227">
        <v>1.73</v>
      </c>
      <c r="J227">
        <f>63+89+81</f>
        <v>233</v>
      </c>
      <c r="K227">
        <v>3</v>
      </c>
      <c r="L227">
        <v>89</v>
      </c>
      <c r="N227" t="str">
        <f t="shared" si="10"/>
        <v>NA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7.0040349999999982</v>
      </c>
      <c r="P227">
        <f t="shared" si="12"/>
        <v>7.0040349999999982</v>
      </c>
      <c r="S227">
        <f t="shared" si="11"/>
        <v>2.3506161777500001</v>
      </c>
    </row>
    <row r="228" spans="1:19">
      <c r="A228" s="9">
        <v>42443</v>
      </c>
      <c r="B228" s="8" t="s">
        <v>20</v>
      </c>
      <c r="C228">
        <v>28</v>
      </c>
      <c r="D228" s="8" t="s">
        <v>61</v>
      </c>
      <c r="F228">
        <v>0.7</v>
      </c>
      <c r="J228">
        <f>31+47+55+63</f>
        <v>196</v>
      </c>
      <c r="K228">
        <v>4</v>
      </c>
      <c r="L228">
        <v>63</v>
      </c>
      <c r="N228" t="str">
        <f t="shared" si="10"/>
        <v>NA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4.3451170000000019</v>
      </c>
      <c r="P228">
        <f t="shared" si="12"/>
        <v>4.3451170000000019</v>
      </c>
      <c r="S228">
        <f t="shared" si="11"/>
        <v>0.38484477499999992</v>
      </c>
    </row>
    <row r="229" spans="1:19">
      <c r="A229" s="9">
        <v>42443</v>
      </c>
      <c r="B229" s="8" t="s">
        <v>20</v>
      </c>
      <c r="C229">
        <v>28</v>
      </c>
      <c r="D229" s="8" t="s">
        <v>61</v>
      </c>
      <c r="F229">
        <v>2.17</v>
      </c>
      <c r="J229">
        <f>79+98+111+118</f>
        <v>406</v>
      </c>
      <c r="K229">
        <v>4</v>
      </c>
      <c r="L229">
        <v>118</v>
      </c>
      <c r="N229" t="str">
        <f t="shared" si="10"/>
        <v>NA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7.4651920000000054</v>
      </c>
      <c r="P229">
        <f t="shared" si="12"/>
        <v>7.4651920000000054</v>
      </c>
      <c r="S229">
        <f t="shared" si="11"/>
        <v>3.6983582877499996</v>
      </c>
    </row>
    <row r="230" spans="1:19">
      <c r="A230" s="9">
        <v>42443</v>
      </c>
      <c r="B230" s="8" t="s">
        <v>20</v>
      </c>
      <c r="C230">
        <v>28</v>
      </c>
      <c r="D230" s="8" t="s">
        <v>61</v>
      </c>
      <c r="F230">
        <v>0.55000000000000004</v>
      </c>
      <c r="J230">
        <f>22+31+39</f>
        <v>92</v>
      </c>
      <c r="K230">
        <v>3</v>
      </c>
      <c r="L230">
        <v>39</v>
      </c>
      <c r="N230" t="str">
        <f t="shared" si="10"/>
        <v>NA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8.8468299999999971</v>
      </c>
      <c r="P230">
        <f t="shared" si="12"/>
        <v>8.8468299999999971</v>
      </c>
      <c r="S230">
        <f t="shared" si="11"/>
        <v>0.23758274375000002</v>
      </c>
    </row>
    <row r="231" spans="1:19">
      <c r="A231" s="9">
        <v>42443</v>
      </c>
      <c r="B231" s="8" t="s">
        <v>20</v>
      </c>
      <c r="C231">
        <v>13</v>
      </c>
      <c r="D231" s="8" t="s">
        <v>63</v>
      </c>
      <c r="E231">
        <v>115</v>
      </c>
      <c r="F231">
        <v>1.55</v>
      </c>
      <c r="N231">
        <f t="shared" si="10"/>
        <v>72.331837260416663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3.4714780000000003</v>
      </c>
      <c r="P231">
        <f t="shared" si="12"/>
        <v>3.4714780000000003</v>
      </c>
      <c r="S231">
        <f t="shared" si="11"/>
        <v>1.8869174937500002</v>
      </c>
    </row>
    <row r="232" spans="1:19">
      <c r="A232" s="9">
        <v>42443</v>
      </c>
      <c r="B232" s="8" t="s">
        <v>20</v>
      </c>
      <c r="C232">
        <v>13</v>
      </c>
      <c r="D232" s="8" t="s">
        <v>63</v>
      </c>
      <c r="E232">
        <v>130</v>
      </c>
      <c r="F232">
        <v>1.68</v>
      </c>
      <c r="N232">
        <f t="shared" si="10"/>
        <v>96.057255839999982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4.523053</v>
      </c>
      <c r="P232">
        <f t="shared" si="12"/>
        <v>4.523053</v>
      </c>
      <c r="S232">
        <f t="shared" si="11"/>
        <v>2.2167059039999994</v>
      </c>
    </row>
    <row r="233" spans="1:19">
      <c r="A233" s="9">
        <v>42443</v>
      </c>
      <c r="B233" s="8" t="s">
        <v>20</v>
      </c>
      <c r="C233">
        <v>13</v>
      </c>
      <c r="D233" s="8" t="s">
        <v>63</v>
      </c>
      <c r="E233">
        <v>114</v>
      </c>
      <c r="F233">
        <v>1.1599999999999999</v>
      </c>
      <c r="G233">
        <v>1</v>
      </c>
      <c r="N233">
        <f t="shared" si="10"/>
        <v>40.15957328799999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5.6829838034895586</v>
      </c>
      <c r="P233">
        <f t="shared" si="12"/>
        <v>5.6829838034895586</v>
      </c>
      <c r="S233">
        <f t="shared" si="11"/>
        <v>1.0568308759999998</v>
      </c>
    </row>
    <row r="234" spans="1:19">
      <c r="A234" s="9">
        <v>42443</v>
      </c>
      <c r="B234" s="8" t="s">
        <v>20</v>
      </c>
      <c r="C234">
        <v>13</v>
      </c>
      <c r="D234" s="8" t="s">
        <v>63</v>
      </c>
      <c r="E234">
        <v>35</v>
      </c>
      <c r="F234">
        <v>0.6</v>
      </c>
      <c r="N234">
        <f t="shared" si="10"/>
        <v>3.2986694999999995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-2.1369219999999998</v>
      </c>
      <c r="P234" t="str">
        <f t="shared" si="12"/>
        <v>0</v>
      </c>
      <c r="S234">
        <f t="shared" si="11"/>
        <v>0.28274309999999997</v>
      </c>
    </row>
    <row r="235" spans="1:19">
      <c r="A235" s="9">
        <v>42443</v>
      </c>
      <c r="B235" s="8" t="s">
        <v>20</v>
      </c>
      <c r="C235">
        <v>13</v>
      </c>
      <c r="D235" s="8" t="s">
        <v>63</v>
      </c>
      <c r="E235">
        <v>101</v>
      </c>
      <c r="F235">
        <v>1.45</v>
      </c>
      <c r="N235">
        <f t="shared" si="10"/>
        <v>55.593707539583328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2.4900080000000004</v>
      </c>
      <c r="P235">
        <f t="shared" si="12"/>
        <v>2.4900080000000004</v>
      </c>
      <c r="S235">
        <f t="shared" si="11"/>
        <v>1.6512982437499999</v>
      </c>
    </row>
    <row r="236" spans="1:19">
      <c r="A236" s="9">
        <v>42443</v>
      </c>
      <c r="B236" s="8" t="s">
        <v>20</v>
      </c>
      <c r="C236">
        <v>13</v>
      </c>
      <c r="D236" s="8" t="s">
        <v>63</v>
      </c>
      <c r="E236">
        <v>52</v>
      </c>
      <c r="F236">
        <v>0.5</v>
      </c>
      <c r="N236">
        <f t="shared" si="10"/>
        <v>3.4033891666666665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-0.94513699999999989</v>
      </c>
      <c r="P236" t="str">
        <f t="shared" si="12"/>
        <v>0</v>
      </c>
      <c r="S236">
        <f t="shared" si="11"/>
        <v>0.19634937499999999</v>
      </c>
    </row>
    <row r="237" spans="1:19">
      <c r="A237" s="9">
        <v>42443</v>
      </c>
      <c r="B237" s="8" t="s">
        <v>20</v>
      </c>
      <c r="C237">
        <v>13</v>
      </c>
      <c r="D237" s="8" t="s">
        <v>63</v>
      </c>
      <c r="E237">
        <v>135</v>
      </c>
      <c r="F237">
        <v>1.58</v>
      </c>
      <c r="N237">
        <f t="shared" si="10"/>
        <v>88.229984355000013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4.8735780000000011</v>
      </c>
      <c r="P237">
        <f t="shared" si="12"/>
        <v>4.8735780000000011</v>
      </c>
      <c r="S237">
        <f t="shared" si="11"/>
        <v>1.9606663190000002</v>
      </c>
    </row>
    <row r="238" spans="1:19">
      <c r="A238" s="9">
        <v>42443</v>
      </c>
      <c r="B238" s="8" t="s">
        <v>20</v>
      </c>
      <c r="C238">
        <v>13</v>
      </c>
      <c r="D238" s="8" t="s">
        <v>63</v>
      </c>
      <c r="E238">
        <v>123</v>
      </c>
      <c r="F238">
        <v>1.45</v>
      </c>
      <c r="G238">
        <v>1</v>
      </c>
      <c r="N238">
        <f t="shared" si="10"/>
        <v>67.703227993749991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6.9164781743039443</v>
      </c>
      <c r="P238">
        <f t="shared" si="12"/>
        <v>6.9164781743039443</v>
      </c>
      <c r="S238">
        <f t="shared" si="11"/>
        <v>1.6512982437499999</v>
      </c>
    </row>
    <row r="239" spans="1:19">
      <c r="A239" s="9">
        <v>42443</v>
      </c>
      <c r="B239" s="8" t="s">
        <v>20</v>
      </c>
      <c r="C239">
        <v>13</v>
      </c>
      <c r="D239" s="8" t="s">
        <v>63</v>
      </c>
      <c r="E239">
        <v>104</v>
      </c>
      <c r="F239">
        <v>0.85</v>
      </c>
      <c r="N239">
        <f t="shared" si="10"/>
        <v>19.671589383333327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2.700323</v>
      </c>
      <c r="P239">
        <f t="shared" si="12"/>
        <v>2.700323</v>
      </c>
      <c r="S239">
        <f t="shared" si="11"/>
        <v>0.56744969374999987</v>
      </c>
    </row>
    <row r="240" spans="1:19">
      <c r="A240" s="9">
        <v>42443</v>
      </c>
      <c r="B240" s="8" t="s">
        <v>20</v>
      </c>
      <c r="C240">
        <v>13</v>
      </c>
      <c r="D240" s="8" t="s">
        <v>63</v>
      </c>
      <c r="E240">
        <v>77</v>
      </c>
      <c r="F240">
        <v>1.36</v>
      </c>
      <c r="G240">
        <v>1</v>
      </c>
      <c r="N240">
        <f t="shared" si="10"/>
        <v>37.285227877333334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4.1656645943552233</v>
      </c>
      <c r="P240">
        <f t="shared" si="12"/>
        <v>4.1656645943552233</v>
      </c>
      <c r="S240">
        <f t="shared" si="11"/>
        <v>1.4526712160000002</v>
      </c>
    </row>
    <row r="241" spans="1:24">
      <c r="A241" s="9">
        <v>42443</v>
      </c>
      <c r="B241" s="8" t="s">
        <v>20</v>
      </c>
      <c r="C241">
        <v>13</v>
      </c>
      <c r="D241" s="8" t="s">
        <v>63</v>
      </c>
      <c r="E241">
        <v>81</v>
      </c>
      <c r="F241">
        <v>0.98</v>
      </c>
      <c r="N241">
        <f t="shared" si="10"/>
        <v>20.365985492999997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1.0879080000000005</v>
      </c>
      <c r="P241">
        <f t="shared" si="12"/>
        <v>1.0879080000000005</v>
      </c>
      <c r="S241">
        <f t="shared" si="11"/>
        <v>0.7542957589999999</v>
      </c>
    </row>
    <row r="242" spans="1:24">
      <c r="A242" s="9">
        <v>42443</v>
      </c>
      <c r="B242" s="8" t="s">
        <v>20</v>
      </c>
      <c r="C242">
        <v>13</v>
      </c>
      <c r="D242" s="8" t="s">
        <v>63</v>
      </c>
      <c r="E242">
        <v>92</v>
      </c>
      <c r="F242">
        <v>0.99</v>
      </c>
      <c r="N242">
        <f t="shared" si="10"/>
        <v>23.606221418999997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1.8590629999999999</v>
      </c>
      <c r="P242">
        <f t="shared" si="12"/>
        <v>1.8590629999999999</v>
      </c>
      <c r="S242">
        <f t="shared" si="11"/>
        <v>0.76976808975</v>
      </c>
    </row>
    <row r="243" spans="1:24">
      <c r="A243" s="9">
        <v>42443</v>
      </c>
      <c r="B243" s="8" t="s">
        <v>20</v>
      </c>
      <c r="C243">
        <v>13</v>
      </c>
      <c r="D243" s="8" t="s">
        <v>63</v>
      </c>
      <c r="E243">
        <v>111</v>
      </c>
      <c r="F243">
        <v>1.1200000000000001</v>
      </c>
      <c r="G243">
        <v>1</v>
      </c>
      <c r="N243">
        <f t="shared" si="10"/>
        <v>36.452497088000001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5.4480913134809796</v>
      </c>
      <c r="P243">
        <f t="shared" si="12"/>
        <v>5.4480913134809796</v>
      </c>
      <c r="S243">
        <f t="shared" si="11"/>
        <v>0.98520262400000014</v>
      </c>
    </row>
    <row r="244" spans="1:24">
      <c r="A244" s="9">
        <v>42443</v>
      </c>
      <c r="B244" s="8" t="s">
        <v>20</v>
      </c>
      <c r="C244">
        <v>13</v>
      </c>
      <c r="D244" s="8" t="s">
        <v>63</v>
      </c>
      <c r="E244">
        <v>169</v>
      </c>
      <c r="F244">
        <v>1.35</v>
      </c>
      <c r="N244">
        <f t="shared" si="10"/>
        <v>80.634797831250012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7.2571479999999999</v>
      </c>
      <c r="P244">
        <f t="shared" si="12"/>
        <v>7.2571479999999999</v>
      </c>
      <c r="S244">
        <f t="shared" si="11"/>
        <v>1.4313869437500002</v>
      </c>
    </row>
    <row r="245" spans="1:24">
      <c r="A245" s="9">
        <v>42443</v>
      </c>
      <c r="B245" s="8" t="s">
        <v>20</v>
      </c>
      <c r="C245">
        <v>13</v>
      </c>
      <c r="D245" s="8" t="s">
        <v>63</v>
      </c>
      <c r="E245">
        <v>91</v>
      </c>
      <c r="F245">
        <v>0.76</v>
      </c>
      <c r="N245">
        <f t="shared" si="10"/>
        <v>13.760583078666667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1.788958</v>
      </c>
      <c r="P245">
        <f t="shared" si="12"/>
        <v>1.788958</v>
      </c>
      <c r="S245">
        <f t="shared" si="11"/>
        <v>0.45364559599999998</v>
      </c>
    </row>
    <row r="246" spans="1:24">
      <c r="A246" s="9">
        <v>42443</v>
      </c>
      <c r="B246" s="8" t="s">
        <v>20</v>
      </c>
      <c r="C246">
        <v>13</v>
      </c>
      <c r="D246" s="8" t="s">
        <v>63</v>
      </c>
      <c r="E246">
        <v>115</v>
      </c>
      <c r="F246">
        <v>0.69</v>
      </c>
      <c r="N246">
        <f t="shared" si="10"/>
        <v>14.333897073749997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3.4714780000000003</v>
      </c>
      <c r="P246">
        <f t="shared" si="12"/>
        <v>3.4714780000000003</v>
      </c>
      <c r="S246">
        <f t="shared" si="11"/>
        <v>0.37392774974999993</v>
      </c>
    </row>
    <row r="247" spans="1:24">
      <c r="A247" s="9">
        <v>42443</v>
      </c>
      <c r="B247" s="8" t="s">
        <v>20</v>
      </c>
      <c r="C247">
        <v>13</v>
      </c>
      <c r="D247" s="8" t="s">
        <v>63</v>
      </c>
      <c r="E247">
        <v>38</v>
      </c>
      <c r="F247">
        <v>0.49</v>
      </c>
      <c r="N247">
        <f t="shared" si="10"/>
        <v>2.3886032368333328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-1.9266069999999997</v>
      </c>
      <c r="P247" t="str">
        <f t="shared" si="12"/>
        <v>0</v>
      </c>
      <c r="S247">
        <f t="shared" si="11"/>
        <v>0.18857393974999997</v>
      </c>
    </row>
    <row r="248" spans="1:24">
      <c r="A248" s="9">
        <v>42443</v>
      </c>
      <c r="B248" s="8" t="s">
        <v>20</v>
      </c>
      <c r="C248">
        <v>13</v>
      </c>
      <c r="D248" s="8" t="s">
        <v>63</v>
      </c>
      <c r="E248">
        <v>158</v>
      </c>
      <c r="F248">
        <v>1.87</v>
      </c>
      <c r="G248">
        <v>7</v>
      </c>
      <c r="N248">
        <f t="shared" si="10"/>
        <v>144.64670993483332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10.741876041940575</v>
      </c>
      <c r="P248">
        <f t="shared" si="12"/>
        <v>10.741876041940575</v>
      </c>
      <c r="S248">
        <f t="shared" si="11"/>
        <v>2.7464565177500004</v>
      </c>
    </row>
    <row r="249" spans="1:24">
      <c r="A249" s="9">
        <v>42443</v>
      </c>
      <c r="B249" s="8" t="s">
        <v>20</v>
      </c>
      <c r="C249">
        <v>13</v>
      </c>
      <c r="D249" s="8" t="s">
        <v>63</v>
      </c>
      <c r="E249">
        <v>107</v>
      </c>
      <c r="F249">
        <v>0.86</v>
      </c>
      <c r="N249">
        <f t="shared" si="10"/>
        <v>20.718053012333328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2.9106380000000005</v>
      </c>
      <c r="P249">
        <f t="shared" si="12"/>
        <v>2.9106380000000005</v>
      </c>
      <c r="S249">
        <f t="shared" si="11"/>
        <v>0.58087999099999987</v>
      </c>
    </row>
    <row r="250" spans="1:24">
      <c r="A250" s="9">
        <v>42443</v>
      </c>
      <c r="B250" s="8" t="s">
        <v>20</v>
      </c>
      <c r="C250">
        <v>13</v>
      </c>
      <c r="D250" s="8" t="s">
        <v>63</v>
      </c>
      <c r="E250">
        <v>96</v>
      </c>
      <c r="F250">
        <v>0.89</v>
      </c>
      <c r="G250">
        <v>3</v>
      </c>
      <c r="N250">
        <f t="shared" si="10"/>
        <v>19.907627511999998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4.3377251227511611</v>
      </c>
      <c r="P250">
        <f t="shared" si="12"/>
        <v>4.3377251227511611</v>
      </c>
      <c r="S250">
        <f t="shared" si="11"/>
        <v>0.62211335975000004</v>
      </c>
    </row>
    <row r="251" spans="1:24">
      <c r="A251" s="9">
        <v>42443</v>
      </c>
      <c r="B251" s="8" t="s">
        <v>20</v>
      </c>
      <c r="C251">
        <v>13</v>
      </c>
      <c r="D251" s="8" t="s">
        <v>63</v>
      </c>
      <c r="E251">
        <v>114</v>
      </c>
      <c r="F251">
        <v>1.31</v>
      </c>
      <c r="N251">
        <f t="shared" si="10"/>
        <v>51.217184690500005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3.4013730000000004</v>
      </c>
      <c r="P251">
        <f t="shared" si="12"/>
        <v>3.4013730000000004</v>
      </c>
      <c r="S251">
        <f t="shared" si="11"/>
        <v>1.34782064975</v>
      </c>
    </row>
    <row r="252" spans="1:24">
      <c r="A252" s="9">
        <v>42443</v>
      </c>
      <c r="B252" s="8" t="s">
        <v>20</v>
      </c>
      <c r="C252">
        <v>13</v>
      </c>
      <c r="D252" s="8" t="s">
        <v>63</v>
      </c>
      <c r="E252">
        <v>84</v>
      </c>
      <c r="F252">
        <v>1.1499999999999999</v>
      </c>
      <c r="G252">
        <v>2</v>
      </c>
      <c r="N252">
        <f t="shared" si="10"/>
        <v>29.08326942499999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4.1711038504274818</v>
      </c>
      <c r="P252">
        <f t="shared" si="12"/>
        <v>4.1711038504274818</v>
      </c>
      <c r="S252">
        <f t="shared" si="11"/>
        <v>1.0386881937499999</v>
      </c>
    </row>
    <row r="253" spans="1:24">
      <c r="A253" s="9">
        <v>42443</v>
      </c>
      <c r="B253" s="8" t="s">
        <v>20</v>
      </c>
      <c r="C253">
        <v>13</v>
      </c>
      <c r="D253" s="8" t="s">
        <v>63</v>
      </c>
      <c r="E253">
        <v>64</v>
      </c>
      <c r="F253">
        <v>0.81</v>
      </c>
      <c r="N253">
        <f t="shared" si="10"/>
        <v>10.993051728000001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-0.10387699999999978</v>
      </c>
      <c r="P253" t="str">
        <f t="shared" si="12"/>
        <v>0</v>
      </c>
      <c r="S253">
        <f t="shared" si="11"/>
        <v>0.51529929975000011</v>
      </c>
    </row>
    <row r="254" spans="1:24">
      <c r="A254" s="7">
        <v>42444</v>
      </c>
      <c r="B254" s="8" t="s">
        <v>21</v>
      </c>
      <c r="C254">
        <v>50</v>
      </c>
      <c r="D254" s="8" t="s">
        <v>61</v>
      </c>
      <c r="F254">
        <v>3.97</v>
      </c>
      <c r="J254">
        <f>98+136+139+180+184+213+217+237</f>
        <v>1404</v>
      </c>
      <c r="K254">
        <v>8</v>
      </c>
      <c r="L254">
        <v>237</v>
      </c>
      <c r="N254" t="str">
        <f t="shared" si="10"/>
        <v>NA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37.095115000000014</v>
      </c>
      <c r="P254">
        <f t="shared" si="12"/>
        <v>37.095115000000014</v>
      </c>
      <c r="S254">
        <f t="shared" si="11"/>
        <v>12.378571457750001</v>
      </c>
      <c r="X254" t="s">
        <v>64</v>
      </c>
    </row>
    <row r="255" spans="1:24">
      <c r="A255" s="7">
        <v>42444</v>
      </c>
      <c r="B255" s="8" t="s">
        <v>21</v>
      </c>
      <c r="C255">
        <v>50</v>
      </c>
      <c r="D255" s="8" t="s">
        <v>61</v>
      </c>
      <c r="F255">
        <v>2.41</v>
      </c>
      <c r="J255">
        <f>96+70+102+132+151+152+139</f>
        <v>842</v>
      </c>
      <c r="K255">
        <v>7</v>
      </c>
      <c r="L255">
        <v>139</v>
      </c>
      <c r="N255" t="str">
        <f t="shared" si="10"/>
        <v>NA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20.949168</v>
      </c>
      <c r="P255">
        <f t="shared" si="12"/>
        <v>20.949168</v>
      </c>
      <c r="S255">
        <f t="shared" si="11"/>
        <v>4.5616672197500003</v>
      </c>
    </row>
    <row r="256" spans="1:24">
      <c r="A256" s="7">
        <v>42444</v>
      </c>
      <c r="B256" s="8" t="s">
        <v>21</v>
      </c>
      <c r="C256">
        <v>50</v>
      </c>
      <c r="D256" s="8" t="s">
        <v>61</v>
      </c>
      <c r="F256">
        <v>9.44</v>
      </c>
      <c r="J256">
        <f>111+152+121+176+181+200+245+253+232+220+224+233+261+266+272</f>
        <v>3147</v>
      </c>
      <c r="K256">
        <v>15</v>
      </c>
      <c r="L256">
        <v>272</v>
      </c>
      <c r="N256" t="str">
        <f t="shared" si="10"/>
        <v>NA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140.810034</v>
      </c>
      <c r="P256">
        <f t="shared" si="12"/>
        <v>140.810034</v>
      </c>
      <c r="S256">
        <f t="shared" si="11"/>
        <v>69.989598655999984</v>
      </c>
    </row>
    <row r="257" spans="1:19">
      <c r="A257" s="7">
        <v>42444</v>
      </c>
      <c r="B257" s="8" t="s">
        <v>21</v>
      </c>
      <c r="C257">
        <v>50</v>
      </c>
      <c r="D257" s="8" t="s">
        <v>61</v>
      </c>
      <c r="F257">
        <v>1.72</v>
      </c>
      <c r="J257">
        <f>64+101+110+156+145</f>
        <v>576</v>
      </c>
      <c r="K257">
        <v>5</v>
      </c>
      <c r="L257">
        <v>156</v>
      </c>
      <c r="N257" t="str">
        <f t="shared" si="10"/>
        <v>NA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4.9338790000000046</v>
      </c>
      <c r="P257">
        <f t="shared" si="12"/>
        <v>4.9338790000000046</v>
      </c>
      <c r="S257">
        <f t="shared" si="11"/>
        <v>2.3235199639999995</v>
      </c>
    </row>
    <row r="258" spans="1:19">
      <c r="A258" s="7">
        <v>42444</v>
      </c>
      <c r="B258" s="8" t="s">
        <v>21</v>
      </c>
      <c r="C258">
        <v>50</v>
      </c>
      <c r="D258" s="8" t="s">
        <v>61</v>
      </c>
      <c r="F258">
        <v>1.55</v>
      </c>
      <c r="J258">
        <f>57+45+72+90+112</f>
        <v>376</v>
      </c>
      <c r="K258">
        <v>5</v>
      </c>
      <c r="L258">
        <v>112</v>
      </c>
      <c r="N258" t="str">
        <f t="shared" si="10"/>
        <v>NA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-0.56234100000000353</v>
      </c>
      <c r="P258" t="str">
        <f t="shared" si="12"/>
        <v>0</v>
      </c>
      <c r="S258">
        <f t="shared" si="11"/>
        <v>1.8869174937500002</v>
      </c>
    </row>
    <row r="259" spans="1:19">
      <c r="A259" s="7">
        <v>42444</v>
      </c>
      <c r="B259" s="8" t="s">
        <v>21</v>
      </c>
      <c r="C259">
        <v>50</v>
      </c>
      <c r="D259" s="8" t="s">
        <v>61</v>
      </c>
      <c r="F259">
        <v>3.77</v>
      </c>
      <c r="J259">
        <f>112+161+206+207+218+235+246</f>
        <v>1385</v>
      </c>
      <c r="K259">
        <v>7</v>
      </c>
      <c r="L259">
        <v>246</v>
      </c>
      <c r="N259" t="str">
        <f t="shared" si="10"/>
        <v>NA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39.624918000000001</v>
      </c>
      <c r="P259">
        <f t="shared" si="12"/>
        <v>39.624918000000001</v>
      </c>
      <c r="S259">
        <f t="shared" si="11"/>
        <v>11.16277612775</v>
      </c>
    </row>
    <row r="260" spans="1:19">
      <c r="A260" s="7">
        <v>42444</v>
      </c>
      <c r="B260" s="8" t="s">
        <v>21</v>
      </c>
      <c r="C260">
        <v>50</v>
      </c>
      <c r="D260" s="8" t="s">
        <v>61</v>
      </c>
      <c r="F260">
        <v>1.08</v>
      </c>
      <c r="J260">
        <f>65+89+118+146+152</f>
        <v>570</v>
      </c>
      <c r="K260">
        <v>5</v>
      </c>
      <c r="L260">
        <v>152</v>
      </c>
      <c r="N260" t="str">
        <f t="shared" ref="N260:N323" si="13">IF(OR(D260="S. acutus", D260="S. tabernaemontani", D260="S. californicus"),(1/3)*(3.14159)*((F260/2)^2)*E260,"NA")</f>
        <v>NA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5.5763290000000012</v>
      </c>
      <c r="P260">
        <f t="shared" si="12"/>
        <v>5.5763290000000012</v>
      </c>
      <c r="S260">
        <f t="shared" si="11"/>
        <v>0.91608764400000009</v>
      </c>
    </row>
    <row r="261" spans="1:19">
      <c r="A261" s="7">
        <v>42444</v>
      </c>
      <c r="B261" s="8" t="s">
        <v>21</v>
      </c>
      <c r="C261">
        <v>50</v>
      </c>
      <c r="D261" s="8" t="s">
        <v>61</v>
      </c>
      <c r="F261">
        <v>1.03</v>
      </c>
      <c r="J261">
        <f>72+79+115+131+157</f>
        <v>554</v>
      </c>
      <c r="K261">
        <v>5</v>
      </c>
      <c r="L261">
        <v>157</v>
      </c>
      <c r="N261" t="str">
        <f t="shared" si="13"/>
        <v>NA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2.5700240000000036</v>
      </c>
      <c r="P261">
        <f t="shared" si="12"/>
        <v>2.5700240000000036</v>
      </c>
      <c r="S261">
        <f t="shared" ref="S261:S324" si="14">3.14159*((F261/2)^2)</f>
        <v>0.83322820774999995</v>
      </c>
    </row>
    <row r="262" spans="1:19">
      <c r="A262" s="7">
        <v>42444</v>
      </c>
      <c r="B262" s="8" t="s">
        <v>21</v>
      </c>
      <c r="C262">
        <v>50</v>
      </c>
      <c r="D262" s="8" t="s">
        <v>61</v>
      </c>
      <c r="F262">
        <v>7.49</v>
      </c>
      <c r="J262">
        <f>131+134+182+203+214+244+266+298+306+310+321</f>
        <v>2609</v>
      </c>
      <c r="K262">
        <v>11</v>
      </c>
      <c r="L262">
        <v>321</v>
      </c>
      <c r="N262" t="str">
        <f t="shared" si="13"/>
        <v>NA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103.69825100000003</v>
      </c>
      <c r="P262">
        <f t="shared" si="12"/>
        <v>103.69825100000003</v>
      </c>
      <c r="S262">
        <f t="shared" si="14"/>
        <v>44.060878289750001</v>
      </c>
    </row>
    <row r="263" spans="1:19">
      <c r="A263" s="7">
        <v>42444</v>
      </c>
      <c r="B263" s="8" t="s">
        <v>21</v>
      </c>
      <c r="C263">
        <v>44</v>
      </c>
      <c r="D263" s="8" t="s">
        <v>61</v>
      </c>
      <c r="F263">
        <v>1.93</v>
      </c>
      <c r="J263">
        <f>81+139+143+162</f>
        <v>525</v>
      </c>
      <c r="K263">
        <v>4</v>
      </c>
      <c r="L263">
        <v>162</v>
      </c>
      <c r="N263" t="str">
        <f t="shared" si="13"/>
        <v>NA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5.3672569999999986</v>
      </c>
      <c r="P263">
        <f t="shared" si="12"/>
        <v>5.3672569999999986</v>
      </c>
      <c r="S263">
        <f t="shared" si="14"/>
        <v>2.92552714775</v>
      </c>
    </row>
    <row r="264" spans="1:19">
      <c r="A264" s="7">
        <v>42444</v>
      </c>
      <c r="B264" s="8" t="s">
        <v>21</v>
      </c>
      <c r="C264">
        <v>44</v>
      </c>
      <c r="D264" s="8" t="s">
        <v>61</v>
      </c>
      <c r="F264">
        <v>1.32</v>
      </c>
      <c r="J264">
        <f>44+74+89+98</f>
        <v>305</v>
      </c>
      <c r="K264">
        <v>4</v>
      </c>
      <c r="L264">
        <v>98</v>
      </c>
      <c r="N264" t="str">
        <f t="shared" si="13"/>
        <v>NA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4.0208370000000002</v>
      </c>
      <c r="P264">
        <f t="shared" si="12"/>
        <v>4.0208370000000002</v>
      </c>
      <c r="S264">
        <f t="shared" si="14"/>
        <v>1.368476604</v>
      </c>
    </row>
    <row r="265" spans="1:19">
      <c r="A265" s="7">
        <v>42444</v>
      </c>
      <c r="B265" s="8" t="s">
        <v>21</v>
      </c>
      <c r="C265">
        <v>44</v>
      </c>
      <c r="D265" s="8" t="s">
        <v>61</v>
      </c>
      <c r="F265">
        <v>1.1100000000000001</v>
      </c>
      <c r="J265">
        <f>41+58+76+91+109</f>
        <v>375</v>
      </c>
      <c r="K265">
        <v>5</v>
      </c>
      <c r="L265">
        <v>109</v>
      </c>
      <c r="N265" t="str">
        <f t="shared" si="13"/>
        <v>NA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0.2476390000000066</v>
      </c>
      <c r="P265">
        <f t="shared" ref="P265:P328" si="15">IF(O265&lt;0,"0",O265)</f>
        <v>0.2476390000000066</v>
      </c>
      <c r="S265">
        <f t="shared" si="14"/>
        <v>0.96768825975000017</v>
      </c>
    </row>
    <row r="266" spans="1:19">
      <c r="A266" s="7">
        <v>42444</v>
      </c>
      <c r="B266" s="8" t="s">
        <v>21</v>
      </c>
      <c r="C266">
        <v>44</v>
      </c>
      <c r="D266" s="8" t="s">
        <v>61</v>
      </c>
      <c r="F266">
        <v>0.6</v>
      </c>
      <c r="J266">
        <f>27+31</f>
        <v>58</v>
      </c>
      <c r="K266">
        <v>2</v>
      </c>
      <c r="L266">
        <v>31</v>
      </c>
      <c r="N266" t="str">
        <f t="shared" si="13"/>
        <v>NA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15.091473000000001</v>
      </c>
      <c r="P266">
        <f t="shared" si="15"/>
        <v>15.091473000000001</v>
      </c>
      <c r="S266">
        <f t="shared" si="14"/>
        <v>0.28274309999999997</v>
      </c>
    </row>
    <row r="267" spans="1:19">
      <c r="A267" s="7">
        <v>42444</v>
      </c>
      <c r="B267" s="8" t="s">
        <v>21</v>
      </c>
      <c r="C267">
        <v>44</v>
      </c>
      <c r="D267" s="8" t="s">
        <v>61</v>
      </c>
      <c r="F267">
        <v>6.94</v>
      </c>
      <c r="J267">
        <f>293+333</f>
        <v>626</v>
      </c>
      <c r="K267">
        <v>2</v>
      </c>
      <c r="L267">
        <v>333</v>
      </c>
      <c r="N267" t="str">
        <f t="shared" si="13"/>
        <v>NA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-22.631676999999989</v>
      </c>
      <c r="P267" t="str">
        <f t="shared" si="15"/>
        <v>0</v>
      </c>
      <c r="S267">
        <f t="shared" si="14"/>
        <v>37.827571030999998</v>
      </c>
    </row>
    <row r="268" spans="1:19">
      <c r="A268" s="7">
        <v>42444</v>
      </c>
      <c r="B268" s="8" t="s">
        <v>21</v>
      </c>
      <c r="C268">
        <v>44</v>
      </c>
      <c r="D268" s="8" t="s">
        <v>61</v>
      </c>
      <c r="F268">
        <v>1.22</v>
      </c>
      <c r="J268">
        <f>42+58+62+72</f>
        <v>234</v>
      </c>
      <c r="K268">
        <v>4</v>
      </c>
      <c r="L268">
        <v>72</v>
      </c>
      <c r="N268" t="str">
        <f t="shared" si="13"/>
        <v>NA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5.1966020000000022</v>
      </c>
      <c r="P268">
        <f t="shared" si="15"/>
        <v>5.1966020000000022</v>
      </c>
      <c r="S268">
        <f t="shared" si="14"/>
        <v>1.168985639</v>
      </c>
    </row>
    <row r="269" spans="1:19">
      <c r="A269" s="7">
        <v>42444</v>
      </c>
      <c r="B269" s="8" t="s">
        <v>21</v>
      </c>
      <c r="C269">
        <v>44</v>
      </c>
      <c r="D269" s="8" t="s">
        <v>61</v>
      </c>
      <c r="F269">
        <v>1.66</v>
      </c>
      <c r="J269">
        <f>20+44+48+70+74</f>
        <v>256</v>
      </c>
      <c r="K269">
        <v>5</v>
      </c>
      <c r="L269">
        <v>74</v>
      </c>
      <c r="N269" t="str">
        <f t="shared" si="13"/>
        <v>NA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-0.36563100000000048</v>
      </c>
      <c r="P269" t="str">
        <f t="shared" si="15"/>
        <v>0</v>
      </c>
      <c r="S269">
        <f t="shared" si="14"/>
        <v>2.1642413509999998</v>
      </c>
    </row>
    <row r="270" spans="1:19">
      <c r="A270" s="7">
        <v>42444</v>
      </c>
      <c r="B270" s="8" t="s">
        <v>21</v>
      </c>
      <c r="C270">
        <v>37</v>
      </c>
      <c r="D270" s="8" t="s">
        <v>61</v>
      </c>
      <c r="F270">
        <v>1.22</v>
      </c>
      <c r="J270">
        <f>26+31+39</f>
        <v>96</v>
      </c>
      <c r="K270">
        <v>3</v>
      </c>
      <c r="L270">
        <v>39</v>
      </c>
      <c r="N270" t="str">
        <f t="shared" si="13"/>
        <v>NA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9.2218499999999963</v>
      </c>
      <c r="P270">
        <f t="shared" si="15"/>
        <v>9.2218499999999963</v>
      </c>
      <c r="S270">
        <f t="shared" si="14"/>
        <v>1.168985639</v>
      </c>
    </row>
    <row r="271" spans="1:19">
      <c r="A271" s="7">
        <v>42444</v>
      </c>
      <c r="B271" s="8" t="s">
        <v>21</v>
      </c>
      <c r="C271">
        <v>37</v>
      </c>
      <c r="D271" s="8" t="s">
        <v>63</v>
      </c>
      <c r="E271">
        <v>89</v>
      </c>
      <c r="F271">
        <v>0.98</v>
      </c>
      <c r="N271">
        <f t="shared" si="13"/>
        <v>22.377440850333329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1.6487480000000003</v>
      </c>
      <c r="P271">
        <f t="shared" si="15"/>
        <v>1.6487480000000003</v>
      </c>
      <c r="S271">
        <f t="shared" si="14"/>
        <v>0.7542957589999999</v>
      </c>
    </row>
    <row r="272" spans="1:19">
      <c r="A272" s="7">
        <v>42444</v>
      </c>
      <c r="B272" s="8" t="s">
        <v>21</v>
      </c>
      <c r="C272">
        <v>37</v>
      </c>
      <c r="D272" s="8" t="s">
        <v>63</v>
      </c>
      <c r="E272">
        <v>64</v>
      </c>
      <c r="F272">
        <v>1.04</v>
      </c>
      <c r="N272">
        <f t="shared" si="13"/>
        <v>18.122366634666665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-0.10387699999999978</v>
      </c>
      <c r="P272" t="str">
        <f t="shared" si="15"/>
        <v>0</v>
      </c>
      <c r="S272">
        <f t="shared" si="14"/>
        <v>0.84948593600000011</v>
      </c>
    </row>
    <row r="273" spans="1:19">
      <c r="A273" s="7">
        <v>42444</v>
      </c>
      <c r="B273" s="8" t="s">
        <v>21</v>
      </c>
      <c r="C273">
        <v>37</v>
      </c>
      <c r="D273" s="8" t="s">
        <v>63</v>
      </c>
      <c r="E273">
        <v>43</v>
      </c>
      <c r="F273">
        <v>0.72</v>
      </c>
      <c r="N273">
        <f t="shared" si="13"/>
        <v>5.8358175839999991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-1.576082</v>
      </c>
      <c r="P273" t="str">
        <f t="shared" si="15"/>
        <v>0</v>
      </c>
      <c r="S273">
        <f t="shared" si="14"/>
        <v>0.40715006399999998</v>
      </c>
    </row>
    <row r="274" spans="1:19">
      <c r="A274" s="7">
        <v>42444</v>
      </c>
      <c r="B274" s="8" t="s">
        <v>21</v>
      </c>
      <c r="C274">
        <v>37</v>
      </c>
      <c r="D274" s="8" t="s">
        <v>63</v>
      </c>
      <c r="E274">
        <v>38</v>
      </c>
      <c r="F274">
        <v>0.64</v>
      </c>
      <c r="N274">
        <f t="shared" si="13"/>
        <v>4.0748516693333334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-1.9266069999999997</v>
      </c>
      <c r="P274" t="str">
        <f t="shared" si="15"/>
        <v>0</v>
      </c>
      <c r="S274">
        <f t="shared" si="14"/>
        <v>0.321698816</v>
      </c>
    </row>
    <row r="275" spans="1:19">
      <c r="A275" s="7">
        <v>42444</v>
      </c>
      <c r="B275" s="8" t="s">
        <v>21</v>
      </c>
      <c r="C275">
        <v>37</v>
      </c>
      <c r="D275" s="8" t="s">
        <v>63</v>
      </c>
      <c r="E275">
        <v>53</v>
      </c>
      <c r="F275">
        <v>0.72</v>
      </c>
      <c r="N275">
        <f t="shared" si="13"/>
        <v>7.1929844639999985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-0.87503199999999959</v>
      </c>
      <c r="P275" t="str">
        <f t="shared" si="15"/>
        <v>0</v>
      </c>
      <c r="S275">
        <f t="shared" si="14"/>
        <v>0.40715006399999998</v>
      </c>
    </row>
    <row r="276" spans="1:19">
      <c r="A276" s="7">
        <v>42444</v>
      </c>
      <c r="B276" s="8" t="s">
        <v>21</v>
      </c>
      <c r="C276">
        <v>37</v>
      </c>
      <c r="D276" s="8" t="s">
        <v>63</v>
      </c>
      <c r="E276">
        <v>68</v>
      </c>
      <c r="F276">
        <v>1.01</v>
      </c>
      <c r="N276">
        <f t="shared" si="13"/>
        <v>18.160170434333331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0.17654300000000056</v>
      </c>
      <c r="P276">
        <f t="shared" si="15"/>
        <v>0.17654300000000056</v>
      </c>
      <c r="S276">
        <f t="shared" si="14"/>
        <v>0.80118398974999994</v>
      </c>
    </row>
    <row r="277" spans="1:19">
      <c r="A277" s="7">
        <v>42444</v>
      </c>
      <c r="B277" s="8" t="s">
        <v>21</v>
      </c>
      <c r="C277">
        <v>37</v>
      </c>
      <c r="D277" s="8" t="s">
        <v>63</v>
      </c>
      <c r="E277">
        <v>51</v>
      </c>
      <c r="F277">
        <v>1.1399999999999999</v>
      </c>
      <c r="N277">
        <f t="shared" si="13"/>
        <v>17.351944046999996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-1.0152419999999998</v>
      </c>
      <c r="P277" t="str">
        <f t="shared" si="15"/>
        <v>0</v>
      </c>
      <c r="S277">
        <f t="shared" si="14"/>
        <v>1.0207025909999998</v>
      </c>
    </row>
    <row r="278" spans="1:19">
      <c r="A278" s="7">
        <v>42444</v>
      </c>
      <c r="B278" s="8" t="s">
        <v>21</v>
      </c>
      <c r="C278">
        <v>37</v>
      </c>
      <c r="D278" s="8" t="s">
        <v>63</v>
      </c>
      <c r="E278">
        <v>179</v>
      </c>
      <c r="F278">
        <v>1.25</v>
      </c>
      <c r="N278">
        <f t="shared" si="13"/>
        <v>73.221954427083318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7.9581980000000003</v>
      </c>
      <c r="P278">
        <f t="shared" si="15"/>
        <v>7.9581980000000003</v>
      </c>
      <c r="S278">
        <f t="shared" si="14"/>
        <v>1.22718359375</v>
      </c>
    </row>
    <row r="279" spans="1:19">
      <c r="A279" s="7">
        <v>42444</v>
      </c>
      <c r="B279" s="8" t="s">
        <v>21</v>
      </c>
      <c r="C279">
        <v>37</v>
      </c>
      <c r="D279" s="8" t="s">
        <v>63</v>
      </c>
      <c r="E279">
        <v>70</v>
      </c>
      <c r="F279">
        <v>1.07</v>
      </c>
      <c r="N279">
        <f t="shared" si="13"/>
        <v>20.981370614166664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0.31675300000000028</v>
      </c>
      <c r="P279">
        <f t="shared" si="15"/>
        <v>0.31675300000000028</v>
      </c>
      <c r="S279">
        <f t="shared" si="14"/>
        <v>0.89920159774999997</v>
      </c>
    </row>
    <row r="280" spans="1:19">
      <c r="A280" s="7">
        <v>42444</v>
      </c>
      <c r="B280" s="8" t="s">
        <v>21</v>
      </c>
      <c r="C280">
        <v>37</v>
      </c>
      <c r="D280" s="8" t="s">
        <v>63</v>
      </c>
      <c r="E280">
        <v>15</v>
      </c>
      <c r="F280">
        <v>0.96</v>
      </c>
      <c r="N280">
        <f t="shared" si="13"/>
        <v>3.6191116799999992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-3.5390220000000001</v>
      </c>
      <c r="P280" t="str">
        <f t="shared" si="15"/>
        <v>0</v>
      </c>
      <c r="S280">
        <f t="shared" si="14"/>
        <v>0.7238223359999999</v>
      </c>
    </row>
    <row r="281" spans="1:19">
      <c r="A281" s="7">
        <v>42444</v>
      </c>
      <c r="B281" s="8" t="s">
        <v>21</v>
      </c>
      <c r="C281">
        <v>37</v>
      </c>
      <c r="D281" s="8" t="s">
        <v>61</v>
      </c>
      <c r="F281">
        <v>1.38</v>
      </c>
      <c r="J281">
        <f>42+44+60+68+87+101</f>
        <v>402</v>
      </c>
      <c r="K281">
        <v>6</v>
      </c>
      <c r="L281">
        <v>101</v>
      </c>
      <c r="N281" t="str">
        <f t="shared" si="13"/>
        <v>NA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-1.8333690000000047</v>
      </c>
      <c r="P281" t="str">
        <f t="shared" si="15"/>
        <v>0</v>
      </c>
      <c r="S281">
        <f t="shared" si="14"/>
        <v>1.4957109989999997</v>
      </c>
    </row>
    <row r="282" spans="1:19">
      <c r="A282" s="7">
        <v>42444</v>
      </c>
      <c r="B282" s="8" t="s">
        <v>21</v>
      </c>
      <c r="C282">
        <v>37</v>
      </c>
      <c r="D282" s="8" t="s">
        <v>61</v>
      </c>
      <c r="F282">
        <v>1.19</v>
      </c>
      <c r="J282">
        <f>35+53+58+68+76</f>
        <v>290</v>
      </c>
      <c r="K282">
        <v>5</v>
      </c>
      <c r="L282">
        <v>76</v>
      </c>
      <c r="N282" t="str">
        <f t="shared" si="13"/>
        <v>NA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2.2195490000000007</v>
      </c>
      <c r="P282">
        <f t="shared" si="15"/>
        <v>2.2195490000000007</v>
      </c>
      <c r="S282">
        <f t="shared" si="14"/>
        <v>1.11220139975</v>
      </c>
    </row>
    <row r="283" spans="1:19">
      <c r="A283" s="7">
        <v>42444</v>
      </c>
      <c r="B283" s="8" t="s">
        <v>21</v>
      </c>
      <c r="C283">
        <v>37</v>
      </c>
      <c r="D283" s="8" t="s">
        <v>61</v>
      </c>
      <c r="F283">
        <v>2.82</v>
      </c>
      <c r="J283">
        <f>58+82+83+95+104+111+125</f>
        <v>658</v>
      </c>
      <c r="K283">
        <v>7</v>
      </c>
      <c r="L283">
        <v>125</v>
      </c>
      <c r="N283" t="str">
        <f t="shared" si="13"/>
        <v>NA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7.9156779999999998</v>
      </c>
      <c r="P283">
        <f t="shared" si="15"/>
        <v>7.9156779999999998</v>
      </c>
      <c r="S283">
        <f t="shared" si="14"/>
        <v>6.2457950789999988</v>
      </c>
    </row>
    <row r="284" spans="1:19">
      <c r="A284" s="7">
        <v>42444</v>
      </c>
      <c r="B284" s="8" t="s">
        <v>21</v>
      </c>
      <c r="C284">
        <v>37</v>
      </c>
      <c r="D284" s="8" t="s">
        <v>61</v>
      </c>
      <c r="F284">
        <v>1.36</v>
      </c>
      <c r="J284">
        <f>41+63+65+69</f>
        <v>238</v>
      </c>
      <c r="K284">
        <v>4</v>
      </c>
      <c r="L284">
        <v>69</v>
      </c>
      <c r="N284" t="str">
        <f t="shared" si="13"/>
        <v>NA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6.4753569999999989</v>
      </c>
      <c r="P284">
        <f t="shared" si="15"/>
        <v>6.4753569999999989</v>
      </c>
      <c r="S284">
        <f t="shared" si="14"/>
        <v>1.4526712160000002</v>
      </c>
    </row>
    <row r="285" spans="1:19">
      <c r="A285" s="7">
        <v>42444</v>
      </c>
      <c r="B285" s="8" t="s">
        <v>21</v>
      </c>
      <c r="C285">
        <v>21</v>
      </c>
      <c r="D285" s="8" t="s">
        <v>61</v>
      </c>
      <c r="F285">
        <v>2.68</v>
      </c>
      <c r="J285">
        <f>48+71+75+111</f>
        <v>305</v>
      </c>
      <c r="K285">
        <v>4</v>
      </c>
      <c r="L285">
        <v>111</v>
      </c>
      <c r="N285" t="str">
        <f t="shared" si="13"/>
        <v>NA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0.10465199999999442</v>
      </c>
      <c r="P285">
        <f t="shared" si="15"/>
        <v>0.10465199999999442</v>
      </c>
      <c r="S285">
        <f t="shared" si="14"/>
        <v>5.6410390040000005</v>
      </c>
    </row>
    <row r="286" spans="1:19">
      <c r="A286" s="7">
        <v>42444</v>
      </c>
      <c r="B286" s="8" t="s">
        <v>21</v>
      </c>
      <c r="C286">
        <v>21</v>
      </c>
      <c r="D286" s="8" t="s">
        <v>61</v>
      </c>
      <c r="F286">
        <v>2.29</v>
      </c>
      <c r="J286">
        <f>40+69+118+123+167</f>
        <v>517</v>
      </c>
      <c r="K286">
        <v>5</v>
      </c>
      <c r="L286">
        <v>167</v>
      </c>
      <c r="N286" t="str">
        <f t="shared" si="13"/>
        <v>NA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-3.9113609999999923</v>
      </c>
      <c r="P286" t="str">
        <f t="shared" si="15"/>
        <v>0</v>
      </c>
      <c r="S286">
        <f t="shared" si="14"/>
        <v>4.1187030297499998</v>
      </c>
    </row>
    <row r="287" spans="1:19">
      <c r="A287" s="7">
        <v>42444</v>
      </c>
      <c r="B287" s="8" t="s">
        <v>21</v>
      </c>
      <c r="C287">
        <v>21</v>
      </c>
      <c r="D287" s="8" t="s">
        <v>61</v>
      </c>
      <c r="F287">
        <v>1.1499999999999999</v>
      </c>
      <c r="J287">
        <f>35+55+41+61</f>
        <v>192</v>
      </c>
      <c r="K287">
        <v>4</v>
      </c>
      <c r="L287">
        <v>61</v>
      </c>
      <c r="N287" t="str">
        <f t="shared" si="13"/>
        <v>NA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4.5725869999999986</v>
      </c>
      <c r="P287">
        <f t="shared" si="15"/>
        <v>4.5725869999999986</v>
      </c>
      <c r="S287">
        <f t="shared" si="14"/>
        <v>1.0386881937499999</v>
      </c>
    </row>
    <row r="288" spans="1:19">
      <c r="A288" s="7">
        <v>42444</v>
      </c>
      <c r="B288" s="8" t="s">
        <v>21</v>
      </c>
      <c r="C288">
        <v>21</v>
      </c>
      <c r="D288" s="8" t="s">
        <v>61</v>
      </c>
      <c r="F288">
        <v>0.94</v>
      </c>
      <c r="J288">
        <f>31+49+55</f>
        <v>135</v>
      </c>
      <c r="K288">
        <v>3</v>
      </c>
      <c r="L288">
        <v>55</v>
      </c>
      <c r="N288" t="str">
        <f t="shared" si="13"/>
        <v>NA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8.0583749999999981</v>
      </c>
      <c r="P288">
        <f t="shared" si="15"/>
        <v>8.0583749999999981</v>
      </c>
      <c r="S288">
        <f t="shared" si="14"/>
        <v>0.69397723099999997</v>
      </c>
    </row>
    <row r="289" spans="1:19">
      <c r="A289" s="7">
        <v>42444</v>
      </c>
      <c r="B289" s="8" t="s">
        <v>21</v>
      </c>
      <c r="C289">
        <v>21</v>
      </c>
      <c r="D289" s="8" t="s">
        <v>61</v>
      </c>
      <c r="F289">
        <v>1.68</v>
      </c>
      <c r="J289">
        <f>31+57+87+102+121</f>
        <v>398</v>
      </c>
      <c r="K289">
        <v>5</v>
      </c>
      <c r="L289">
        <v>121</v>
      </c>
      <c r="N289" t="str">
        <f t="shared" si="13"/>
        <v>NA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-1.2109360000000038</v>
      </c>
      <c r="P289" t="str">
        <f t="shared" si="15"/>
        <v>0</v>
      </c>
      <c r="S289">
        <f t="shared" si="14"/>
        <v>2.2167059039999994</v>
      </c>
    </row>
    <row r="290" spans="1:19">
      <c r="A290" s="7">
        <v>42444</v>
      </c>
      <c r="B290" s="8" t="s">
        <v>21</v>
      </c>
      <c r="C290">
        <v>21</v>
      </c>
      <c r="D290" s="8" t="s">
        <v>61</v>
      </c>
      <c r="F290">
        <v>1.1399999999999999</v>
      </c>
      <c r="J290">
        <f>32+28+44+47+61</f>
        <v>212</v>
      </c>
      <c r="K290">
        <v>5</v>
      </c>
      <c r="L290">
        <v>61</v>
      </c>
      <c r="N290" t="str">
        <f t="shared" si="13"/>
        <v>NA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-0.57466600000000057</v>
      </c>
      <c r="P290" t="str">
        <f t="shared" si="15"/>
        <v>0</v>
      </c>
      <c r="S290">
        <f t="shared" si="14"/>
        <v>1.0207025909999998</v>
      </c>
    </row>
    <row r="291" spans="1:19">
      <c r="A291" s="7">
        <v>42444</v>
      </c>
      <c r="B291" s="8" t="s">
        <v>21</v>
      </c>
      <c r="C291">
        <v>21</v>
      </c>
      <c r="D291" s="8" t="s">
        <v>61</v>
      </c>
      <c r="F291">
        <v>1.43</v>
      </c>
      <c r="J291">
        <f>32+51+56+67+81+81</f>
        <v>368</v>
      </c>
      <c r="K291">
        <v>6</v>
      </c>
      <c r="L291">
        <v>81</v>
      </c>
      <c r="N291" t="str">
        <f t="shared" si="13"/>
        <v>NA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1.0038609999999935</v>
      </c>
      <c r="P291">
        <f t="shared" si="15"/>
        <v>1.0038609999999935</v>
      </c>
      <c r="S291">
        <f t="shared" si="14"/>
        <v>1.6060593477499998</v>
      </c>
    </row>
    <row r="292" spans="1:19">
      <c r="A292" s="7">
        <v>42444</v>
      </c>
      <c r="B292" s="8" t="s">
        <v>21</v>
      </c>
      <c r="C292">
        <v>21</v>
      </c>
      <c r="D292" s="8" t="s">
        <v>61</v>
      </c>
      <c r="F292">
        <v>0.97</v>
      </c>
      <c r="J292">
        <f>23+44+53+63</f>
        <v>183</v>
      </c>
      <c r="K292">
        <v>4</v>
      </c>
      <c r="L292">
        <v>63</v>
      </c>
      <c r="N292" t="str">
        <f t="shared" si="13"/>
        <v>NA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3.1263020000000026</v>
      </c>
      <c r="P292">
        <f t="shared" si="15"/>
        <v>3.1263020000000026</v>
      </c>
      <c r="S292">
        <f t="shared" si="14"/>
        <v>0.7389805077499999</v>
      </c>
    </row>
    <row r="293" spans="1:19">
      <c r="A293" s="7">
        <v>42444</v>
      </c>
      <c r="B293" s="8" t="s">
        <v>21</v>
      </c>
      <c r="C293">
        <v>21</v>
      </c>
      <c r="D293" s="8" t="s">
        <v>61</v>
      </c>
      <c r="F293">
        <v>2.2799999999999998</v>
      </c>
      <c r="J293">
        <f>36+57+75+79+95+107</f>
        <v>449</v>
      </c>
      <c r="K293">
        <v>6</v>
      </c>
      <c r="L293">
        <v>107</v>
      </c>
      <c r="N293" t="str">
        <f t="shared" si="13"/>
        <v>NA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0.76564599999999672</v>
      </c>
      <c r="P293">
        <f t="shared" si="15"/>
        <v>0.76564599999999672</v>
      </c>
      <c r="S293">
        <f t="shared" si="14"/>
        <v>4.0828103639999993</v>
      </c>
    </row>
    <row r="294" spans="1:19">
      <c r="A294" s="7">
        <v>42444</v>
      </c>
      <c r="B294" s="8" t="s">
        <v>21</v>
      </c>
      <c r="C294">
        <v>21</v>
      </c>
      <c r="D294" s="8" t="s">
        <v>61</v>
      </c>
      <c r="F294">
        <v>0.47</v>
      </c>
      <c r="J294" s="8">
        <f>26+26+40</f>
        <v>92</v>
      </c>
      <c r="K294">
        <v>3</v>
      </c>
      <c r="L294">
        <v>40</v>
      </c>
      <c r="N294" t="str">
        <f t="shared" si="13"/>
        <v>NA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8.5455849999999955</v>
      </c>
      <c r="P294">
        <f t="shared" si="15"/>
        <v>8.5455849999999955</v>
      </c>
      <c r="S294">
        <f t="shared" si="14"/>
        <v>0.17349430774999999</v>
      </c>
    </row>
    <row r="295" spans="1:19">
      <c r="A295" s="7">
        <v>42444</v>
      </c>
      <c r="B295" s="8" t="s">
        <v>21</v>
      </c>
      <c r="C295">
        <v>21</v>
      </c>
      <c r="D295" s="8" t="s">
        <v>61</v>
      </c>
      <c r="F295">
        <v>0.66</v>
      </c>
      <c r="J295" s="8">
        <f>32+41+47</f>
        <v>120</v>
      </c>
      <c r="K295">
        <v>3</v>
      </c>
      <c r="L295">
        <v>47</v>
      </c>
      <c r="N295" t="str">
        <f t="shared" si="13"/>
        <v>NA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9.0620099999999972</v>
      </c>
      <c r="P295">
        <f t="shared" si="15"/>
        <v>9.0620099999999972</v>
      </c>
      <c r="S295">
        <f t="shared" si="14"/>
        <v>0.34211915100000001</v>
      </c>
    </row>
    <row r="296" spans="1:19">
      <c r="A296" s="7">
        <v>42444</v>
      </c>
      <c r="B296" s="8" t="s">
        <v>21</v>
      </c>
      <c r="C296">
        <v>21</v>
      </c>
      <c r="D296" s="8" t="s">
        <v>61</v>
      </c>
      <c r="F296">
        <v>0.6</v>
      </c>
      <c r="J296">
        <f>29+35+41</f>
        <v>105</v>
      </c>
      <c r="K296">
        <v>3</v>
      </c>
      <c r="L296">
        <v>41</v>
      </c>
      <c r="N296" t="str">
        <f t="shared" si="13"/>
        <v>NA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9.4631549999999969</v>
      </c>
      <c r="P296">
        <f t="shared" si="15"/>
        <v>9.4631549999999969</v>
      </c>
      <c r="S296">
        <f t="shared" si="14"/>
        <v>0.28274309999999997</v>
      </c>
    </row>
    <row r="297" spans="1:19">
      <c r="A297" s="7">
        <v>42444</v>
      </c>
      <c r="B297" s="8" t="s">
        <v>21</v>
      </c>
      <c r="C297">
        <v>21</v>
      </c>
      <c r="D297" s="8" t="s">
        <v>61</v>
      </c>
      <c r="F297">
        <v>0.71</v>
      </c>
      <c r="J297">
        <f>20+36+35</f>
        <v>91</v>
      </c>
      <c r="K297">
        <v>3</v>
      </c>
      <c r="L297">
        <v>36</v>
      </c>
      <c r="N297" t="str">
        <f t="shared" si="13"/>
        <v>NA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9.6568100000000001</v>
      </c>
      <c r="P297">
        <f t="shared" si="15"/>
        <v>9.6568100000000001</v>
      </c>
      <c r="S297">
        <f t="shared" si="14"/>
        <v>0.39591887974999995</v>
      </c>
    </row>
    <row r="298" spans="1:19">
      <c r="A298" s="7">
        <v>42444</v>
      </c>
      <c r="B298" s="8" t="s">
        <v>21</v>
      </c>
      <c r="C298">
        <v>3</v>
      </c>
      <c r="D298" s="8" t="s">
        <v>63</v>
      </c>
      <c r="E298">
        <v>197</v>
      </c>
      <c r="F298">
        <v>1.74</v>
      </c>
      <c r="N298">
        <f t="shared" si="13"/>
        <v>156.14676192900001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9.2200880000000005</v>
      </c>
      <c r="P298">
        <f t="shared" si="15"/>
        <v>9.2200880000000005</v>
      </c>
      <c r="S298">
        <f t="shared" si="14"/>
        <v>2.3778694709999999</v>
      </c>
    </row>
    <row r="299" spans="1:19">
      <c r="A299" s="7">
        <v>42444</v>
      </c>
      <c r="B299" s="8" t="s">
        <v>21</v>
      </c>
      <c r="C299">
        <v>3</v>
      </c>
      <c r="D299" s="8" t="s">
        <v>61</v>
      </c>
      <c r="F299">
        <v>0.87</v>
      </c>
      <c r="J299">
        <f>20+32+37+37</f>
        <v>126</v>
      </c>
      <c r="K299">
        <v>4</v>
      </c>
      <c r="L299">
        <v>37</v>
      </c>
      <c r="N299" t="str">
        <f t="shared" si="13"/>
        <v>NA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5.6146369999999983</v>
      </c>
      <c r="P299">
        <f t="shared" si="15"/>
        <v>5.6146369999999983</v>
      </c>
      <c r="S299">
        <f t="shared" si="14"/>
        <v>0.59446736774999998</v>
      </c>
    </row>
    <row r="300" spans="1:19">
      <c r="A300" s="7">
        <v>42444</v>
      </c>
      <c r="B300" s="8" t="s">
        <v>21</v>
      </c>
      <c r="C300">
        <v>3</v>
      </c>
      <c r="D300" s="8" t="s">
        <v>61</v>
      </c>
      <c r="F300">
        <v>0.92</v>
      </c>
      <c r="J300">
        <f>26+30+32+32</f>
        <v>120</v>
      </c>
      <c r="K300">
        <v>4</v>
      </c>
      <c r="L300">
        <v>32</v>
      </c>
      <c r="N300" t="str">
        <f t="shared" si="13"/>
        <v>NA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6.5583320000000001</v>
      </c>
      <c r="P300">
        <f t="shared" si="15"/>
        <v>6.5583320000000001</v>
      </c>
      <c r="S300">
        <f t="shared" si="14"/>
        <v>0.66476044400000001</v>
      </c>
    </row>
    <row r="301" spans="1:19">
      <c r="A301" s="7">
        <v>42444</v>
      </c>
      <c r="B301" s="8" t="s">
        <v>21</v>
      </c>
      <c r="C301">
        <v>3</v>
      </c>
      <c r="D301" s="8" t="s">
        <v>61</v>
      </c>
      <c r="F301">
        <v>0.68</v>
      </c>
      <c r="J301">
        <f>22+32+39+52+58+66</f>
        <v>269</v>
      </c>
      <c r="K301">
        <v>6</v>
      </c>
      <c r="L301">
        <v>66</v>
      </c>
      <c r="N301" t="str">
        <f t="shared" si="13"/>
        <v>NA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-3.7592090000000056</v>
      </c>
      <c r="P301" t="str">
        <f t="shared" si="15"/>
        <v>0</v>
      </c>
      <c r="S301">
        <f t="shared" si="14"/>
        <v>0.36316780400000004</v>
      </c>
    </row>
    <row r="302" spans="1:19">
      <c r="A302" s="7">
        <v>42444</v>
      </c>
      <c r="B302" s="8" t="s">
        <v>21</v>
      </c>
      <c r="C302">
        <v>3</v>
      </c>
      <c r="D302" s="8" t="s">
        <v>61</v>
      </c>
      <c r="F302">
        <v>1.05</v>
      </c>
      <c r="J302">
        <f>20+30+32+32+32</f>
        <v>146</v>
      </c>
      <c r="K302">
        <v>5</v>
      </c>
      <c r="L302">
        <v>32</v>
      </c>
      <c r="N302" t="str">
        <f t="shared" si="13"/>
        <v>NA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1.9736089999999997</v>
      </c>
      <c r="P302">
        <f t="shared" si="15"/>
        <v>1.9736089999999997</v>
      </c>
      <c r="S302">
        <f t="shared" si="14"/>
        <v>0.86590074375000003</v>
      </c>
    </row>
    <row r="303" spans="1:19">
      <c r="A303" s="7">
        <v>42444</v>
      </c>
      <c r="B303" s="8" t="s">
        <v>21</v>
      </c>
      <c r="C303">
        <v>3</v>
      </c>
      <c r="D303" s="8" t="s">
        <v>61</v>
      </c>
      <c r="F303">
        <v>1.21</v>
      </c>
      <c r="J303">
        <f>52+46+64+70</f>
        <v>232</v>
      </c>
      <c r="K303">
        <v>4</v>
      </c>
      <c r="L303">
        <v>70</v>
      </c>
      <c r="N303" t="str">
        <f t="shared" si="13"/>
        <v>NA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5.6115820000000021</v>
      </c>
      <c r="P303">
        <f t="shared" si="15"/>
        <v>5.6115820000000021</v>
      </c>
      <c r="S303">
        <f t="shared" si="14"/>
        <v>1.1499004797499999</v>
      </c>
    </row>
    <row r="304" spans="1:19">
      <c r="A304" s="7">
        <v>42444</v>
      </c>
      <c r="B304" s="8" t="s">
        <v>21</v>
      </c>
      <c r="C304">
        <v>3</v>
      </c>
      <c r="D304" s="8" t="s">
        <v>61</v>
      </c>
      <c r="F304">
        <v>0.91</v>
      </c>
      <c r="J304">
        <f>14+18+19+19</f>
        <v>70</v>
      </c>
      <c r="K304">
        <v>4</v>
      </c>
      <c r="L304">
        <v>19</v>
      </c>
      <c r="N304" t="str">
        <f t="shared" si="13"/>
        <v>NA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5.7867669999999976</v>
      </c>
      <c r="P304">
        <f t="shared" si="15"/>
        <v>5.7867669999999976</v>
      </c>
      <c r="S304">
        <f t="shared" si="14"/>
        <v>0.65038766975000006</v>
      </c>
    </row>
    <row r="305" spans="1:19">
      <c r="A305" s="7">
        <v>42444</v>
      </c>
      <c r="B305" s="8" t="s">
        <v>22</v>
      </c>
      <c r="C305">
        <v>47</v>
      </c>
      <c r="D305" s="8" t="s">
        <v>65</v>
      </c>
      <c r="E305">
        <v>235</v>
      </c>
      <c r="F305">
        <v>2.82</v>
      </c>
      <c r="N305">
        <f t="shared" si="13"/>
        <v>489.25394785499992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11.884078000000002</v>
      </c>
      <c r="P305">
        <f t="shared" si="15"/>
        <v>11.884078000000002</v>
      </c>
      <c r="S305">
        <f t="shared" si="14"/>
        <v>6.2457950789999988</v>
      </c>
    </row>
    <row r="306" spans="1:19">
      <c r="A306" s="7">
        <v>42444</v>
      </c>
      <c r="B306" s="8" t="s">
        <v>22</v>
      </c>
      <c r="C306">
        <v>47</v>
      </c>
      <c r="D306" s="8" t="s">
        <v>65</v>
      </c>
      <c r="E306">
        <v>213</v>
      </c>
      <c r="F306">
        <v>2.84</v>
      </c>
      <c r="N306">
        <f t="shared" si="13"/>
        <v>449.76384739599996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10.341768000000002</v>
      </c>
      <c r="P306">
        <f t="shared" si="15"/>
        <v>10.341768000000002</v>
      </c>
      <c r="S306">
        <f t="shared" si="14"/>
        <v>6.3347020759999992</v>
      </c>
    </row>
    <row r="307" spans="1:19">
      <c r="A307" s="7">
        <v>42444</v>
      </c>
      <c r="B307" s="8" t="s">
        <v>22</v>
      </c>
      <c r="C307">
        <v>47</v>
      </c>
      <c r="D307" s="8" t="s">
        <v>65</v>
      </c>
      <c r="E307">
        <v>67</v>
      </c>
      <c r="F307">
        <v>0.77</v>
      </c>
      <c r="N307">
        <f t="shared" si="13"/>
        <v>10.399788636416664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0.10643799999999981</v>
      </c>
      <c r="P307">
        <f t="shared" si="15"/>
        <v>0.10643799999999981</v>
      </c>
      <c r="S307">
        <f t="shared" si="14"/>
        <v>0.46566217774999996</v>
      </c>
    </row>
    <row r="308" spans="1:19">
      <c r="A308" s="7">
        <v>42444</v>
      </c>
      <c r="B308" s="8" t="s">
        <v>22</v>
      </c>
      <c r="C308">
        <v>47</v>
      </c>
      <c r="D308" s="8" t="s">
        <v>65</v>
      </c>
      <c r="E308">
        <v>123</v>
      </c>
      <c r="F308">
        <v>1.98</v>
      </c>
      <c r="G308">
        <v>48</v>
      </c>
      <c r="N308">
        <f t="shared" si="13"/>
        <v>126.24196671899999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10.293591988551606</v>
      </c>
      <c r="P308">
        <f t="shared" si="15"/>
        <v>10.293591988551606</v>
      </c>
      <c r="S308">
        <f t="shared" si="14"/>
        <v>3.079072359</v>
      </c>
    </row>
    <row r="309" spans="1:19">
      <c r="A309" s="7">
        <v>42444</v>
      </c>
      <c r="B309" s="8" t="s">
        <v>22</v>
      </c>
      <c r="C309">
        <v>47</v>
      </c>
      <c r="D309" s="8" t="s">
        <v>65</v>
      </c>
      <c r="E309">
        <v>140</v>
      </c>
      <c r="F309">
        <v>1.17</v>
      </c>
      <c r="G309">
        <v>4</v>
      </c>
      <c r="N309">
        <f t="shared" si="13"/>
        <v>50.172763094999986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6.3227679387410296</v>
      </c>
      <c r="P309">
        <f t="shared" si="15"/>
        <v>6.3227679387410296</v>
      </c>
      <c r="S309">
        <f t="shared" si="14"/>
        <v>1.0751306377499998</v>
      </c>
    </row>
    <row r="310" spans="1:19">
      <c r="A310" s="7">
        <v>42444</v>
      </c>
      <c r="B310" s="8" t="s">
        <v>22</v>
      </c>
      <c r="C310">
        <v>47</v>
      </c>
      <c r="D310" s="8" t="s">
        <v>65</v>
      </c>
      <c r="E310">
        <v>246</v>
      </c>
      <c r="F310">
        <v>1.93</v>
      </c>
      <c r="N310">
        <f t="shared" si="13"/>
        <v>239.89322611549997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12.655233000000003</v>
      </c>
      <c r="P310">
        <f t="shared" si="15"/>
        <v>12.655233000000003</v>
      </c>
      <c r="S310">
        <f t="shared" si="14"/>
        <v>2.92552714775</v>
      </c>
    </row>
    <row r="311" spans="1:19">
      <c r="A311" s="7">
        <v>42444</v>
      </c>
      <c r="B311" s="8" t="s">
        <v>22</v>
      </c>
      <c r="C311">
        <v>47</v>
      </c>
      <c r="D311" s="8" t="s">
        <v>65</v>
      </c>
      <c r="E311">
        <v>90</v>
      </c>
      <c r="F311">
        <v>0.91</v>
      </c>
      <c r="N311">
        <f t="shared" si="13"/>
        <v>19.511630092499999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1.7188530000000002</v>
      </c>
      <c r="P311">
        <f t="shared" si="15"/>
        <v>1.7188530000000002</v>
      </c>
      <c r="S311">
        <f t="shared" si="14"/>
        <v>0.65038766975000006</v>
      </c>
    </row>
    <row r="312" spans="1:19">
      <c r="A312" s="7">
        <v>42444</v>
      </c>
      <c r="B312" s="8" t="s">
        <v>22</v>
      </c>
      <c r="C312">
        <v>47</v>
      </c>
      <c r="D312" s="8" t="s">
        <v>65</v>
      </c>
      <c r="E312">
        <v>129</v>
      </c>
      <c r="F312">
        <v>1.66</v>
      </c>
      <c r="N312">
        <f t="shared" si="13"/>
        <v>93.062378092999978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4.4529480000000001</v>
      </c>
      <c r="P312">
        <f t="shared" si="15"/>
        <v>4.4529480000000001</v>
      </c>
      <c r="S312">
        <f t="shared" si="14"/>
        <v>2.1642413509999998</v>
      </c>
    </row>
    <row r="313" spans="1:19">
      <c r="A313" s="7">
        <v>42444</v>
      </c>
      <c r="B313" s="8" t="s">
        <v>22</v>
      </c>
      <c r="C313">
        <v>47</v>
      </c>
      <c r="D313" s="8" t="s">
        <v>65</v>
      </c>
      <c r="E313">
        <v>142</v>
      </c>
      <c r="F313">
        <v>1.24</v>
      </c>
      <c r="G313">
        <v>5</v>
      </c>
      <c r="N313">
        <f t="shared" si="13"/>
        <v>57.161020610666661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6.774795902699589</v>
      </c>
      <c r="P313">
        <f t="shared" si="15"/>
        <v>6.774795902699589</v>
      </c>
      <c r="S313">
        <f t="shared" si="14"/>
        <v>1.207627196</v>
      </c>
    </row>
    <row r="314" spans="1:19">
      <c r="A314" s="7">
        <v>42444</v>
      </c>
      <c r="B314" s="8" t="s">
        <v>22</v>
      </c>
      <c r="C314">
        <v>47</v>
      </c>
      <c r="D314" s="8" t="s">
        <v>65</v>
      </c>
      <c r="E314">
        <v>197</v>
      </c>
      <c r="F314">
        <v>1.99</v>
      </c>
      <c r="N314">
        <f t="shared" si="13"/>
        <v>204.23992334358334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9.2200880000000005</v>
      </c>
      <c r="P314">
        <f t="shared" si="15"/>
        <v>9.2200880000000005</v>
      </c>
      <c r="S314">
        <f t="shared" si="14"/>
        <v>3.1102526397500001</v>
      </c>
    </row>
    <row r="315" spans="1:19">
      <c r="A315" s="7">
        <v>42444</v>
      </c>
      <c r="B315" s="8" t="s">
        <v>22</v>
      </c>
      <c r="C315">
        <v>47</v>
      </c>
      <c r="D315" s="8" t="s">
        <v>65</v>
      </c>
      <c r="E315">
        <v>144</v>
      </c>
      <c r="F315">
        <v>1.48</v>
      </c>
      <c r="N315">
        <f t="shared" si="13"/>
        <v>82.576064831999986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5.5045229999999998</v>
      </c>
      <c r="P315">
        <f t="shared" si="15"/>
        <v>5.5045229999999998</v>
      </c>
      <c r="S315">
        <f t="shared" si="14"/>
        <v>1.7203346839999998</v>
      </c>
    </row>
    <row r="316" spans="1:19">
      <c r="A316" s="7">
        <v>42444</v>
      </c>
      <c r="B316" s="8" t="s">
        <v>22</v>
      </c>
      <c r="C316">
        <v>47</v>
      </c>
      <c r="D316" s="8" t="s">
        <v>65</v>
      </c>
      <c r="E316">
        <v>128</v>
      </c>
      <c r="F316">
        <v>1.3</v>
      </c>
      <c r="G316">
        <v>3</v>
      </c>
      <c r="N316">
        <f t="shared" si="13"/>
        <v>56.632395733333333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6.4013975915242671</v>
      </c>
      <c r="P316">
        <f t="shared" si="15"/>
        <v>6.4013975915242671</v>
      </c>
      <c r="S316">
        <f t="shared" si="14"/>
        <v>1.3273217750000001</v>
      </c>
    </row>
    <row r="317" spans="1:19">
      <c r="A317" s="7">
        <v>42444</v>
      </c>
      <c r="B317" s="8" t="s">
        <v>22</v>
      </c>
      <c r="C317">
        <v>47</v>
      </c>
      <c r="D317" s="8" t="s">
        <v>65</v>
      </c>
      <c r="E317">
        <v>258</v>
      </c>
      <c r="F317">
        <v>2.42</v>
      </c>
      <c r="G317">
        <v>53</v>
      </c>
      <c r="N317">
        <f t="shared" si="13"/>
        <v>395.56576503399992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29.133208732570914</v>
      </c>
      <c r="P317">
        <f t="shared" si="15"/>
        <v>29.133208732570914</v>
      </c>
      <c r="S317">
        <f t="shared" si="14"/>
        <v>4.5996019189999995</v>
      </c>
    </row>
    <row r="318" spans="1:19">
      <c r="A318" s="7">
        <v>42444</v>
      </c>
      <c r="B318" s="8" t="s">
        <v>22</v>
      </c>
      <c r="C318">
        <v>47</v>
      </c>
      <c r="D318" s="8" t="s">
        <v>65</v>
      </c>
      <c r="E318">
        <v>185</v>
      </c>
      <c r="F318">
        <v>2.5099999999999998</v>
      </c>
      <c r="G318">
        <v>3</v>
      </c>
      <c r="N318">
        <f t="shared" si="13"/>
        <v>305.13177203458321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22.129485820322554</v>
      </c>
      <c r="P318">
        <f t="shared" si="15"/>
        <v>22.129485820322554</v>
      </c>
      <c r="S318">
        <f t="shared" si="14"/>
        <v>4.948082789749999</v>
      </c>
    </row>
    <row r="319" spans="1:19">
      <c r="A319" s="7">
        <v>42444</v>
      </c>
      <c r="B319" s="8" t="s">
        <v>22</v>
      </c>
      <c r="C319">
        <v>47</v>
      </c>
      <c r="D319" s="8" t="s">
        <v>65</v>
      </c>
      <c r="E319">
        <v>87</v>
      </c>
      <c r="F319">
        <v>0.9</v>
      </c>
      <c r="G319">
        <v>1</v>
      </c>
      <c r="N319">
        <f t="shared" si="13"/>
        <v>18.448987275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3.1949700920983499</v>
      </c>
      <c r="P319">
        <f t="shared" si="15"/>
        <v>3.1949700920983499</v>
      </c>
      <c r="S319">
        <f t="shared" si="14"/>
        <v>0.636171975</v>
      </c>
    </row>
    <row r="320" spans="1:19">
      <c r="A320" s="7">
        <v>42444</v>
      </c>
      <c r="B320" s="8" t="s">
        <v>22</v>
      </c>
      <c r="C320">
        <v>47</v>
      </c>
      <c r="D320" s="8" t="s">
        <v>65</v>
      </c>
      <c r="E320">
        <v>193</v>
      </c>
      <c r="F320">
        <v>1</v>
      </c>
      <c r="G320">
        <v>26</v>
      </c>
      <c r="N320">
        <f t="shared" si="13"/>
        <v>50.527239166666661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7.6413727916983341</v>
      </c>
      <c r="P320">
        <f t="shared" si="15"/>
        <v>7.6413727916983341</v>
      </c>
      <c r="S320">
        <f t="shared" si="14"/>
        <v>0.78539749999999997</v>
      </c>
    </row>
    <row r="321" spans="1:19">
      <c r="A321" s="7">
        <v>42444</v>
      </c>
      <c r="B321" s="8" t="s">
        <v>22</v>
      </c>
      <c r="C321">
        <v>47</v>
      </c>
      <c r="D321" s="8" t="s">
        <v>65</v>
      </c>
      <c r="E321">
        <v>146</v>
      </c>
      <c r="F321">
        <v>1.5</v>
      </c>
      <c r="G321">
        <v>42</v>
      </c>
      <c r="N321">
        <f t="shared" si="13"/>
        <v>86.001026249999995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8.5360887879425</v>
      </c>
      <c r="P321">
        <f t="shared" si="15"/>
        <v>8.5360887879425</v>
      </c>
      <c r="S321">
        <f t="shared" si="14"/>
        <v>1.767144375</v>
      </c>
    </row>
    <row r="322" spans="1:19">
      <c r="A322" s="7">
        <v>42444</v>
      </c>
      <c r="B322" s="8" t="s">
        <v>22</v>
      </c>
      <c r="C322">
        <v>47</v>
      </c>
      <c r="D322" s="8" t="s">
        <v>65</v>
      </c>
      <c r="E322">
        <v>175</v>
      </c>
      <c r="F322">
        <v>1.47</v>
      </c>
      <c r="G322">
        <v>16</v>
      </c>
      <c r="N322">
        <f t="shared" si="13"/>
        <v>99.001318368749978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9.9961820355992863</v>
      </c>
      <c r="P322">
        <f t="shared" si="15"/>
        <v>9.9961820355992863</v>
      </c>
      <c r="S322">
        <f t="shared" si="14"/>
        <v>1.6971654577499997</v>
      </c>
    </row>
    <row r="323" spans="1:19">
      <c r="A323" s="7">
        <v>42444</v>
      </c>
      <c r="B323" s="8" t="s">
        <v>22</v>
      </c>
      <c r="C323">
        <v>47</v>
      </c>
      <c r="D323" s="8" t="s">
        <v>65</v>
      </c>
      <c r="E323">
        <v>269</v>
      </c>
      <c r="F323">
        <v>2.0299999999999998</v>
      </c>
      <c r="N323">
        <f t="shared" si="13"/>
        <v>290.21016201158324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14.267648000000001</v>
      </c>
      <c r="P323">
        <f t="shared" si="15"/>
        <v>14.267648000000001</v>
      </c>
      <c r="S323">
        <f t="shared" si="14"/>
        <v>3.2365445577499989</v>
      </c>
    </row>
    <row r="324" spans="1:19">
      <c r="A324" s="7">
        <v>42444</v>
      </c>
      <c r="B324" s="8" t="s">
        <v>22</v>
      </c>
      <c r="C324">
        <v>47</v>
      </c>
      <c r="D324" s="8" t="s">
        <v>65</v>
      </c>
      <c r="E324">
        <v>260</v>
      </c>
      <c r="F324">
        <v>1.77</v>
      </c>
      <c r="G324">
        <v>25</v>
      </c>
      <c r="N324">
        <f t="shared" ref="N324:N387" si="16">IF(OR(D324="S. acutus", D324="S. tabernaemontani", D324="S. californicus"),(1/3)*(3.14159)*((F324/2)^2)*E324,"NA")</f>
        <v>213.24955840499999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18.66729103144997</v>
      </c>
      <c r="P324">
        <f t="shared" si="15"/>
        <v>18.66729103144997</v>
      </c>
      <c r="S324">
        <f t="shared" si="14"/>
        <v>2.4605718277499999</v>
      </c>
    </row>
    <row r="325" spans="1:19">
      <c r="A325" s="7">
        <v>42444</v>
      </c>
      <c r="B325" s="8" t="s">
        <v>22</v>
      </c>
      <c r="C325">
        <v>47</v>
      </c>
      <c r="D325" s="8" t="s">
        <v>65</v>
      </c>
      <c r="E325">
        <v>77</v>
      </c>
      <c r="F325">
        <v>0.61</v>
      </c>
      <c r="N325">
        <f t="shared" si="16"/>
        <v>7.5009911835833316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0.80748800000000021</v>
      </c>
      <c r="P325">
        <f t="shared" si="15"/>
        <v>0.80748800000000021</v>
      </c>
      <c r="S325">
        <f t="shared" ref="S325:S388" si="17">3.14159*((F325/2)^2)</f>
        <v>0.29224640974999999</v>
      </c>
    </row>
    <row r="326" spans="1:19">
      <c r="A326" s="7">
        <v>42444</v>
      </c>
      <c r="B326" s="8" t="s">
        <v>22</v>
      </c>
      <c r="C326">
        <v>47</v>
      </c>
      <c r="D326" s="8" t="s">
        <v>65</v>
      </c>
      <c r="E326">
        <v>130</v>
      </c>
      <c r="F326">
        <v>0.96</v>
      </c>
      <c r="G326">
        <v>2</v>
      </c>
      <c r="N326">
        <f t="shared" si="16"/>
        <v>31.365634559999993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4.9931496076134394</v>
      </c>
      <c r="P326">
        <f t="shared" si="15"/>
        <v>4.9931496076134394</v>
      </c>
      <c r="S326">
        <f t="shared" si="17"/>
        <v>0.7238223359999999</v>
      </c>
    </row>
    <row r="327" spans="1:19">
      <c r="A327" s="7">
        <v>42444</v>
      </c>
      <c r="B327" s="8" t="s">
        <v>22</v>
      </c>
      <c r="C327">
        <v>47</v>
      </c>
      <c r="D327" s="8" t="s">
        <v>65</v>
      </c>
      <c r="E327">
        <v>208</v>
      </c>
      <c r="F327">
        <v>1.99</v>
      </c>
      <c r="N327">
        <f t="shared" si="16"/>
        <v>215.64418302266668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9.9912430000000008</v>
      </c>
      <c r="P327">
        <f t="shared" si="15"/>
        <v>9.9912430000000008</v>
      </c>
      <c r="S327">
        <f t="shared" si="17"/>
        <v>3.1102526397500001</v>
      </c>
    </row>
    <row r="328" spans="1:19">
      <c r="A328" s="7">
        <v>42444</v>
      </c>
      <c r="B328" s="8" t="s">
        <v>22</v>
      </c>
      <c r="C328">
        <v>47</v>
      </c>
      <c r="D328" s="8" t="s">
        <v>65</v>
      </c>
      <c r="E328">
        <v>296</v>
      </c>
      <c r="F328">
        <v>2.4300000000000002</v>
      </c>
      <c r="G328">
        <v>5</v>
      </c>
      <c r="N328">
        <f t="shared" si="16"/>
        <v>457.58577817799994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33.640907770637966</v>
      </c>
      <c r="P328">
        <f t="shared" si="15"/>
        <v>33.640907770637966</v>
      </c>
      <c r="S328">
        <f t="shared" si="17"/>
        <v>4.6376936977500005</v>
      </c>
    </row>
    <row r="329" spans="1:19">
      <c r="A329" s="7">
        <v>42444</v>
      </c>
      <c r="B329" s="8" t="s">
        <v>22</v>
      </c>
      <c r="C329">
        <v>47</v>
      </c>
      <c r="D329" s="8" t="s">
        <v>65</v>
      </c>
      <c r="E329">
        <v>200</v>
      </c>
      <c r="F329">
        <v>1.29</v>
      </c>
      <c r="G329">
        <v>31</v>
      </c>
      <c r="N329">
        <f t="shared" si="16"/>
        <v>87.13199865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9.9239708901401009</v>
      </c>
      <c r="P329">
        <f t="shared" ref="P329:P392" si="18">IF(O329&lt;0,"0",O329)</f>
        <v>9.9239708901401009</v>
      </c>
      <c r="S329">
        <f t="shared" si="17"/>
        <v>1.3069799797500001</v>
      </c>
    </row>
    <row r="330" spans="1:19">
      <c r="A330" s="7">
        <v>42444</v>
      </c>
      <c r="B330" s="8" t="s">
        <v>22</v>
      </c>
      <c r="C330">
        <v>47</v>
      </c>
      <c r="D330" s="8" t="s">
        <v>65</v>
      </c>
      <c r="E330">
        <v>160</v>
      </c>
      <c r="F330">
        <v>1.88</v>
      </c>
      <c r="N330">
        <f t="shared" si="16"/>
        <v>148.04847594666666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6.6262029999999994</v>
      </c>
      <c r="P330">
        <f t="shared" si="18"/>
        <v>6.6262029999999994</v>
      </c>
      <c r="S330">
        <f t="shared" si="17"/>
        <v>2.7759089239999999</v>
      </c>
    </row>
    <row r="331" spans="1:19">
      <c r="A331" s="7">
        <v>42444</v>
      </c>
      <c r="B331" s="8" t="s">
        <v>22</v>
      </c>
      <c r="C331">
        <v>47</v>
      </c>
      <c r="D331" s="8" t="s">
        <v>65</v>
      </c>
      <c r="E331">
        <v>187</v>
      </c>
      <c r="F331">
        <v>1.17</v>
      </c>
      <c r="G331">
        <v>19</v>
      </c>
      <c r="N331">
        <f t="shared" si="16"/>
        <v>67.016476419749978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8.4454114610326609</v>
      </c>
      <c r="P331">
        <f t="shared" si="18"/>
        <v>8.4454114610326609</v>
      </c>
      <c r="S331">
        <f t="shared" si="17"/>
        <v>1.0751306377499998</v>
      </c>
    </row>
    <row r="332" spans="1:19">
      <c r="A332" s="7">
        <v>42444</v>
      </c>
      <c r="B332" s="8" t="s">
        <v>22</v>
      </c>
      <c r="C332">
        <v>47</v>
      </c>
      <c r="D332" s="8" t="s">
        <v>65</v>
      </c>
      <c r="E332">
        <v>264</v>
      </c>
      <c r="F332">
        <v>1.54</v>
      </c>
      <c r="G332">
        <v>37</v>
      </c>
      <c r="N332">
        <f t="shared" si="16"/>
        <v>163.91308656799995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15.919833754722831</v>
      </c>
      <c r="P332">
        <f t="shared" si="18"/>
        <v>15.919833754722831</v>
      </c>
      <c r="S332">
        <f t="shared" si="17"/>
        <v>1.8626487109999998</v>
      </c>
    </row>
    <row r="333" spans="1:19">
      <c r="A333" s="7">
        <v>42444</v>
      </c>
      <c r="B333" s="8" t="s">
        <v>22</v>
      </c>
      <c r="C333">
        <v>47</v>
      </c>
      <c r="D333" s="8" t="s">
        <v>65</v>
      </c>
      <c r="E333">
        <v>267</v>
      </c>
      <c r="F333">
        <v>2.54</v>
      </c>
      <c r="N333">
        <f t="shared" si="16"/>
        <v>450.96927547899998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14.127438000000001</v>
      </c>
      <c r="P333">
        <f t="shared" si="18"/>
        <v>14.127438000000001</v>
      </c>
      <c r="S333">
        <f t="shared" si="17"/>
        <v>5.0670705109999998</v>
      </c>
    </row>
    <row r="334" spans="1:19">
      <c r="A334" s="7">
        <v>42444</v>
      </c>
      <c r="B334" s="8" t="s">
        <v>22</v>
      </c>
      <c r="C334">
        <v>47</v>
      </c>
      <c r="D334" s="8" t="s">
        <v>65</v>
      </c>
      <c r="E334">
        <v>276</v>
      </c>
      <c r="F334">
        <v>2.4</v>
      </c>
      <c r="N334">
        <f t="shared" si="16"/>
        <v>416.19784319999997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14.758383000000002</v>
      </c>
      <c r="P334">
        <f t="shared" si="18"/>
        <v>14.758383000000002</v>
      </c>
      <c r="S334">
        <f t="shared" si="17"/>
        <v>4.5238895999999995</v>
      </c>
    </row>
    <row r="335" spans="1:19">
      <c r="A335" s="7">
        <v>42444</v>
      </c>
      <c r="B335" s="8" t="s">
        <v>22</v>
      </c>
      <c r="C335">
        <v>47</v>
      </c>
      <c r="D335" s="8" t="s">
        <v>65</v>
      </c>
      <c r="E335">
        <v>211</v>
      </c>
      <c r="F335">
        <v>1.41</v>
      </c>
      <c r="G335">
        <v>52</v>
      </c>
      <c r="N335">
        <f t="shared" si="16"/>
        <v>109.82189680574997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11.502017676374825</v>
      </c>
      <c r="P335">
        <f t="shared" si="18"/>
        <v>11.502017676374825</v>
      </c>
      <c r="S335">
        <f t="shared" si="17"/>
        <v>1.5614487697499997</v>
      </c>
    </row>
    <row r="336" spans="1:19">
      <c r="A336" s="7">
        <v>42444</v>
      </c>
      <c r="B336" s="8" t="s">
        <v>22</v>
      </c>
      <c r="C336">
        <v>47</v>
      </c>
      <c r="D336" s="8" t="s">
        <v>65</v>
      </c>
      <c r="E336">
        <v>237</v>
      </c>
      <c r="F336">
        <v>2.4500000000000002</v>
      </c>
      <c r="N336">
        <f t="shared" si="16"/>
        <v>372.43353100625006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12.024288000000002</v>
      </c>
      <c r="P336">
        <f t="shared" si="18"/>
        <v>12.024288000000002</v>
      </c>
      <c r="S336">
        <f t="shared" si="17"/>
        <v>4.7143484937500011</v>
      </c>
    </row>
    <row r="337" spans="1:19">
      <c r="A337" s="7">
        <v>42444</v>
      </c>
      <c r="B337" s="8" t="s">
        <v>22</v>
      </c>
      <c r="C337">
        <v>44</v>
      </c>
      <c r="D337" s="8" t="s">
        <v>61</v>
      </c>
      <c r="F337">
        <v>0.73</v>
      </c>
      <c r="J337">
        <f>55+63+86+91</f>
        <v>295</v>
      </c>
      <c r="K337">
        <v>4</v>
      </c>
      <c r="L337">
        <v>91</v>
      </c>
      <c r="N337" t="str">
        <f t="shared" si="16"/>
        <v>NA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5.1920020000000022</v>
      </c>
      <c r="P337">
        <f t="shared" si="18"/>
        <v>5.1920020000000022</v>
      </c>
      <c r="S337">
        <f t="shared" si="17"/>
        <v>0.41853832774999994</v>
      </c>
    </row>
    <row r="338" spans="1:19">
      <c r="A338" s="7">
        <v>42444</v>
      </c>
      <c r="B338" s="8" t="s">
        <v>22</v>
      </c>
      <c r="C338">
        <v>44</v>
      </c>
      <c r="D338" s="8" t="s">
        <v>61</v>
      </c>
      <c r="F338">
        <v>0.68</v>
      </c>
      <c r="J338">
        <f>28+55+64+71</f>
        <v>218</v>
      </c>
      <c r="K338">
        <v>4</v>
      </c>
      <c r="L338">
        <v>71</v>
      </c>
      <c r="N338" t="str">
        <f t="shared" si="16"/>
        <v>NA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3.9977669999999996</v>
      </c>
      <c r="P338">
        <f t="shared" si="18"/>
        <v>3.9977669999999996</v>
      </c>
      <c r="S338">
        <f t="shared" si="17"/>
        <v>0.36316780400000004</v>
      </c>
    </row>
    <row r="339" spans="1:19">
      <c r="A339" s="7">
        <v>42444</v>
      </c>
      <c r="B339" s="8" t="s">
        <v>22</v>
      </c>
      <c r="C339">
        <v>44</v>
      </c>
      <c r="D339" s="8" t="s">
        <v>61</v>
      </c>
      <c r="F339">
        <v>1.03</v>
      </c>
      <c r="J339">
        <f>39+83+89+113</f>
        <v>324</v>
      </c>
      <c r="K339">
        <v>4</v>
      </c>
      <c r="L339">
        <v>113</v>
      </c>
      <c r="N339" t="str">
        <f t="shared" si="16"/>
        <v>NA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1.2835070000000037</v>
      </c>
      <c r="P339">
        <f t="shared" si="18"/>
        <v>1.2835070000000037</v>
      </c>
      <c r="S339">
        <f t="shared" si="17"/>
        <v>0.83322820774999995</v>
      </c>
    </row>
    <row r="340" spans="1:19">
      <c r="A340" s="7">
        <v>42444</v>
      </c>
      <c r="B340" s="8" t="s">
        <v>22</v>
      </c>
      <c r="C340">
        <v>44</v>
      </c>
      <c r="D340" s="8" t="s">
        <v>61</v>
      </c>
      <c r="F340">
        <v>1.1200000000000001</v>
      </c>
      <c r="J340">
        <f>28+57+57+79</f>
        <v>221</v>
      </c>
      <c r="K340">
        <v>4</v>
      </c>
      <c r="L340">
        <v>79</v>
      </c>
      <c r="N340" t="str">
        <f t="shared" si="16"/>
        <v>NA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1.8690720000000027</v>
      </c>
      <c r="P340">
        <f t="shared" si="18"/>
        <v>1.8690720000000027</v>
      </c>
      <c r="S340">
        <f t="shared" si="17"/>
        <v>0.98520262400000014</v>
      </c>
    </row>
    <row r="341" spans="1:19">
      <c r="A341" s="7">
        <v>42444</v>
      </c>
      <c r="B341" s="8" t="s">
        <v>22</v>
      </c>
      <c r="C341">
        <v>44</v>
      </c>
      <c r="D341" s="8" t="s">
        <v>61</v>
      </c>
      <c r="F341">
        <v>1.37</v>
      </c>
      <c r="J341">
        <f>42+46+75+90+105</f>
        <v>358</v>
      </c>
      <c r="K341">
        <v>5</v>
      </c>
      <c r="L341">
        <v>105</v>
      </c>
      <c r="N341" t="str">
        <f t="shared" si="16"/>
        <v>NA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-0.14121600000000001</v>
      </c>
      <c r="P341" t="str">
        <f t="shared" si="18"/>
        <v>0</v>
      </c>
      <c r="S341">
        <f t="shared" si="17"/>
        <v>1.4741125677500002</v>
      </c>
    </row>
    <row r="342" spans="1:19">
      <c r="A342" s="7">
        <v>42444</v>
      </c>
      <c r="B342" s="8" t="s">
        <v>22</v>
      </c>
      <c r="C342">
        <v>44</v>
      </c>
      <c r="D342" s="8" t="s">
        <v>61</v>
      </c>
      <c r="F342">
        <v>1.28</v>
      </c>
      <c r="J342">
        <f>33+62+73+91</f>
        <v>259</v>
      </c>
      <c r="K342">
        <v>4</v>
      </c>
      <c r="L342">
        <v>91</v>
      </c>
      <c r="N342" t="str">
        <f t="shared" si="16"/>
        <v>NA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1.8168220000000019</v>
      </c>
      <c r="P342">
        <f t="shared" si="18"/>
        <v>1.8168220000000019</v>
      </c>
      <c r="S342">
        <f t="shared" si="17"/>
        <v>1.286795264</v>
      </c>
    </row>
    <row r="343" spans="1:19">
      <c r="A343" s="7">
        <v>42444</v>
      </c>
      <c r="B343" s="8" t="s">
        <v>22</v>
      </c>
      <c r="C343">
        <v>44</v>
      </c>
      <c r="D343" s="8" t="s">
        <v>61</v>
      </c>
      <c r="F343">
        <v>1.76</v>
      </c>
      <c r="J343">
        <f>49+61+85+89</f>
        <v>284</v>
      </c>
      <c r="K343">
        <v>4</v>
      </c>
      <c r="L343">
        <v>89</v>
      </c>
      <c r="N343" t="str">
        <f t="shared" si="16"/>
        <v>NA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4.7631870000000021</v>
      </c>
      <c r="P343">
        <f t="shared" si="18"/>
        <v>4.7631870000000021</v>
      </c>
      <c r="S343">
        <f t="shared" si="17"/>
        <v>2.4328472959999998</v>
      </c>
    </row>
    <row r="344" spans="1:19">
      <c r="A344" s="7">
        <v>42444</v>
      </c>
      <c r="B344" s="8" t="s">
        <v>22</v>
      </c>
      <c r="C344">
        <v>44</v>
      </c>
      <c r="D344" s="8" t="s">
        <v>61</v>
      </c>
      <c r="F344">
        <v>1</v>
      </c>
      <c r="J344">
        <f>34+45+60</f>
        <v>139</v>
      </c>
      <c r="K344">
        <v>3</v>
      </c>
      <c r="L344">
        <v>60</v>
      </c>
      <c r="N344" t="str">
        <f t="shared" si="16"/>
        <v>NA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6.9271699999999967</v>
      </c>
      <c r="P344">
        <f t="shared" si="18"/>
        <v>6.9271699999999967</v>
      </c>
      <c r="S344">
        <f t="shared" si="17"/>
        <v>0.78539749999999997</v>
      </c>
    </row>
    <row r="345" spans="1:19">
      <c r="A345" s="7">
        <v>42444</v>
      </c>
      <c r="B345" s="8" t="s">
        <v>22</v>
      </c>
      <c r="C345">
        <v>20</v>
      </c>
      <c r="D345" s="8" t="s">
        <v>61</v>
      </c>
      <c r="F345">
        <v>6.41</v>
      </c>
      <c r="J345">
        <f>99+144+128+178</f>
        <v>549</v>
      </c>
      <c r="K345">
        <v>4</v>
      </c>
      <c r="L345">
        <v>178</v>
      </c>
      <c r="N345" t="str">
        <f t="shared" si="16"/>
        <v>NA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2.797457000000005</v>
      </c>
      <c r="P345">
        <f t="shared" si="18"/>
        <v>2.797457000000005</v>
      </c>
      <c r="S345">
        <f t="shared" si="17"/>
        <v>32.270491019750004</v>
      </c>
    </row>
    <row r="346" spans="1:19">
      <c r="A346" s="7">
        <v>42444</v>
      </c>
      <c r="B346" s="8" t="s">
        <v>22</v>
      </c>
      <c r="C346">
        <v>20</v>
      </c>
      <c r="D346" s="8" t="s">
        <v>63</v>
      </c>
      <c r="E346">
        <v>123</v>
      </c>
      <c r="F346">
        <v>0.77</v>
      </c>
      <c r="N346">
        <f t="shared" si="16"/>
        <v>19.092149287749997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4.032318000000001</v>
      </c>
      <c r="P346">
        <f t="shared" si="18"/>
        <v>4.032318000000001</v>
      </c>
      <c r="S346">
        <f t="shared" si="17"/>
        <v>0.46566217774999996</v>
      </c>
    </row>
    <row r="347" spans="1:19">
      <c r="A347" s="7">
        <v>42444</v>
      </c>
      <c r="B347" s="8" t="s">
        <v>22</v>
      </c>
      <c r="C347">
        <v>20</v>
      </c>
      <c r="D347" s="8" t="s">
        <v>63</v>
      </c>
      <c r="E347">
        <v>55</v>
      </c>
      <c r="F347">
        <v>0.72</v>
      </c>
      <c r="N347">
        <f t="shared" si="16"/>
        <v>7.4644178399999985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-0.73482199999999986</v>
      </c>
      <c r="P347" t="str">
        <f t="shared" si="18"/>
        <v>0</v>
      </c>
      <c r="S347">
        <f t="shared" si="17"/>
        <v>0.40715006399999998</v>
      </c>
    </row>
    <row r="348" spans="1:19">
      <c r="A348" s="7">
        <v>42444</v>
      </c>
      <c r="B348" s="8" t="s">
        <v>22</v>
      </c>
      <c r="C348">
        <v>20</v>
      </c>
      <c r="D348" s="8" t="s">
        <v>63</v>
      </c>
      <c r="E348">
        <v>166</v>
      </c>
      <c r="F348">
        <v>0.97</v>
      </c>
      <c r="N348">
        <f t="shared" si="16"/>
        <v>40.890254762166663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7.0468330000000003</v>
      </c>
      <c r="P348">
        <f t="shared" si="18"/>
        <v>7.0468330000000003</v>
      </c>
      <c r="S348">
        <f t="shared" si="17"/>
        <v>0.7389805077499999</v>
      </c>
    </row>
    <row r="349" spans="1:19">
      <c r="A349" s="7">
        <v>42444</v>
      </c>
      <c r="B349" s="8" t="s">
        <v>22</v>
      </c>
      <c r="C349">
        <v>20</v>
      </c>
      <c r="D349" s="8" t="s">
        <v>63</v>
      </c>
      <c r="E349">
        <v>174</v>
      </c>
      <c r="F349">
        <v>0.82</v>
      </c>
      <c r="N349">
        <f t="shared" si="16"/>
        <v>30.629874181999991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7.607673000000001</v>
      </c>
      <c r="P349">
        <f t="shared" si="18"/>
        <v>7.607673000000001</v>
      </c>
      <c r="S349">
        <f t="shared" si="17"/>
        <v>0.52810127899999992</v>
      </c>
    </row>
    <row r="350" spans="1:19">
      <c r="A350" s="7">
        <v>42444</v>
      </c>
      <c r="B350" s="8" t="s">
        <v>22</v>
      </c>
      <c r="C350">
        <v>20</v>
      </c>
      <c r="D350" s="8" t="s">
        <v>63</v>
      </c>
      <c r="E350">
        <v>170</v>
      </c>
      <c r="F350">
        <v>0.68</v>
      </c>
      <c r="N350">
        <f t="shared" si="16"/>
        <v>20.579508893333333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7.3272529999999998</v>
      </c>
      <c r="P350">
        <f t="shared" si="18"/>
        <v>7.3272529999999998</v>
      </c>
      <c r="S350">
        <f t="shared" si="17"/>
        <v>0.36316780400000004</v>
      </c>
    </row>
    <row r="351" spans="1:19">
      <c r="A351" s="7">
        <v>42444</v>
      </c>
      <c r="B351" s="8" t="s">
        <v>22</v>
      </c>
      <c r="C351">
        <v>20</v>
      </c>
      <c r="D351" s="8" t="s">
        <v>63</v>
      </c>
      <c r="E351">
        <v>204</v>
      </c>
      <c r="F351">
        <v>1.02</v>
      </c>
      <c r="N351">
        <f t="shared" si="16"/>
        <v>55.56467401199999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9.7108230000000013</v>
      </c>
      <c r="P351">
        <f t="shared" si="18"/>
        <v>9.7108230000000013</v>
      </c>
      <c r="S351">
        <f t="shared" si="17"/>
        <v>0.817127559</v>
      </c>
    </row>
    <row r="352" spans="1:19">
      <c r="A352" s="7">
        <v>42444</v>
      </c>
      <c r="B352" s="8" t="s">
        <v>22</v>
      </c>
      <c r="C352">
        <v>20</v>
      </c>
      <c r="D352" s="8" t="s">
        <v>63</v>
      </c>
      <c r="E352">
        <v>61</v>
      </c>
      <c r="F352">
        <v>0.62</v>
      </c>
      <c r="N352">
        <f t="shared" si="16"/>
        <v>6.138771579666666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-0.31419199999999936</v>
      </c>
      <c r="P352" t="str">
        <f t="shared" si="18"/>
        <v>0</v>
      </c>
      <c r="S352">
        <f t="shared" si="17"/>
        <v>0.301906799</v>
      </c>
    </row>
    <row r="353" spans="1:19">
      <c r="A353" s="7">
        <v>42444</v>
      </c>
      <c r="B353" s="8" t="s">
        <v>22</v>
      </c>
      <c r="C353">
        <v>20</v>
      </c>
      <c r="D353" s="8" t="s">
        <v>63</v>
      </c>
      <c r="E353">
        <v>56</v>
      </c>
      <c r="F353">
        <v>0.37</v>
      </c>
      <c r="N353">
        <f t="shared" si="16"/>
        <v>2.0070571313333332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-0.66471699999999956</v>
      </c>
      <c r="P353" t="str">
        <f t="shared" si="18"/>
        <v>0</v>
      </c>
      <c r="S353">
        <f t="shared" si="17"/>
        <v>0.10752091774999999</v>
      </c>
    </row>
    <row r="354" spans="1:19">
      <c r="A354" s="7">
        <v>42444</v>
      </c>
      <c r="B354" s="8" t="s">
        <v>22</v>
      </c>
      <c r="C354">
        <v>20</v>
      </c>
      <c r="D354" s="8" t="s">
        <v>61</v>
      </c>
      <c r="F354">
        <v>0.56000000000000005</v>
      </c>
      <c r="J354">
        <f>27+29</f>
        <v>56</v>
      </c>
      <c r="K354">
        <v>2</v>
      </c>
      <c r="L354">
        <v>29</v>
      </c>
      <c r="N354" t="str">
        <f t="shared" si="16"/>
        <v>NA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15.506452999999997</v>
      </c>
      <c r="P354">
        <f t="shared" si="18"/>
        <v>15.506452999999997</v>
      </c>
      <c r="S354">
        <f t="shared" si="17"/>
        <v>0.24630065600000003</v>
      </c>
    </row>
    <row r="355" spans="1:19">
      <c r="A355" s="7">
        <v>42444</v>
      </c>
      <c r="B355" s="8" t="s">
        <v>22</v>
      </c>
      <c r="C355">
        <v>20</v>
      </c>
      <c r="D355" s="8" t="s">
        <v>61</v>
      </c>
      <c r="F355">
        <v>0.59</v>
      </c>
      <c r="J355">
        <f>12+16+18</f>
        <v>46</v>
      </c>
      <c r="K355">
        <v>3</v>
      </c>
      <c r="L355">
        <v>18</v>
      </c>
      <c r="N355" t="str">
        <f t="shared" si="16"/>
        <v>NA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10.860244999999999</v>
      </c>
      <c r="P355">
        <f t="shared" si="18"/>
        <v>10.860244999999999</v>
      </c>
      <c r="S355">
        <f t="shared" si="17"/>
        <v>0.27339686974999994</v>
      </c>
    </row>
    <row r="356" spans="1:19">
      <c r="A356" s="7">
        <v>42444</v>
      </c>
      <c r="B356" s="8" t="s">
        <v>22</v>
      </c>
      <c r="C356">
        <v>20</v>
      </c>
      <c r="D356" s="8" t="s">
        <v>61</v>
      </c>
      <c r="F356">
        <v>2.27</v>
      </c>
      <c r="J356">
        <f>16+19+20+20</f>
        <v>75</v>
      </c>
      <c r="K356">
        <v>4</v>
      </c>
      <c r="L356">
        <v>20</v>
      </c>
      <c r="N356" t="str">
        <f t="shared" si="16"/>
        <v>NA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5.9542970000000004</v>
      </c>
      <c r="P356">
        <f t="shared" si="18"/>
        <v>5.9542970000000004</v>
      </c>
      <c r="S356">
        <f t="shared" si="17"/>
        <v>4.0470747777499998</v>
      </c>
    </row>
    <row r="357" spans="1:19">
      <c r="A357" s="7">
        <v>42444</v>
      </c>
      <c r="B357" s="8" t="s">
        <v>22</v>
      </c>
      <c r="C357">
        <v>20</v>
      </c>
      <c r="D357" s="8" t="s">
        <v>61</v>
      </c>
      <c r="F357">
        <v>0.86</v>
      </c>
      <c r="J357">
        <f>24+38+44</f>
        <v>106</v>
      </c>
      <c r="K357">
        <v>3</v>
      </c>
      <c r="L357">
        <v>44</v>
      </c>
      <c r="N357" t="str">
        <f t="shared" si="16"/>
        <v>NA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8.6531749999999974</v>
      </c>
      <c r="P357">
        <f t="shared" si="18"/>
        <v>8.6531749999999974</v>
      </c>
      <c r="S357">
        <f t="shared" si="17"/>
        <v>0.58087999099999987</v>
      </c>
    </row>
    <row r="358" spans="1:19">
      <c r="A358" s="7">
        <v>42444</v>
      </c>
      <c r="B358" s="8" t="s">
        <v>22</v>
      </c>
      <c r="C358">
        <v>20</v>
      </c>
      <c r="D358" s="8" t="s">
        <v>61</v>
      </c>
      <c r="F358">
        <v>0.74</v>
      </c>
      <c r="J358">
        <f>16+20+33+37+50</f>
        <v>156</v>
      </c>
      <c r="K358">
        <v>5</v>
      </c>
      <c r="L358">
        <v>50</v>
      </c>
      <c r="N358" t="str">
        <f t="shared" si="16"/>
        <v>NA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-2.5112510000000015</v>
      </c>
      <c r="P358" t="str">
        <f t="shared" si="18"/>
        <v>0</v>
      </c>
      <c r="S358">
        <f t="shared" si="17"/>
        <v>0.43008367099999995</v>
      </c>
    </row>
    <row r="359" spans="1:19">
      <c r="A359" s="7">
        <v>42444</v>
      </c>
      <c r="B359" s="8" t="s">
        <v>22</v>
      </c>
      <c r="C359">
        <v>20</v>
      </c>
      <c r="D359" s="8" t="s">
        <v>61</v>
      </c>
      <c r="F359">
        <v>0.55000000000000004</v>
      </c>
      <c r="J359">
        <f>12+14+26+23</f>
        <v>75</v>
      </c>
      <c r="K359">
        <v>4</v>
      </c>
      <c r="L359">
        <v>26</v>
      </c>
      <c r="N359" t="str">
        <f t="shared" si="16"/>
        <v>NA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4.1468270000000018</v>
      </c>
      <c r="P359">
        <f t="shared" si="18"/>
        <v>4.1468270000000018</v>
      </c>
      <c r="S359">
        <f t="shared" si="17"/>
        <v>0.23758274375000002</v>
      </c>
    </row>
    <row r="360" spans="1:19">
      <c r="A360" s="7">
        <v>42444</v>
      </c>
      <c r="B360" s="8" t="s">
        <v>22</v>
      </c>
      <c r="C360">
        <v>20</v>
      </c>
      <c r="D360" s="8" t="s">
        <v>61</v>
      </c>
      <c r="F360">
        <v>0.53</v>
      </c>
      <c r="J360">
        <f>12+16+18</f>
        <v>46</v>
      </c>
      <c r="K360">
        <v>3</v>
      </c>
      <c r="L360">
        <v>18</v>
      </c>
      <c r="N360" t="str">
        <f t="shared" si="16"/>
        <v>NA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10.860244999999999</v>
      </c>
      <c r="P360">
        <f t="shared" si="18"/>
        <v>10.860244999999999</v>
      </c>
      <c r="S360">
        <f t="shared" si="17"/>
        <v>0.22061815775000002</v>
      </c>
    </row>
    <row r="361" spans="1:19">
      <c r="A361" s="7">
        <v>42444</v>
      </c>
      <c r="B361" s="8" t="s">
        <v>22</v>
      </c>
      <c r="C361">
        <v>20</v>
      </c>
      <c r="D361" s="8" t="s">
        <v>61</v>
      </c>
      <c r="F361">
        <v>1.64</v>
      </c>
      <c r="J361">
        <f>69+101+136+156+163</f>
        <v>625</v>
      </c>
      <c r="K361">
        <v>5</v>
      </c>
      <c r="L361">
        <v>163</v>
      </c>
      <c r="N361" t="str">
        <f t="shared" si="16"/>
        <v>NA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7.4191590000000076</v>
      </c>
      <c r="P361">
        <f t="shared" si="18"/>
        <v>7.4191590000000076</v>
      </c>
      <c r="S361">
        <f t="shared" si="17"/>
        <v>2.1124051159999997</v>
      </c>
    </row>
    <row r="362" spans="1:19">
      <c r="A362" s="7">
        <v>42444</v>
      </c>
      <c r="B362" s="8" t="s">
        <v>22</v>
      </c>
      <c r="C362">
        <v>20</v>
      </c>
      <c r="D362" s="8" t="s">
        <v>61</v>
      </c>
      <c r="F362">
        <v>0.96</v>
      </c>
      <c r="J362">
        <f>19+41+48+52</f>
        <v>160</v>
      </c>
      <c r="K362">
        <v>4</v>
      </c>
      <c r="L362">
        <v>52</v>
      </c>
      <c r="N362" t="str">
        <f t="shared" si="16"/>
        <v>NA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4.2836320000000008</v>
      </c>
      <c r="P362">
        <f t="shared" si="18"/>
        <v>4.2836320000000008</v>
      </c>
      <c r="S362">
        <f t="shared" si="17"/>
        <v>0.7238223359999999</v>
      </c>
    </row>
    <row r="363" spans="1:19">
      <c r="A363" s="7">
        <v>42444</v>
      </c>
      <c r="B363" s="8" t="s">
        <v>22</v>
      </c>
      <c r="C363">
        <v>20</v>
      </c>
      <c r="D363" s="8" t="s">
        <v>61</v>
      </c>
      <c r="F363">
        <v>1.86</v>
      </c>
      <c r="J363">
        <f>62+84+99+104+113+100+147</f>
        <v>709</v>
      </c>
      <c r="K363">
        <v>7</v>
      </c>
      <c r="L363">
        <v>147</v>
      </c>
      <c r="N363" t="str">
        <f t="shared" si="16"/>
        <v>NA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6.0697930000000042</v>
      </c>
      <c r="P363">
        <f t="shared" si="18"/>
        <v>6.0697930000000042</v>
      </c>
      <c r="S363">
        <f t="shared" si="17"/>
        <v>2.7171611910000002</v>
      </c>
    </row>
    <row r="364" spans="1:19">
      <c r="A364" s="7">
        <v>42444</v>
      </c>
      <c r="B364" s="8" t="s">
        <v>22</v>
      </c>
      <c r="C364">
        <v>20</v>
      </c>
      <c r="D364" s="8" t="s">
        <v>61</v>
      </c>
      <c r="F364">
        <v>2.3199999999999998</v>
      </c>
      <c r="J364">
        <f>48+74+86</f>
        <v>208</v>
      </c>
      <c r="K364">
        <v>3</v>
      </c>
      <c r="L364">
        <v>86</v>
      </c>
      <c r="N364" t="str">
        <f t="shared" si="16"/>
        <v>NA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5.5638949999999987</v>
      </c>
      <c r="P364">
        <f t="shared" si="18"/>
        <v>5.5638949999999987</v>
      </c>
      <c r="S364">
        <f t="shared" si="17"/>
        <v>4.2273235039999992</v>
      </c>
    </row>
    <row r="365" spans="1:19">
      <c r="A365" s="7">
        <v>42444</v>
      </c>
      <c r="B365" s="8" t="s">
        <v>22</v>
      </c>
      <c r="C365">
        <v>20</v>
      </c>
      <c r="D365" s="8" t="s">
        <v>61</v>
      </c>
      <c r="F365">
        <v>0.55000000000000004</v>
      </c>
      <c r="J365">
        <f>13+13+18+20</f>
        <v>64</v>
      </c>
      <c r="K365">
        <v>4</v>
      </c>
      <c r="L365">
        <v>20</v>
      </c>
      <c r="N365" t="str">
        <f t="shared" si="16"/>
        <v>NA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4.9229919999999971</v>
      </c>
      <c r="P365">
        <f t="shared" si="18"/>
        <v>4.9229919999999971</v>
      </c>
      <c r="S365">
        <f t="shared" si="17"/>
        <v>0.23758274375000002</v>
      </c>
    </row>
    <row r="366" spans="1:19">
      <c r="A366" s="7">
        <v>42444</v>
      </c>
      <c r="B366" s="8" t="s">
        <v>22</v>
      </c>
      <c r="C366">
        <v>20</v>
      </c>
      <c r="D366" s="8" t="s">
        <v>61</v>
      </c>
      <c r="F366">
        <v>0.51</v>
      </c>
      <c r="J366">
        <f>21+25+42+50</f>
        <v>138</v>
      </c>
      <c r="K366">
        <v>4</v>
      </c>
      <c r="L366">
        <v>50</v>
      </c>
      <c r="N366" t="str">
        <f t="shared" si="16"/>
        <v>NA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2.8235120000000009</v>
      </c>
      <c r="P366">
        <f t="shared" si="18"/>
        <v>2.8235120000000009</v>
      </c>
      <c r="S366">
        <f t="shared" si="17"/>
        <v>0.20428188975</v>
      </c>
    </row>
    <row r="367" spans="1:19">
      <c r="A367" s="7">
        <v>42444</v>
      </c>
      <c r="B367" s="8" t="s">
        <v>22</v>
      </c>
      <c r="C367">
        <v>20</v>
      </c>
      <c r="D367" s="8" t="s">
        <v>61</v>
      </c>
      <c r="F367">
        <v>0.48</v>
      </c>
      <c r="J367">
        <f>9+21+24+35</f>
        <v>89</v>
      </c>
      <c r="K367">
        <v>4</v>
      </c>
      <c r="L367">
        <v>35</v>
      </c>
      <c r="N367" t="str">
        <f t="shared" si="16"/>
        <v>NA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2.7481920000000031</v>
      </c>
      <c r="P367">
        <f t="shared" si="18"/>
        <v>2.7481920000000031</v>
      </c>
      <c r="S367">
        <f t="shared" si="17"/>
        <v>0.18095558399999997</v>
      </c>
    </row>
    <row r="368" spans="1:19">
      <c r="A368" s="7">
        <v>42444</v>
      </c>
      <c r="B368" s="8" t="s">
        <v>22</v>
      </c>
      <c r="C368">
        <v>14</v>
      </c>
      <c r="D368" s="8" t="s">
        <v>61</v>
      </c>
      <c r="F368">
        <v>1.27</v>
      </c>
      <c r="J368">
        <f>70+93+108+133+142</f>
        <v>546</v>
      </c>
      <c r="K368">
        <v>5</v>
      </c>
      <c r="L368">
        <v>142</v>
      </c>
      <c r="N368" t="str">
        <f t="shared" si="16"/>
        <v>NA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6.3386589999999998</v>
      </c>
      <c r="P368">
        <f t="shared" si="18"/>
        <v>6.3386589999999998</v>
      </c>
      <c r="S368">
        <f t="shared" si="17"/>
        <v>1.26676762775</v>
      </c>
    </row>
    <row r="369" spans="1:19">
      <c r="A369" s="7">
        <v>42444</v>
      </c>
      <c r="B369" s="8" t="s">
        <v>22</v>
      </c>
      <c r="C369">
        <v>14</v>
      </c>
      <c r="D369" s="8" t="s">
        <v>61</v>
      </c>
      <c r="F369">
        <v>2.8</v>
      </c>
      <c r="J369">
        <f>57+93+132+142+162+176+179+196</f>
        <v>1137</v>
      </c>
      <c r="K369">
        <v>8</v>
      </c>
      <c r="L369">
        <v>196</v>
      </c>
      <c r="N369" t="str">
        <f t="shared" si="16"/>
        <v>NA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24.413575000000002</v>
      </c>
      <c r="P369">
        <f t="shared" si="18"/>
        <v>24.413575000000002</v>
      </c>
      <c r="S369">
        <f t="shared" si="17"/>
        <v>6.1575163999999987</v>
      </c>
    </row>
    <row r="370" spans="1:19">
      <c r="A370" s="7">
        <v>42444</v>
      </c>
      <c r="B370" s="8" t="s">
        <v>22</v>
      </c>
      <c r="C370">
        <v>14</v>
      </c>
      <c r="D370" s="8" t="s">
        <v>61</v>
      </c>
      <c r="F370">
        <v>1.22</v>
      </c>
      <c r="J370">
        <f>43+66+76+197+112</f>
        <v>494</v>
      </c>
      <c r="K370">
        <v>5</v>
      </c>
      <c r="L370">
        <v>197</v>
      </c>
      <c r="N370" t="str">
        <f t="shared" si="16"/>
        <v>NA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-15.105075999999997</v>
      </c>
      <c r="P370" t="str">
        <f t="shared" si="18"/>
        <v>0</v>
      </c>
      <c r="S370">
        <f t="shared" si="17"/>
        <v>1.168985639</v>
      </c>
    </row>
    <row r="371" spans="1:19">
      <c r="A371" s="7">
        <v>42444</v>
      </c>
      <c r="B371" s="8" t="s">
        <v>22</v>
      </c>
      <c r="C371">
        <v>14</v>
      </c>
      <c r="D371" s="8" t="s">
        <v>61</v>
      </c>
      <c r="F371">
        <v>0.76</v>
      </c>
      <c r="J371">
        <f>16+22+23+29</f>
        <v>90</v>
      </c>
      <c r="K371">
        <v>4</v>
      </c>
      <c r="L371">
        <v>19</v>
      </c>
      <c r="N371" t="str">
        <f t="shared" si="16"/>
        <v>NA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7.6618669999999973</v>
      </c>
      <c r="P371">
        <f t="shared" si="18"/>
        <v>7.6618669999999973</v>
      </c>
      <c r="S371">
        <f t="shared" si="17"/>
        <v>0.45364559599999998</v>
      </c>
    </row>
    <row r="372" spans="1:19">
      <c r="A372" s="7">
        <v>42444</v>
      </c>
      <c r="B372" s="8" t="s">
        <v>22</v>
      </c>
      <c r="C372">
        <v>14</v>
      </c>
      <c r="D372" s="8" t="s">
        <v>61</v>
      </c>
      <c r="F372">
        <v>0.81</v>
      </c>
      <c r="J372">
        <f>33+66+76+85</f>
        <v>260</v>
      </c>
      <c r="K372">
        <v>4</v>
      </c>
      <c r="L372">
        <v>85</v>
      </c>
      <c r="N372" t="str">
        <f t="shared" si="16"/>
        <v>NA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3.7180469999999985</v>
      </c>
      <c r="P372">
        <f t="shared" si="18"/>
        <v>3.7180469999999985</v>
      </c>
      <c r="S372">
        <f t="shared" si="17"/>
        <v>0.51529929975000011</v>
      </c>
    </row>
    <row r="373" spans="1:19">
      <c r="A373" s="7">
        <v>42444</v>
      </c>
      <c r="B373" s="8" t="s">
        <v>22</v>
      </c>
      <c r="C373">
        <v>14</v>
      </c>
      <c r="D373" s="8" t="s">
        <v>61</v>
      </c>
      <c r="F373">
        <v>1.82</v>
      </c>
      <c r="J373">
        <f>40+67+84+88+104</f>
        <v>383</v>
      </c>
      <c r="K373">
        <v>5</v>
      </c>
      <c r="L373">
        <v>104</v>
      </c>
      <c r="N373" t="str">
        <f t="shared" si="16"/>
        <v>NA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2.5039040000000057</v>
      </c>
      <c r="P373">
        <f t="shared" si="18"/>
        <v>2.5039040000000057</v>
      </c>
      <c r="S373">
        <f t="shared" si="17"/>
        <v>2.6015506790000003</v>
      </c>
    </row>
    <row r="374" spans="1:19">
      <c r="A374" s="7">
        <v>42444</v>
      </c>
      <c r="B374" s="8" t="s">
        <v>22</v>
      </c>
      <c r="C374">
        <v>14</v>
      </c>
      <c r="D374" s="8" t="s">
        <v>61</v>
      </c>
      <c r="F374">
        <v>1.84</v>
      </c>
      <c r="J374">
        <f>63+75+88+112+118+136</f>
        <v>592</v>
      </c>
      <c r="K374">
        <v>6</v>
      </c>
      <c r="L374">
        <v>136</v>
      </c>
      <c r="N374" t="str">
        <f t="shared" si="16"/>
        <v>NA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5.4365060000000014</v>
      </c>
      <c r="P374">
        <f t="shared" si="18"/>
        <v>5.4365060000000014</v>
      </c>
      <c r="S374">
        <f t="shared" si="17"/>
        <v>2.659041776</v>
      </c>
    </row>
    <row r="375" spans="1:19">
      <c r="A375" s="7">
        <v>42444</v>
      </c>
      <c r="B375" s="8" t="s">
        <v>22</v>
      </c>
      <c r="C375">
        <v>14</v>
      </c>
      <c r="D375" s="8" t="s">
        <v>61</v>
      </c>
      <c r="F375">
        <v>1.08</v>
      </c>
      <c r="J375">
        <f>28+60+64+77+99</f>
        <v>328</v>
      </c>
      <c r="K375">
        <v>5</v>
      </c>
      <c r="L375">
        <v>99</v>
      </c>
      <c r="N375" t="str">
        <f t="shared" si="16"/>
        <v>NA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-1.1463960000000029</v>
      </c>
      <c r="P375" t="str">
        <f t="shared" si="18"/>
        <v>0</v>
      </c>
      <c r="S375">
        <f t="shared" si="17"/>
        <v>0.91608764400000009</v>
      </c>
    </row>
    <row r="376" spans="1:19">
      <c r="A376" s="7">
        <v>42444</v>
      </c>
      <c r="B376" s="8" t="s">
        <v>22</v>
      </c>
      <c r="C376">
        <v>14</v>
      </c>
      <c r="D376" s="8" t="s">
        <v>61</v>
      </c>
      <c r="F376">
        <v>1.0900000000000001</v>
      </c>
      <c r="J376">
        <f>43+73+75+91</f>
        <v>282</v>
      </c>
      <c r="K376">
        <v>4</v>
      </c>
      <c r="L376">
        <v>91</v>
      </c>
      <c r="N376" t="str">
        <f t="shared" si="16"/>
        <v>NA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3.9731869999999994</v>
      </c>
      <c r="P376">
        <f t="shared" si="18"/>
        <v>3.9731869999999994</v>
      </c>
      <c r="S376">
        <f t="shared" si="17"/>
        <v>0.93313076975000009</v>
      </c>
    </row>
    <row r="377" spans="1:19">
      <c r="A377" s="7">
        <v>42444</v>
      </c>
      <c r="B377" s="8" t="s">
        <v>22</v>
      </c>
      <c r="C377">
        <v>14</v>
      </c>
      <c r="D377" s="8" t="s">
        <v>63</v>
      </c>
      <c r="E377">
        <v>108</v>
      </c>
      <c r="F377">
        <v>1.0900000000000001</v>
      </c>
      <c r="N377">
        <f t="shared" si="16"/>
        <v>33.592707711000003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2.9807430000000004</v>
      </c>
      <c r="P377">
        <f t="shared" si="18"/>
        <v>2.9807430000000004</v>
      </c>
      <c r="S377">
        <f t="shared" si="17"/>
        <v>0.93313076975000009</v>
      </c>
    </row>
    <row r="378" spans="1:19">
      <c r="A378" s="7">
        <v>42444</v>
      </c>
      <c r="B378" s="8" t="s">
        <v>22</v>
      </c>
      <c r="C378">
        <v>14</v>
      </c>
      <c r="D378" s="8" t="s">
        <v>61</v>
      </c>
      <c r="F378">
        <v>0.55000000000000004</v>
      </c>
      <c r="J378">
        <f>30+50+51</f>
        <v>131</v>
      </c>
      <c r="K378">
        <v>3</v>
      </c>
      <c r="L378">
        <v>51</v>
      </c>
      <c r="N378" t="str">
        <f t="shared" si="16"/>
        <v>NA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8.8883349999999979</v>
      </c>
      <c r="P378">
        <f t="shared" si="18"/>
        <v>8.8883349999999979</v>
      </c>
      <c r="S378">
        <f t="shared" si="17"/>
        <v>0.23758274375000002</v>
      </c>
    </row>
    <row r="379" spans="1:19">
      <c r="A379" s="7">
        <v>42444</v>
      </c>
      <c r="B379" s="8" t="s">
        <v>22</v>
      </c>
      <c r="C379">
        <v>14</v>
      </c>
      <c r="D379" s="8" t="s">
        <v>63</v>
      </c>
      <c r="E379">
        <v>206</v>
      </c>
      <c r="F379">
        <v>1.3</v>
      </c>
      <c r="N379">
        <f t="shared" si="16"/>
        <v>91.142761883333336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9.851033000000001</v>
      </c>
      <c r="P379">
        <f t="shared" si="18"/>
        <v>9.851033000000001</v>
      </c>
      <c r="S379">
        <f t="shared" si="17"/>
        <v>1.3273217750000001</v>
      </c>
    </row>
    <row r="380" spans="1:19">
      <c r="A380" s="7">
        <v>42444</v>
      </c>
      <c r="B380" s="8" t="s">
        <v>22</v>
      </c>
      <c r="C380">
        <v>14</v>
      </c>
      <c r="D380" s="8" t="s">
        <v>61</v>
      </c>
      <c r="F380">
        <v>1.5</v>
      </c>
      <c r="J380">
        <f>42+62+76+98+102+131</f>
        <v>511</v>
      </c>
      <c r="K380">
        <v>6</v>
      </c>
      <c r="L380">
        <v>131</v>
      </c>
      <c r="N380" t="str">
        <f t="shared" si="16"/>
        <v>NA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-0.65142399999999867</v>
      </c>
      <c r="P380" t="str">
        <f t="shared" si="18"/>
        <v>0</v>
      </c>
      <c r="S380">
        <f t="shared" si="17"/>
        <v>1.767144375</v>
      </c>
    </row>
    <row r="381" spans="1:19">
      <c r="A381" s="7">
        <v>42444</v>
      </c>
      <c r="B381" s="8" t="s">
        <v>22</v>
      </c>
      <c r="C381">
        <v>14</v>
      </c>
      <c r="D381" s="8" t="s">
        <v>61</v>
      </c>
      <c r="F381">
        <v>0.86</v>
      </c>
      <c r="J381">
        <f>43+48+72+82</f>
        <v>245</v>
      </c>
      <c r="K381">
        <v>4</v>
      </c>
      <c r="L381">
        <v>82</v>
      </c>
      <c r="N381" t="str">
        <f t="shared" si="16"/>
        <v>NA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3.2154570000000007</v>
      </c>
      <c r="P381">
        <f t="shared" si="18"/>
        <v>3.2154570000000007</v>
      </c>
      <c r="S381">
        <f t="shared" si="17"/>
        <v>0.58087999099999987</v>
      </c>
    </row>
    <row r="382" spans="1:19">
      <c r="A382" s="7">
        <v>42444</v>
      </c>
      <c r="B382" s="8" t="s">
        <v>22</v>
      </c>
      <c r="C382">
        <v>14</v>
      </c>
      <c r="D382" s="8" t="s">
        <v>61</v>
      </c>
      <c r="F382">
        <v>0.72</v>
      </c>
      <c r="J382">
        <f>30+32+46+56</f>
        <v>164</v>
      </c>
      <c r="K382">
        <v>4</v>
      </c>
      <c r="L382">
        <v>56</v>
      </c>
      <c r="N382" t="str">
        <f t="shared" si="16"/>
        <v>NA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3.4536719999999974</v>
      </c>
      <c r="P382">
        <f t="shared" si="18"/>
        <v>3.4536719999999974</v>
      </c>
      <c r="S382">
        <f t="shared" si="17"/>
        <v>0.40715006399999998</v>
      </c>
    </row>
    <row r="383" spans="1:19">
      <c r="A383" s="7">
        <v>42444</v>
      </c>
      <c r="B383" s="8" t="s">
        <v>22</v>
      </c>
      <c r="C383">
        <v>14</v>
      </c>
      <c r="D383" s="8" t="s">
        <v>61</v>
      </c>
      <c r="F383">
        <v>0.69</v>
      </c>
      <c r="J383">
        <f>25+25+22</f>
        <v>72</v>
      </c>
      <c r="K383">
        <v>3</v>
      </c>
      <c r="L383">
        <v>25</v>
      </c>
      <c r="N383" t="str">
        <f t="shared" si="16"/>
        <v>NA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11.189159999999998</v>
      </c>
      <c r="P383">
        <f t="shared" si="18"/>
        <v>11.189159999999998</v>
      </c>
      <c r="S383">
        <f t="shared" si="17"/>
        <v>0.37392774974999993</v>
      </c>
    </row>
    <row r="384" spans="1:19">
      <c r="A384" s="7">
        <v>42444</v>
      </c>
      <c r="B384" s="8" t="s">
        <v>22</v>
      </c>
      <c r="C384">
        <v>7</v>
      </c>
      <c r="D384" s="8" t="s">
        <v>65</v>
      </c>
      <c r="E384">
        <v>86</v>
      </c>
      <c r="F384">
        <v>0.74</v>
      </c>
      <c r="G384">
        <v>1</v>
      </c>
      <c r="N384">
        <f t="shared" si="16"/>
        <v>12.329065235333331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2.8175161083826143</v>
      </c>
      <c r="P384">
        <f t="shared" si="18"/>
        <v>2.8175161083826143</v>
      </c>
      <c r="S384">
        <f t="shared" si="17"/>
        <v>0.43008367099999995</v>
      </c>
    </row>
    <row r="385" spans="1:19">
      <c r="A385" s="7">
        <v>42444</v>
      </c>
      <c r="B385" s="8" t="s">
        <v>22</v>
      </c>
      <c r="C385">
        <v>7</v>
      </c>
      <c r="D385" s="8" t="s">
        <v>65</v>
      </c>
      <c r="E385">
        <v>74</v>
      </c>
      <c r="F385">
        <v>0.7</v>
      </c>
      <c r="N385">
        <f t="shared" si="16"/>
        <v>9.4928377833333322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0.59717300000000062</v>
      </c>
      <c r="P385">
        <f t="shared" si="18"/>
        <v>0.59717300000000062</v>
      </c>
      <c r="S385">
        <f t="shared" si="17"/>
        <v>0.38484477499999992</v>
      </c>
    </row>
    <row r="386" spans="1:19">
      <c r="A386" s="7">
        <v>42444</v>
      </c>
      <c r="B386" s="8" t="s">
        <v>22</v>
      </c>
      <c r="C386">
        <v>7</v>
      </c>
      <c r="D386" s="8" t="s">
        <v>65</v>
      </c>
      <c r="E386">
        <v>117</v>
      </c>
      <c r="F386">
        <v>1.37</v>
      </c>
      <c r="G386">
        <v>2</v>
      </c>
      <c r="N386">
        <f t="shared" si="16"/>
        <v>57.49039014225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6.181451961064127</v>
      </c>
      <c r="P386">
        <f t="shared" si="18"/>
        <v>6.181451961064127</v>
      </c>
      <c r="S386">
        <f t="shared" si="17"/>
        <v>1.4741125677500002</v>
      </c>
    </row>
    <row r="387" spans="1:19">
      <c r="A387" s="7">
        <v>42444</v>
      </c>
      <c r="B387" s="8" t="s">
        <v>22</v>
      </c>
      <c r="C387">
        <v>7</v>
      </c>
      <c r="D387" s="8" t="s">
        <v>65</v>
      </c>
      <c r="E387" s="8">
        <v>80</v>
      </c>
      <c r="F387" s="8">
        <v>0.8</v>
      </c>
      <c r="G387">
        <v>1</v>
      </c>
      <c r="N387">
        <f t="shared" si="16"/>
        <v>13.404117333333334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2.732557063082667</v>
      </c>
      <c r="P387">
        <f t="shared" si="18"/>
        <v>2.732557063082667</v>
      </c>
      <c r="S387">
        <f t="shared" si="17"/>
        <v>0.50265440000000006</v>
      </c>
    </row>
    <row r="388" spans="1:19">
      <c r="A388" s="7">
        <v>42444</v>
      </c>
      <c r="B388" s="8" t="s">
        <v>22</v>
      </c>
      <c r="C388">
        <v>7</v>
      </c>
      <c r="D388" s="8" t="s">
        <v>65</v>
      </c>
      <c r="E388">
        <v>48</v>
      </c>
      <c r="F388">
        <v>0.82</v>
      </c>
      <c r="N388">
        <f t="shared" ref="N388:N451" si="19">IF(OR(D388="S. acutus", D388="S. tabernaemontani", D388="S. californicus"),(1/3)*(3.14159)*((F388/2)^2)*E388,"NA")</f>
        <v>8.4496204639999988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-1.2255569999999998</v>
      </c>
      <c r="P388" t="str">
        <f t="shared" si="18"/>
        <v>0</v>
      </c>
      <c r="S388">
        <f t="shared" si="17"/>
        <v>0.52810127899999992</v>
      </c>
    </row>
    <row r="389" spans="1:19">
      <c r="A389" s="7">
        <v>42444</v>
      </c>
      <c r="B389" s="8" t="s">
        <v>22</v>
      </c>
      <c r="C389">
        <v>7</v>
      </c>
      <c r="D389" s="8" t="s">
        <v>65</v>
      </c>
      <c r="E389">
        <v>100</v>
      </c>
      <c r="F389">
        <v>1.69</v>
      </c>
      <c r="N389">
        <f t="shared" si="19"/>
        <v>74.772459991666651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2.4199030000000006</v>
      </c>
      <c r="P389">
        <f t="shared" si="18"/>
        <v>2.4199030000000006</v>
      </c>
      <c r="S389">
        <f t="shared" ref="S389:S452" si="20">3.14159*((F389/2)^2)</f>
        <v>2.2431737997499996</v>
      </c>
    </row>
    <row r="390" spans="1:19">
      <c r="A390" s="7">
        <v>42444</v>
      </c>
      <c r="B390" s="8" t="s">
        <v>22</v>
      </c>
      <c r="C390">
        <v>7</v>
      </c>
      <c r="D390" s="8" t="s">
        <v>65</v>
      </c>
      <c r="E390">
        <v>139</v>
      </c>
      <c r="F390">
        <v>1.35</v>
      </c>
      <c r="N390">
        <f t="shared" si="19"/>
        <v>66.320928393750009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5.1539980000000005</v>
      </c>
      <c r="P390">
        <f t="shared" si="18"/>
        <v>5.1539980000000005</v>
      </c>
      <c r="S390">
        <f t="shared" si="20"/>
        <v>1.4313869437500002</v>
      </c>
    </row>
    <row r="391" spans="1:19">
      <c r="A391" s="7">
        <v>42444</v>
      </c>
      <c r="B391" s="8" t="s">
        <v>22</v>
      </c>
      <c r="C391">
        <v>7</v>
      </c>
      <c r="D391" s="8" t="s">
        <v>65</v>
      </c>
      <c r="E391">
        <v>59</v>
      </c>
      <c r="F391">
        <v>1.61</v>
      </c>
      <c r="N391">
        <f t="shared" si="19"/>
        <v>40.037967575083336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-0.45440199999999997</v>
      </c>
      <c r="P391" t="str">
        <f t="shared" si="18"/>
        <v>0</v>
      </c>
      <c r="S391">
        <f t="shared" si="20"/>
        <v>2.0358288597500001</v>
      </c>
    </row>
    <row r="392" spans="1:19">
      <c r="A392" s="7">
        <v>42444</v>
      </c>
      <c r="B392" s="8" t="s">
        <v>22</v>
      </c>
      <c r="C392">
        <v>7</v>
      </c>
      <c r="D392" s="8" t="s">
        <v>65</v>
      </c>
      <c r="E392">
        <v>89</v>
      </c>
      <c r="F392">
        <v>1.0900000000000001</v>
      </c>
      <c r="N392">
        <f t="shared" si="19"/>
        <v>27.682879502583337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1.6487480000000003</v>
      </c>
      <c r="P392">
        <f t="shared" si="18"/>
        <v>1.6487480000000003</v>
      </c>
      <c r="S392">
        <f t="shared" si="20"/>
        <v>0.93313076975000009</v>
      </c>
    </row>
    <row r="393" spans="1:19">
      <c r="A393" s="7">
        <v>42444</v>
      </c>
      <c r="B393" s="8" t="s">
        <v>22</v>
      </c>
      <c r="C393">
        <v>7</v>
      </c>
      <c r="D393" s="8" t="s">
        <v>65</v>
      </c>
      <c r="E393">
        <v>63</v>
      </c>
      <c r="F393">
        <v>0.62</v>
      </c>
      <c r="G393">
        <v>3</v>
      </c>
      <c r="N393">
        <f t="shared" si="19"/>
        <v>6.3400427789999991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1.9087524272360459</v>
      </c>
      <c r="P393">
        <f t="shared" ref="P393:P456" si="21">IF(O393&lt;0,"0",O393)</f>
        <v>1.9087524272360459</v>
      </c>
      <c r="S393">
        <f t="shared" si="20"/>
        <v>0.301906799</v>
      </c>
    </row>
    <row r="394" spans="1:19">
      <c r="A394" s="7">
        <v>42444</v>
      </c>
      <c r="B394" s="8" t="s">
        <v>22</v>
      </c>
      <c r="C394">
        <v>7</v>
      </c>
      <c r="D394" s="8" t="s">
        <v>65</v>
      </c>
      <c r="E394">
        <v>164</v>
      </c>
      <c r="F394">
        <v>1.99</v>
      </c>
      <c r="N394">
        <f t="shared" si="19"/>
        <v>170.02714430633333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6.9066230000000006</v>
      </c>
      <c r="P394">
        <f t="shared" si="21"/>
        <v>6.9066230000000006</v>
      </c>
      <c r="S394">
        <f t="shared" si="20"/>
        <v>3.1102526397500001</v>
      </c>
    </row>
    <row r="395" spans="1:19">
      <c r="A395" s="7">
        <v>42444</v>
      </c>
      <c r="B395" s="8" t="s">
        <v>22</v>
      </c>
      <c r="C395">
        <v>7</v>
      </c>
      <c r="D395" s="8" t="s">
        <v>65</v>
      </c>
      <c r="E395">
        <v>196</v>
      </c>
      <c r="F395">
        <v>1.95</v>
      </c>
      <c r="N395">
        <f t="shared" si="19"/>
        <v>195.11630092499996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9.1499829999999989</v>
      </c>
      <c r="P395">
        <f t="shared" si="21"/>
        <v>9.1499829999999989</v>
      </c>
      <c r="S395">
        <f t="shared" si="20"/>
        <v>2.9864739937499998</v>
      </c>
    </row>
    <row r="396" spans="1:19">
      <c r="A396" s="7">
        <v>42444</v>
      </c>
      <c r="B396" s="8" t="s">
        <v>22</v>
      </c>
      <c r="C396">
        <v>7</v>
      </c>
      <c r="D396" s="8" t="s">
        <v>65</v>
      </c>
      <c r="E396">
        <v>150</v>
      </c>
      <c r="F396">
        <v>2.15</v>
      </c>
      <c r="N396">
        <f t="shared" si="19"/>
        <v>181.52499718749996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5.9251530000000008</v>
      </c>
      <c r="P396">
        <f t="shared" si="21"/>
        <v>5.9251530000000008</v>
      </c>
      <c r="S396">
        <f t="shared" si="20"/>
        <v>3.6304999437499994</v>
      </c>
    </row>
    <row r="397" spans="1:19">
      <c r="A397" s="7">
        <v>42444</v>
      </c>
      <c r="B397" s="8" t="s">
        <v>22</v>
      </c>
      <c r="C397">
        <v>7</v>
      </c>
      <c r="D397" s="8" t="s">
        <v>65</v>
      </c>
      <c r="E397">
        <v>169</v>
      </c>
      <c r="F397">
        <v>2.06</v>
      </c>
      <c r="N397">
        <f t="shared" si="19"/>
        <v>187.75408947966665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7.2571479999999999</v>
      </c>
      <c r="P397">
        <f t="shared" si="21"/>
        <v>7.2571479999999999</v>
      </c>
      <c r="S397">
        <f t="shared" si="20"/>
        <v>3.3329128309999998</v>
      </c>
    </row>
    <row r="398" spans="1:19">
      <c r="A398" s="7">
        <v>42444</v>
      </c>
      <c r="B398" s="8" t="s">
        <v>22</v>
      </c>
      <c r="C398">
        <v>7</v>
      </c>
      <c r="D398" s="8" t="s">
        <v>65</v>
      </c>
      <c r="E398">
        <v>103</v>
      </c>
      <c r="F398">
        <v>1.07</v>
      </c>
      <c r="G398">
        <v>13</v>
      </c>
      <c r="N398">
        <f t="shared" si="19"/>
        <v>30.87258818941666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4.3033864512364168</v>
      </c>
      <c r="P398">
        <f t="shared" si="21"/>
        <v>4.3033864512364168</v>
      </c>
      <c r="S398">
        <f t="shared" si="20"/>
        <v>0.89920159774999997</v>
      </c>
    </row>
    <row r="399" spans="1:19">
      <c r="A399" s="7">
        <v>42444</v>
      </c>
      <c r="B399" s="8" t="s">
        <v>22</v>
      </c>
      <c r="C399">
        <v>7</v>
      </c>
      <c r="D399" s="8" t="s">
        <v>61</v>
      </c>
      <c r="F399">
        <v>1.38</v>
      </c>
      <c r="J399">
        <f>63+56+70+99</f>
        <v>288</v>
      </c>
      <c r="K399">
        <v>4</v>
      </c>
      <c r="L399">
        <v>99</v>
      </c>
      <c r="N399" t="str">
        <f t="shared" si="19"/>
        <v>NA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2.1257570000000001</v>
      </c>
      <c r="P399">
        <f t="shared" si="21"/>
        <v>2.1257570000000001</v>
      </c>
      <c r="S399">
        <f t="shared" si="20"/>
        <v>1.4957109989999997</v>
      </c>
    </row>
    <row r="400" spans="1:19">
      <c r="A400" s="7">
        <v>42444</v>
      </c>
      <c r="B400" s="8" t="s">
        <v>22</v>
      </c>
      <c r="C400">
        <v>7</v>
      </c>
      <c r="D400" s="8" t="s">
        <v>65</v>
      </c>
      <c r="E400">
        <v>184</v>
      </c>
      <c r="F400">
        <v>1.67</v>
      </c>
      <c r="N400">
        <f t="shared" si="19"/>
        <v>134.34423204866664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8.3087230000000005</v>
      </c>
      <c r="P400">
        <f t="shared" si="21"/>
        <v>8.3087230000000005</v>
      </c>
      <c r="S400">
        <f t="shared" si="20"/>
        <v>2.1903950877499998</v>
      </c>
    </row>
    <row r="401" spans="1:19">
      <c r="A401" s="7">
        <v>42444</v>
      </c>
      <c r="B401" s="8" t="s">
        <v>22</v>
      </c>
      <c r="C401">
        <v>7</v>
      </c>
      <c r="D401" s="8" t="s">
        <v>65</v>
      </c>
      <c r="E401">
        <v>24</v>
      </c>
      <c r="F401">
        <v>0.85</v>
      </c>
      <c r="N401">
        <f t="shared" si="19"/>
        <v>4.539597549999999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-2.9080769999999996</v>
      </c>
      <c r="P401" t="str">
        <f t="shared" si="21"/>
        <v>0</v>
      </c>
      <c r="S401">
        <f t="shared" si="20"/>
        <v>0.56744969374999987</v>
      </c>
    </row>
    <row r="402" spans="1:19">
      <c r="A402" s="7">
        <v>42444</v>
      </c>
      <c r="B402" s="8" t="s">
        <v>22</v>
      </c>
      <c r="C402">
        <v>7</v>
      </c>
      <c r="D402" s="8" t="s">
        <v>65</v>
      </c>
      <c r="E402">
        <v>67</v>
      </c>
      <c r="F402">
        <v>0.7</v>
      </c>
      <c r="N402">
        <f t="shared" si="19"/>
        <v>8.5948666416666644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0.10643799999999981</v>
      </c>
      <c r="P402">
        <f t="shared" si="21"/>
        <v>0.10643799999999981</v>
      </c>
      <c r="S402">
        <f t="shared" si="20"/>
        <v>0.38484477499999992</v>
      </c>
    </row>
    <row r="403" spans="1:19">
      <c r="A403" s="7">
        <v>42444</v>
      </c>
      <c r="B403" s="8" t="s">
        <v>22</v>
      </c>
      <c r="C403">
        <v>7</v>
      </c>
      <c r="D403" s="8" t="s">
        <v>65</v>
      </c>
      <c r="E403">
        <v>97</v>
      </c>
      <c r="F403">
        <v>1.34</v>
      </c>
      <c r="N403">
        <f t="shared" si="19"/>
        <v>45.598398615666667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2.2095880000000001</v>
      </c>
      <c r="P403">
        <f t="shared" si="21"/>
        <v>2.2095880000000001</v>
      </c>
      <c r="S403">
        <f t="shared" si="20"/>
        <v>1.4102597510000001</v>
      </c>
    </row>
    <row r="404" spans="1:19">
      <c r="A404" s="7">
        <v>42444</v>
      </c>
      <c r="B404" s="8" t="s">
        <v>22</v>
      </c>
      <c r="C404">
        <v>7</v>
      </c>
      <c r="D404" s="8" t="s">
        <v>65</v>
      </c>
      <c r="E404">
        <v>23</v>
      </c>
      <c r="F404">
        <v>1.52</v>
      </c>
      <c r="N404">
        <f t="shared" si="19"/>
        <v>13.911798277333332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-2.9781819999999999</v>
      </c>
      <c r="P404" t="str">
        <f t="shared" si="21"/>
        <v>0</v>
      </c>
      <c r="S404">
        <f t="shared" si="20"/>
        <v>1.8145823839999999</v>
      </c>
    </row>
    <row r="405" spans="1:19">
      <c r="A405" s="7">
        <v>42444</v>
      </c>
      <c r="B405" s="8" t="s">
        <v>22</v>
      </c>
      <c r="C405">
        <v>7</v>
      </c>
      <c r="D405" s="8" t="s">
        <v>65</v>
      </c>
      <c r="E405">
        <v>49</v>
      </c>
      <c r="F405">
        <v>0.7</v>
      </c>
      <c r="N405">
        <f t="shared" si="19"/>
        <v>6.2857979916666658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-1.1554519999999999</v>
      </c>
      <c r="P405" t="str">
        <f t="shared" si="21"/>
        <v>0</v>
      </c>
      <c r="S405">
        <f t="shared" si="20"/>
        <v>0.38484477499999992</v>
      </c>
    </row>
    <row r="406" spans="1:19">
      <c r="A406" s="7">
        <v>42444</v>
      </c>
      <c r="B406" s="8" t="s">
        <v>22</v>
      </c>
      <c r="C406">
        <v>7</v>
      </c>
      <c r="D406" s="8" t="s">
        <v>65</v>
      </c>
      <c r="E406">
        <v>88</v>
      </c>
      <c r="F406">
        <v>1.0900000000000001</v>
      </c>
      <c r="G406">
        <v>10</v>
      </c>
      <c r="N406">
        <f t="shared" si="19"/>
        <v>27.371835912666668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3.7340800644271375</v>
      </c>
      <c r="P406">
        <f t="shared" si="21"/>
        <v>3.7340800644271375</v>
      </c>
      <c r="S406">
        <f t="shared" si="20"/>
        <v>0.93313076975000009</v>
      </c>
    </row>
    <row r="407" spans="1:19">
      <c r="A407" s="7">
        <v>42444</v>
      </c>
      <c r="B407" s="8" t="s">
        <v>22</v>
      </c>
      <c r="C407">
        <v>7</v>
      </c>
      <c r="D407" s="8" t="s">
        <v>65</v>
      </c>
      <c r="E407">
        <v>22</v>
      </c>
      <c r="F407">
        <v>0.48</v>
      </c>
      <c r="N407">
        <f t="shared" si="19"/>
        <v>1.3270076159999997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-3.0482869999999997</v>
      </c>
      <c r="P407" t="str">
        <f t="shared" si="21"/>
        <v>0</v>
      </c>
      <c r="S407">
        <f t="shared" si="20"/>
        <v>0.18095558399999997</v>
      </c>
    </row>
    <row r="408" spans="1:19">
      <c r="A408" s="7">
        <v>42444</v>
      </c>
      <c r="B408" s="8" t="s">
        <v>22</v>
      </c>
      <c r="C408">
        <v>7</v>
      </c>
      <c r="D408" s="8" t="s">
        <v>65</v>
      </c>
      <c r="E408">
        <v>130</v>
      </c>
      <c r="F408">
        <v>1.47</v>
      </c>
      <c r="N408">
        <f t="shared" si="19"/>
        <v>73.543836502499985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4.523053</v>
      </c>
      <c r="P408">
        <f t="shared" si="21"/>
        <v>4.523053</v>
      </c>
      <c r="S408">
        <f t="shared" si="20"/>
        <v>1.6971654577499997</v>
      </c>
    </row>
    <row r="409" spans="1:19">
      <c r="A409" s="7">
        <v>42444</v>
      </c>
      <c r="B409" s="8" t="s">
        <v>22</v>
      </c>
      <c r="C409">
        <v>7</v>
      </c>
      <c r="D409" s="8" t="s">
        <v>65</v>
      </c>
      <c r="E409">
        <v>181</v>
      </c>
      <c r="F409">
        <v>1.45</v>
      </c>
      <c r="N409">
        <f t="shared" si="19"/>
        <v>99.628327372916658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8.0984079999999992</v>
      </c>
      <c r="P409">
        <f t="shared" si="21"/>
        <v>8.0984079999999992</v>
      </c>
      <c r="S409">
        <f t="shared" si="20"/>
        <v>1.6512982437499999</v>
      </c>
    </row>
    <row r="410" spans="1:19">
      <c r="A410" s="7">
        <v>42444</v>
      </c>
      <c r="B410" s="8" t="s">
        <v>22</v>
      </c>
      <c r="C410">
        <v>7</v>
      </c>
      <c r="D410" s="8" t="s">
        <v>65</v>
      </c>
      <c r="E410">
        <v>77</v>
      </c>
      <c r="F410">
        <v>0.88</v>
      </c>
      <c r="G410">
        <v>5</v>
      </c>
      <c r="N410">
        <f t="shared" si="19"/>
        <v>15.61077014933333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2.7863427575926507</v>
      </c>
      <c r="P410">
        <f t="shared" si="21"/>
        <v>2.7863427575926507</v>
      </c>
      <c r="S410">
        <f t="shared" si="20"/>
        <v>0.60821182399999996</v>
      </c>
    </row>
    <row r="411" spans="1:19">
      <c r="A411" s="7">
        <v>42444</v>
      </c>
      <c r="B411" s="8" t="s">
        <v>22</v>
      </c>
      <c r="C411">
        <v>7</v>
      </c>
      <c r="D411" s="8" t="s">
        <v>65</v>
      </c>
      <c r="E411">
        <v>120</v>
      </c>
      <c r="F411">
        <v>1.22</v>
      </c>
      <c r="N411">
        <f t="shared" si="19"/>
        <v>46.75942555999999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3.8220029999999996</v>
      </c>
      <c r="P411">
        <f t="shared" si="21"/>
        <v>3.8220029999999996</v>
      </c>
      <c r="S411">
        <f t="shared" si="20"/>
        <v>1.168985639</v>
      </c>
    </row>
    <row r="412" spans="1:19">
      <c r="A412" s="7">
        <v>42444</v>
      </c>
      <c r="B412" s="8" t="s">
        <v>22</v>
      </c>
      <c r="C412">
        <v>7</v>
      </c>
      <c r="D412" s="8" t="s">
        <v>65</v>
      </c>
      <c r="E412">
        <v>132</v>
      </c>
      <c r="F412">
        <v>1.41</v>
      </c>
      <c r="N412">
        <f t="shared" si="19"/>
        <v>68.703745868999988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4.6632629999999997</v>
      </c>
      <c r="P412">
        <f t="shared" si="21"/>
        <v>4.6632629999999997</v>
      </c>
      <c r="S412">
        <f t="shared" si="20"/>
        <v>1.5614487697499997</v>
      </c>
    </row>
    <row r="413" spans="1:19">
      <c r="A413" s="7">
        <v>42444</v>
      </c>
      <c r="B413" s="8" t="s">
        <v>22</v>
      </c>
      <c r="C413">
        <v>7</v>
      </c>
      <c r="D413" s="8" t="s">
        <v>65</v>
      </c>
      <c r="E413">
        <v>53</v>
      </c>
      <c r="F413">
        <v>0.68</v>
      </c>
      <c r="G413">
        <v>3</v>
      </c>
      <c r="N413">
        <f t="shared" si="19"/>
        <v>6.4159645373333332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1.6681951387261627</v>
      </c>
      <c r="P413">
        <f t="shared" si="21"/>
        <v>1.6681951387261627</v>
      </c>
      <c r="S413">
        <f t="shared" si="20"/>
        <v>0.36316780400000004</v>
      </c>
    </row>
    <row r="414" spans="1:19">
      <c r="A414" s="7">
        <v>42444</v>
      </c>
      <c r="B414" s="8" t="s">
        <v>22</v>
      </c>
      <c r="C414">
        <v>7</v>
      </c>
      <c r="D414" s="8" t="s">
        <v>65</v>
      </c>
      <c r="E414">
        <v>90</v>
      </c>
      <c r="F414">
        <v>0.92</v>
      </c>
      <c r="N414">
        <f t="shared" si="19"/>
        <v>19.942813319999999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1.7188530000000002</v>
      </c>
      <c r="P414">
        <f t="shared" si="21"/>
        <v>1.7188530000000002</v>
      </c>
      <c r="S414">
        <f t="shared" si="20"/>
        <v>0.66476044400000001</v>
      </c>
    </row>
    <row r="415" spans="1:19">
      <c r="A415" s="7">
        <v>42444</v>
      </c>
      <c r="B415" s="8" t="s">
        <v>22</v>
      </c>
      <c r="C415">
        <v>7</v>
      </c>
      <c r="D415" s="8" t="s">
        <v>65</v>
      </c>
      <c r="E415">
        <v>100</v>
      </c>
      <c r="F415">
        <v>0.78</v>
      </c>
      <c r="N415">
        <f t="shared" si="19"/>
        <v>15.927861299999998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2.4199030000000006</v>
      </c>
      <c r="P415">
        <f t="shared" si="21"/>
        <v>2.4199030000000006</v>
      </c>
      <c r="S415">
        <f t="shared" si="20"/>
        <v>0.47783583900000004</v>
      </c>
    </row>
    <row r="416" spans="1:19">
      <c r="A416" s="7">
        <v>42444</v>
      </c>
      <c r="B416" s="8" t="s">
        <v>22</v>
      </c>
      <c r="C416">
        <v>7</v>
      </c>
      <c r="D416" s="8" t="s">
        <v>65</v>
      </c>
      <c r="E416">
        <v>15</v>
      </c>
      <c r="F416">
        <v>0.69</v>
      </c>
      <c r="N416">
        <f t="shared" si="19"/>
        <v>1.8696387487499995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-3.5390220000000001</v>
      </c>
      <c r="P416" t="str">
        <f t="shared" si="21"/>
        <v>0</v>
      </c>
      <c r="S416">
        <f t="shared" si="20"/>
        <v>0.37392774974999993</v>
      </c>
    </row>
    <row r="417" spans="1:19">
      <c r="A417" s="7">
        <v>42444</v>
      </c>
      <c r="B417" s="8" t="s">
        <v>22</v>
      </c>
      <c r="C417">
        <v>7</v>
      </c>
      <c r="D417" s="8" t="s">
        <v>65</v>
      </c>
      <c r="E417">
        <v>184</v>
      </c>
      <c r="F417">
        <v>1.1599999999999999</v>
      </c>
      <c r="N417">
        <f t="shared" si="19"/>
        <v>64.818960394666647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8.3087230000000005</v>
      </c>
      <c r="P417">
        <f t="shared" si="21"/>
        <v>8.3087230000000005</v>
      </c>
      <c r="S417">
        <f t="shared" si="20"/>
        <v>1.0568308759999998</v>
      </c>
    </row>
    <row r="418" spans="1:19">
      <c r="A418" s="7">
        <v>42444</v>
      </c>
      <c r="B418" s="8" t="s">
        <v>22</v>
      </c>
      <c r="C418">
        <v>7</v>
      </c>
      <c r="D418" s="8" t="s">
        <v>65</v>
      </c>
      <c r="E418">
        <v>150</v>
      </c>
      <c r="F418">
        <v>1.0900000000000001</v>
      </c>
      <c r="N418">
        <f t="shared" si="19"/>
        <v>46.656538487500008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5.9251530000000008</v>
      </c>
      <c r="P418">
        <f t="shared" si="21"/>
        <v>5.9251530000000008</v>
      </c>
      <c r="S418">
        <f t="shared" si="20"/>
        <v>0.93313076975000009</v>
      </c>
    </row>
    <row r="419" spans="1:19">
      <c r="A419" s="7">
        <v>42444</v>
      </c>
      <c r="B419" s="8" t="s">
        <v>22</v>
      </c>
      <c r="C419">
        <v>7</v>
      </c>
      <c r="D419" s="8" t="s">
        <v>65</v>
      </c>
      <c r="E419">
        <v>67</v>
      </c>
      <c r="F419">
        <v>0.95</v>
      </c>
      <c r="G419">
        <v>3</v>
      </c>
      <c r="N419">
        <f t="shared" si="19"/>
        <v>15.830341110416665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2.5540702932021708</v>
      </c>
      <c r="P419">
        <f t="shared" si="21"/>
        <v>2.5540702932021708</v>
      </c>
      <c r="S419">
        <f t="shared" si="20"/>
        <v>0.70882124375</v>
      </c>
    </row>
    <row r="420" spans="1:19">
      <c r="A420" s="7">
        <v>42444</v>
      </c>
      <c r="B420" s="8" t="s">
        <v>22</v>
      </c>
      <c r="C420">
        <v>7</v>
      </c>
      <c r="D420" s="8" t="s">
        <v>65</v>
      </c>
      <c r="E420">
        <v>70</v>
      </c>
      <c r="F420">
        <v>1.03</v>
      </c>
      <c r="N420">
        <f t="shared" si="19"/>
        <v>19.441991514166666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0.31675300000000028</v>
      </c>
      <c r="P420">
        <f t="shared" si="21"/>
        <v>0.31675300000000028</v>
      </c>
      <c r="S420">
        <f t="shared" si="20"/>
        <v>0.83322820774999995</v>
      </c>
    </row>
    <row r="421" spans="1:19">
      <c r="A421" s="7">
        <v>42444</v>
      </c>
      <c r="B421" s="8" t="s">
        <v>22</v>
      </c>
      <c r="C421">
        <v>7</v>
      </c>
      <c r="D421" s="8" t="s">
        <v>65</v>
      </c>
      <c r="E421">
        <v>73</v>
      </c>
      <c r="F421">
        <v>0.7</v>
      </c>
      <c r="G421">
        <v>8</v>
      </c>
      <c r="N421">
        <f t="shared" si="19"/>
        <v>9.3645561916666651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2.3281242137981835</v>
      </c>
      <c r="P421">
        <f t="shared" si="21"/>
        <v>2.3281242137981835</v>
      </c>
      <c r="S421">
        <f t="shared" si="20"/>
        <v>0.38484477499999992</v>
      </c>
    </row>
    <row r="422" spans="1:19">
      <c r="A422" s="7">
        <v>42444</v>
      </c>
      <c r="B422" s="8" t="s">
        <v>22</v>
      </c>
      <c r="C422">
        <v>7</v>
      </c>
      <c r="D422" s="8" t="s">
        <v>65</v>
      </c>
      <c r="E422">
        <v>89</v>
      </c>
      <c r="F422">
        <v>0.82</v>
      </c>
      <c r="N422">
        <f t="shared" si="19"/>
        <v>15.667004610333329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1.6487480000000003</v>
      </c>
      <c r="P422">
        <f t="shared" si="21"/>
        <v>1.6487480000000003</v>
      </c>
      <c r="S422">
        <f t="shared" si="20"/>
        <v>0.52810127899999992</v>
      </c>
    </row>
    <row r="423" spans="1:19">
      <c r="A423" s="7">
        <v>42444</v>
      </c>
      <c r="B423" s="8" t="s">
        <v>22</v>
      </c>
      <c r="C423">
        <v>7</v>
      </c>
      <c r="D423" s="8" t="s">
        <v>65</v>
      </c>
      <c r="E423">
        <v>103</v>
      </c>
      <c r="F423">
        <v>1.38</v>
      </c>
      <c r="N423">
        <f t="shared" si="19"/>
        <v>51.352744298999987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2.6302180000000002</v>
      </c>
      <c r="P423">
        <f t="shared" si="21"/>
        <v>2.6302180000000002</v>
      </c>
      <c r="S423">
        <f t="shared" si="20"/>
        <v>1.4957109989999997</v>
      </c>
    </row>
    <row r="424" spans="1:19">
      <c r="A424" s="7">
        <v>42444</v>
      </c>
      <c r="B424" s="8" t="s">
        <v>22</v>
      </c>
      <c r="C424">
        <v>7</v>
      </c>
      <c r="D424" s="8" t="s">
        <v>65</v>
      </c>
      <c r="E424">
        <v>157</v>
      </c>
      <c r="F424">
        <v>1.59</v>
      </c>
      <c r="N424">
        <f t="shared" si="19"/>
        <v>103.91115230025001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6.4158879999999998</v>
      </c>
      <c r="P424">
        <f t="shared" si="21"/>
        <v>6.4158879999999998</v>
      </c>
      <c r="S424">
        <f t="shared" si="20"/>
        <v>1.9855634197500001</v>
      </c>
    </row>
    <row r="425" spans="1:19">
      <c r="A425" s="7">
        <v>42444</v>
      </c>
      <c r="B425" s="8" t="s">
        <v>22</v>
      </c>
      <c r="C425">
        <v>7</v>
      </c>
      <c r="D425" s="8" t="s">
        <v>65</v>
      </c>
      <c r="E425">
        <v>85</v>
      </c>
      <c r="F425">
        <v>0.71</v>
      </c>
      <c r="G425">
        <v>6</v>
      </c>
      <c r="N425">
        <f t="shared" si="19"/>
        <v>11.217701592916667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2.7289257216698757</v>
      </c>
      <c r="P425">
        <f t="shared" si="21"/>
        <v>2.7289257216698757</v>
      </c>
      <c r="S425">
        <f t="shared" si="20"/>
        <v>0.39591887974999995</v>
      </c>
    </row>
    <row r="426" spans="1:19">
      <c r="A426" s="7">
        <v>42444</v>
      </c>
      <c r="B426" s="8" t="s">
        <v>22</v>
      </c>
      <c r="C426">
        <v>7</v>
      </c>
      <c r="D426" s="8" t="s">
        <v>65</v>
      </c>
      <c r="E426">
        <v>82</v>
      </c>
      <c r="F426">
        <v>0.72</v>
      </c>
      <c r="G426">
        <v>18</v>
      </c>
      <c r="N426">
        <f t="shared" si="19"/>
        <v>11.128768415999998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2.6503157896243836</v>
      </c>
      <c r="P426">
        <f t="shared" si="21"/>
        <v>2.6503157896243836</v>
      </c>
      <c r="S426">
        <f t="shared" si="20"/>
        <v>0.40715006399999998</v>
      </c>
    </row>
    <row r="427" spans="1:19">
      <c r="A427" s="7">
        <v>42444</v>
      </c>
      <c r="B427" s="8" t="s">
        <v>22</v>
      </c>
      <c r="C427">
        <v>7</v>
      </c>
      <c r="D427" s="8" t="s">
        <v>65</v>
      </c>
      <c r="E427">
        <v>120</v>
      </c>
      <c r="F427">
        <v>1.77</v>
      </c>
      <c r="N427">
        <f t="shared" si="19"/>
        <v>98.422873109999998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3.8220029999999996</v>
      </c>
      <c r="P427">
        <f t="shared" si="21"/>
        <v>3.8220029999999996</v>
      </c>
      <c r="S427">
        <f t="shared" si="20"/>
        <v>2.4605718277499999</v>
      </c>
    </row>
    <row r="428" spans="1:19">
      <c r="A428" s="7">
        <v>42444</v>
      </c>
      <c r="B428" s="8" t="s">
        <v>22</v>
      </c>
      <c r="C428">
        <v>7</v>
      </c>
      <c r="D428" s="8" t="s">
        <v>65</v>
      </c>
      <c r="E428">
        <v>76</v>
      </c>
      <c r="F428">
        <v>0.6</v>
      </c>
      <c r="G428">
        <v>2</v>
      </c>
      <c r="N428">
        <f t="shared" si="19"/>
        <v>7.1628251999999994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2.2746223805848</v>
      </c>
      <c r="P428">
        <f t="shared" si="21"/>
        <v>2.2746223805848</v>
      </c>
      <c r="S428">
        <f t="shared" si="20"/>
        <v>0.28274309999999997</v>
      </c>
    </row>
    <row r="429" spans="1:19">
      <c r="A429" s="7">
        <v>42444</v>
      </c>
      <c r="B429" s="8" t="s">
        <v>22</v>
      </c>
      <c r="C429">
        <v>7</v>
      </c>
      <c r="D429" s="8" t="s">
        <v>65</v>
      </c>
      <c r="E429">
        <v>136</v>
      </c>
      <c r="F429">
        <v>1.43</v>
      </c>
      <c r="N429">
        <f t="shared" si="19"/>
        <v>72.808023764666657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4.9436830000000009</v>
      </c>
      <c r="P429">
        <f t="shared" si="21"/>
        <v>4.9436830000000009</v>
      </c>
      <c r="S429">
        <f t="shared" si="20"/>
        <v>1.6060593477499998</v>
      </c>
    </row>
    <row r="430" spans="1:19">
      <c r="A430" s="7">
        <v>42444</v>
      </c>
      <c r="B430" s="8" t="s">
        <v>22</v>
      </c>
      <c r="C430">
        <v>7</v>
      </c>
      <c r="D430" s="8" t="s">
        <v>65</v>
      </c>
      <c r="E430">
        <v>205</v>
      </c>
      <c r="F430">
        <v>2.0099999999999998</v>
      </c>
      <c r="N430">
        <f t="shared" si="19"/>
        <v>216.82743671624993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9.7809279999999994</v>
      </c>
      <c r="P430">
        <f t="shared" si="21"/>
        <v>9.7809279999999994</v>
      </c>
      <c r="S430">
        <f t="shared" si="20"/>
        <v>3.1730844397499989</v>
      </c>
    </row>
    <row r="431" spans="1:19">
      <c r="A431" s="7">
        <v>42444</v>
      </c>
      <c r="B431" s="8" t="s">
        <v>22</v>
      </c>
      <c r="C431">
        <v>7</v>
      </c>
      <c r="D431" s="8" t="s">
        <v>65</v>
      </c>
      <c r="E431">
        <v>43</v>
      </c>
      <c r="F431">
        <v>0.86</v>
      </c>
      <c r="N431">
        <f t="shared" si="19"/>
        <v>8.325946537666665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-1.576082</v>
      </c>
      <c r="P431" t="str">
        <f t="shared" si="21"/>
        <v>0</v>
      </c>
      <c r="S431">
        <f t="shared" si="20"/>
        <v>0.58087999099999987</v>
      </c>
    </row>
    <row r="432" spans="1:19">
      <c r="A432" s="7">
        <v>42444</v>
      </c>
      <c r="B432" s="8" t="s">
        <v>22</v>
      </c>
      <c r="C432">
        <v>7</v>
      </c>
      <c r="D432" s="8" t="s">
        <v>65</v>
      </c>
      <c r="E432">
        <v>24</v>
      </c>
      <c r="F432">
        <v>0.51</v>
      </c>
      <c r="N432">
        <f t="shared" si="19"/>
        <v>1.6342551179999996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-2.9080769999999996</v>
      </c>
      <c r="P432" t="str">
        <f t="shared" si="21"/>
        <v>0</v>
      </c>
      <c r="S432">
        <f t="shared" si="20"/>
        <v>0.20428188975</v>
      </c>
    </row>
    <row r="433" spans="1:19">
      <c r="A433" s="7">
        <v>42444</v>
      </c>
      <c r="B433" s="8" t="s">
        <v>22</v>
      </c>
      <c r="C433">
        <v>7</v>
      </c>
      <c r="D433" s="8" t="s">
        <v>65</v>
      </c>
      <c r="E433">
        <v>34</v>
      </c>
      <c r="F433">
        <v>0.74</v>
      </c>
      <c r="N433">
        <f t="shared" si="19"/>
        <v>4.8742816046666659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-2.2070269999999996</v>
      </c>
      <c r="P433" t="str">
        <f t="shared" si="21"/>
        <v>0</v>
      </c>
      <c r="S433">
        <f t="shared" si="20"/>
        <v>0.43008367099999995</v>
      </c>
    </row>
    <row r="434" spans="1:19">
      <c r="A434" s="7">
        <v>42444</v>
      </c>
      <c r="B434" s="8" t="s">
        <v>22</v>
      </c>
      <c r="C434">
        <v>7</v>
      </c>
      <c r="D434" s="8" t="s">
        <v>65</v>
      </c>
      <c r="E434">
        <v>210</v>
      </c>
      <c r="F434">
        <v>1.97</v>
      </c>
      <c r="N434">
        <f t="shared" si="19"/>
        <v>213.3634410425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10.131453</v>
      </c>
      <c r="P434">
        <f t="shared" si="21"/>
        <v>10.131453</v>
      </c>
      <c r="S434">
        <f t="shared" si="20"/>
        <v>3.04804915775</v>
      </c>
    </row>
    <row r="435" spans="1:19">
      <c r="A435" s="7">
        <v>42444</v>
      </c>
      <c r="B435" s="8" t="s">
        <v>22</v>
      </c>
      <c r="C435">
        <v>7</v>
      </c>
      <c r="D435" s="8" t="s">
        <v>65</v>
      </c>
      <c r="E435">
        <v>65</v>
      </c>
      <c r="F435">
        <v>0.46</v>
      </c>
      <c r="G435">
        <v>1</v>
      </c>
      <c r="N435">
        <f t="shared" si="19"/>
        <v>3.6007857383333333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1.7997557166726368</v>
      </c>
      <c r="P435">
        <f t="shared" si="21"/>
        <v>1.7997557166726368</v>
      </c>
      <c r="S435">
        <f t="shared" si="20"/>
        <v>0.166190111</v>
      </c>
    </row>
    <row r="436" spans="1:19">
      <c r="A436" s="7">
        <v>42444</v>
      </c>
      <c r="B436" s="8" t="s">
        <v>22</v>
      </c>
      <c r="C436">
        <v>7</v>
      </c>
      <c r="D436" s="8" t="s">
        <v>65</v>
      </c>
      <c r="E436">
        <v>202</v>
      </c>
      <c r="F436">
        <v>1.72</v>
      </c>
      <c r="N436">
        <f t="shared" si="19"/>
        <v>156.45034424266663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9.5706130000000016</v>
      </c>
      <c r="P436">
        <f t="shared" si="21"/>
        <v>9.5706130000000016</v>
      </c>
      <c r="S436">
        <f t="shared" si="20"/>
        <v>2.3235199639999995</v>
      </c>
    </row>
    <row r="437" spans="1:19">
      <c r="A437" s="7">
        <v>42444</v>
      </c>
      <c r="B437" s="8" t="s">
        <v>22</v>
      </c>
      <c r="C437">
        <v>7</v>
      </c>
      <c r="D437" s="8" t="s">
        <v>65</v>
      </c>
      <c r="E437">
        <v>167</v>
      </c>
      <c r="F437">
        <v>1.04</v>
      </c>
      <c r="N437">
        <f t="shared" si="19"/>
        <v>47.288050437333332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7.1169380000000002</v>
      </c>
      <c r="P437">
        <f t="shared" si="21"/>
        <v>7.1169380000000002</v>
      </c>
      <c r="S437">
        <f t="shared" si="20"/>
        <v>0.84948593600000011</v>
      </c>
    </row>
    <row r="438" spans="1:19">
      <c r="A438" s="7">
        <v>42444</v>
      </c>
      <c r="B438" s="8" t="s">
        <v>22</v>
      </c>
      <c r="C438">
        <v>7</v>
      </c>
      <c r="D438" s="8" t="s">
        <v>65</v>
      </c>
      <c r="E438">
        <v>176</v>
      </c>
      <c r="F438">
        <v>1.23</v>
      </c>
      <c r="N438">
        <f t="shared" si="19"/>
        <v>69.709368827999995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7.7478830000000007</v>
      </c>
      <c r="P438">
        <f t="shared" si="21"/>
        <v>7.7478830000000007</v>
      </c>
      <c r="S438">
        <f t="shared" si="20"/>
        <v>1.1882278777499999</v>
      </c>
    </row>
    <row r="439" spans="1:19">
      <c r="A439" s="7">
        <v>42444</v>
      </c>
      <c r="B439" s="8" t="s">
        <v>22</v>
      </c>
      <c r="C439">
        <v>7</v>
      </c>
      <c r="D439" s="8" t="s">
        <v>65</v>
      </c>
      <c r="E439">
        <v>185</v>
      </c>
      <c r="F439">
        <v>1.36</v>
      </c>
      <c r="G439">
        <v>8</v>
      </c>
      <c r="N439">
        <f t="shared" si="19"/>
        <v>89.581391653333341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9.6978331822143478</v>
      </c>
      <c r="P439">
        <f t="shared" si="21"/>
        <v>9.6978331822143478</v>
      </c>
      <c r="S439">
        <f t="shared" si="20"/>
        <v>1.4526712160000002</v>
      </c>
    </row>
    <row r="440" spans="1:19">
      <c r="A440" s="7">
        <v>42444</v>
      </c>
      <c r="B440" s="8" t="s">
        <v>22</v>
      </c>
      <c r="C440">
        <v>7</v>
      </c>
      <c r="D440" s="8" t="s">
        <v>65</v>
      </c>
      <c r="E440">
        <v>25</v>
      </c>
      <c r="F440">
        <v>0.53</v>
      </c>
      <c r="N440">
        <f t="shared" si="19"/>
        <v>1.8384846479166668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-2.8379719999999997</v>
      </c>
      <c r="P440" t="str">
        <f t="shared" si="21"/>
        <v>0</v>
      </c>
      <c r="S440">
        <f t="shared" si="20"/>
        <v>0.22061815775000002</v>
      </c>
    </row>
    <row r="441" spans="1:19">
      <c r="A441" s="7">
        <v>42444</v>
      </c>
      <c r="B441" s="8" t="s">
        <v>22</v>
      </c>
      <c r="C441">
        <v>7</v>
      </c>
      <c r="D441" s="8" t="s">
        <v>65</v>
      </c>
      <c r="E441">
        <v>47</v>
      </c>
      <c r="F441">
        <v>0.61</v>
      </c>
      <c r="G441">
        <v>1</v>
      </c>
      <c r="N441">
        <f t="shared" si="19"/>
        <v>4.5785270860833327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1.4152611711627701</v>
      </c>
      <c r="P441">
        <f t="shared" si="21"/>
        <v>1.4152611711627701</v>
      </c>
      <c r="S441">
        <f t="shared" si="20"/>
        <v>0.29224640974999999</v>
      </c>
    </row>
    <row r="442" spans="1:19">
      <c r="A442" s="7">
        <v>42444</v>
      </c>
      <c r="B442" s="8" t="s">
        <v>22</v>
      </c>
      <c r="C442">
        <v>7</v>
      </c>
      <c r="D442" s="8" t="s">
        <v>65</v>
      </c>
      <c r="E442">
        <v>28</v>
      </c>
      <c r="F442">
        <v>0.42</v>
      </c>
      <c r="N442">
        <f t="shared" si="19"/>
        <v>1.2930784439999998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-2.6276569999999997</v>
      </c>
      <c r="P442" t="str">
        <f t="shared" si="21"/>
        <v>0</v>
      </c>
      <c r="S442">
        <f t="shared" si="20"/>
        <v>0.13854411899999997</v>
      </c>
    </row>
    <row r="443" spans="1:19">
      <c r="A443" s="7">
        <v>42444</v>
      </c>
      <c r="B443" s="8" t="s">
        <v>22</v>
      </c>
      <c r="C443">
        <v>7</v>
      </c>
      <c r="D443" s="8" t="s">
        <v>65</v>
      </c>
      <c r="E443">
        <v>88</v>
      </c>
      <c r="F443">
        <v>1.45</v>
      </c>
      <c r="G443">
        <v>9</v>
      </c>
      <c r="N443">
        <f t="shared" si="19"/>
        <v>48.438081816666667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4.9490547306944332</v>
      </c>
      <c r="P443">
        <f t="shared" si="21"/>
        <v>4.9490547306944332</v>
      </c>
      <c r="S443">
        <f t="shared" si="20"/>
        <v>1.6512982437499999</v>
      </c>
    </row>
    <row r="444" spans="1:19">
      <c r="A444" s="7">
        <v>42444</v>
      </c>
      <c r="B444" s="8" t="s">
        <v>22</v>
      </c>
      <c r="C444">
        <v>7</v>
      </c>
      <c r="D444" s="8" t="s">
        <v>65</v>
      </c>
      <c r="E444">
        <v>219</v>
      </c>
      <c r="F444">
        <v>1.49</v>
      </c>
      <c r="N444">
        <f t="shared" si="19"/>
        <v>127.28725225174999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10.762398000000001</v>
      </c>
      <c r="P444">
        <f t="shared" si="21"/>
        <v>10.762398000000001</v>
      </c>
      <c r="S444">
        <f t="shared" si="20"/>
        <v>1.7436609897499999</v>
      </c>
    </row>
    <row r="445" spans="1:19">
      <c r="A445" s="7">
        <v>42444</v>
      </c>
      <c r="B445" s="8" t="s">
        <v>22</v>
      </c>
      <c r="C445">
        <v>7</v>
      </c>
      <c r="D445" s="8" t="s">
        <v>65</v>
      </c>
      <c r="E445">
        <v>163</v>
      </c>
      <c r="F445">
        <v>1.18</v>
      </c>
      <c r="N445">
        <f t="shared" si="19"/>
        <v>59.418253025666658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6.8365180000000008</v>
      </c>
      <c r="P445">
        <f t="shared" si="21"/>
        <v>6.8365180000000008</v>
      </c>
      <c r="S445">
        <f t="shared" si="20"/>
        <v>1.0935874789999998</v>
      </c>
    </row>
    <row r="446" spans="1:19">
      <c r="A446" s="7">
        <v>42444</v>
      </c>
      <c r="B446" s="8" t="s">
        <v>22</v>
      </c>
      <c r="C446">
        <v>7</v>
      </c>
      <c r="D446" s="8" t="s">
        <v>65</v>
      </c>
      <c r="E446">
        <v>40</v>
      </c>
      <c r="F446">
        <v>0.71</v>
      </c>
      <c r="N446">
        <f t="shared" si="19"/>
        <v>5.2789183966666666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-1.786397</v>
      </c>
      <c r="P446" t="str">
        <f t="shared" si="21"/>
        <v>0</v>
      </c>
      <c r="S446">
        <f t="shared" si="20"/>
        <v>0.39591887974999995</v>
      </c>
    </row>
    <row r="447" spans="1:19">
      <c r="A447" s="7">
        <v>42444</v>
      </c>
      <c r="B447" s="8" t="s">
        <v>22</v>
      </c>
      <c r="C447">
        <v>7</v>
      </c>
      <c r="D447" s="8" t="s">
        <v>65</v>
      </c>
      <c r="E447">
        <v>50</v>
      </c>
      <c r="F447">
        <v>0.66</v>
      </c>
      <c r="G447">
        <v>1</v>
      </c>
      <c r="N447">
        <f t="shared" si="19"/>
        <v>5.7019858499999998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1.5535363319129001</v>
      </c>
      <c r="P447">
        <f t="shared" si="21"/>
        <v>1.5535363319129001</v>
      </c>
      <c r="S447">
        <f t="shared" si="20"/>
        <v>0.34211915100000001</v>
      </c>
    </row>
    <row r="448" spans="1:19">
      <c r="A448" s="7">
        <v>42444</v>
      </c>
      <c r="B448" s="8" t="s">
        <v>22</v>
      </c>
      <c r="C448">
        <v>7</v>
      </c>
      <c r="D448" s="8" t="s">
        <v>65</v>
      </c>
      <c r="E448">
        <v>137</v>
      </c>
      <c r="F448">
        <v>1.44</v>
      </c>
      <c r="N448">
        <f t="shared" si="19"/>
        <v>74.372745023999983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5.0137880000000008</v>
      </c>
      <c r="P448">
        <f t="shared" si="21"/>
        <v>5.0137880000000008</v>
      </c>
      <c r="S448">
        <f t="shared" si="20"/>
        <v>1.6286002559999999</v>
      </c>
    </row>
    <row r="449" spans="1:19">
      <c r="A449" s="7">
        <v>42444</v>
      </c>
      <c r="B449" s="8" t="s">
        <v>22</v>
      </c>
      <c r="C449">
        <v>7</v>
      </c>
      <c r="D449" s="8" t="s">
        <v>65</v>
      </c>
      <c r="E449">
        <v>205</v>
      </c>
      <c r="F449">
        <v>1.38</v>
      </c>
      <c r="N449">
        <f t="shared" si="19"/>
        <v>102.20691826499997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9.7809279999999994</v>
      </c>
      <c r="P449">
        <f t="shared" si="21"/>
        <v>9.7809279999999994</v>
      </c>
      <c r="S449">
        <f t="shared" si="20"/>
        <v>1.4957109989999997</v>
      </c>
    </row>
    <row r="450" spans="1:19">
      <c r="A450" s="7">
        <v>42444</v>
      </c>
      <c r="B450" s="8" t="s">
        <v>22</v>
      </c>
      <c r="C450">
        <v>7</v>
      </c>
      <c r="D450" s="8" t="s">
        <v>65</v>
      </c>
      <c r="E450">
        <v>166</v>
      </c>
      <c r="F450">
        <v>1.38</v>
      </c>
      <c r="N450">
        <f t="shared" si="19"/>
        <v>82.762675277999975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7.0468330000000003</v>
      </c>
      <c r="P450">
        <f t="shared" si="21"/>
        <v>7.0468330000000003</v>
      </c>
      <c r="S450">
        <f t="shared" si="20"/>
        <v>1.4957109989999997</v>
      </c>
    </row>
    <row r="451" spans="1:19">
      <c r="A451" s="7">
        <v>42444</v>
      </c>
      <c r="B451" s="8" t="s">
        <v>22</v>
      </c>
      <c r="C451">
        <v>7</v>
      </c>
      <c r="D451" s="8" t="s">
        <v>65</v>
      </c>
      <c r="E451">
        <v>195</v>
      </c>
      <c r="F451">
        <v>1.61</v>
      </c>
      <c r="N451">
        <f t="shared" si="19"/>
        <v>132.32887588375002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9.0798780000000008</v>
      </c>
      <c r="P451">
        <f t="shared" si="21"/>
        <v>9.0798780000000008</v>
      </c>
      <c r="S451">
        <f t="shared" si="20"/>
        <v>2.0358288597500001</v>
      </c>
    </row>
    <row r="452" spans="1:19">
      <c r="A452" s="7">
        <v>42444</v>
      </c>
      <c r="B452" s="8" t="s">
        <v>22</v>
      </c>
      <c r="C452">
        <v>7</v>
      </c>
      <c r="D452" s="8" t="s">
        <v>65</v>
      </c>
      <c r="E452">
        <v>128</v>
      </c>
      <c r="F452">
        <v>1.1100000000000001</v>
      </c>
      <c r="N452">
        <f t="shared" ref="N452:N515" si="22">IF(OR(D452="S. acutus", D452="S. tabernaemontani", D452="S. californicus"),(1/3)*(3.14159)*((F452/2)^2)*E452,"NA")</f>
        <v>41.288032416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4.3828430000000003</v>
      </c>
      <c r="P452">
        <f t="shared" si="21"/>
        <v>4.3828430000000003</v>
      </c>
      <c r="S452">
        <f t="shared" si="20"/>
        <v>0.96768825975000017</v>
      </c>
    </row>
    <row r="453" spans="1:19">
      <c r="A453" s="7">
        <v>42444</v>
      </c>
      <c r="B453" s="8" t="s">
        <v>22</v>
      </c>
      <c r="C453">
        <v>7</v>
      </c>
      <c r="D453" s="8" t="s">
        <v>65</v>
      </c>
      <c r="E453">
        <v>163</v>
      </c>
      <c r="F453">
        <v>1.31</v>
      </c>
      <c r="N453">
        <f t="shared" si="22"/>
        <v>73.231588636416674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6.8365180000000008</v>
      </c>
      <c r="P453">
        <f t="shared" si="21"/>
        <v>6.8365180000000008</v>
      </c>
      <c r="S453">
        <f t="shared" ref="S453:S516" si="23">3.14159*((F453/2)^2)</f>
        <v>1.34782064975</v>
      </c>
    </row>
    <row r="454" spans="1:19">
      <c r="A454" s="7">
        <v>42444</v>
      </c>
      <c r="B454" s="8" t="s">
        <v>22</v>
      </c>
      <c r="C454">
        <v>7</v>
      </c>
      <c r="D454" s="8" t="s">
        <v>65</v>
      </c>
      <c r="E454">
        <v>103</v>
      </c>
      <c r="F454">
        <v>0.92</v>
      </c>
      <c r="N454">
        <f t="shared" si="22"/>
        <v>22.823441910666666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2.6302180000000002</v>
      </c>
      <c r="P454">
        <f t="shared" si="21"/>
        <v>2.6302180000000002</v>
      </c>
      <c r="S454">
        <f t="shared" si="23"/>
        <v>0.66476044400000001</v>
      </c>
    </row>
    <row r="455" spans="1:19">
      <c r="A455" s="7">
        <v>42444</v>
      </c>
      <c r="B455" s="8" t="s">
        <v>22</v>
      </c>
      <c r="C455">
        <v>7</v>
      </c>
      <c r="D455" s="8" t="s">
        <v>65</v>
      </c>
      <c r="E455">
        <v>52</v>
      </c>
      <c r="F455">
        <v>0.68</v>
      </c>
      <c r="G455">
        <v>8</v>
      </c>
      <c r="N455">
        <f t="shared" si="22"/>
        <v>6.2949086026666672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1.6367197587501974</v>
      </c>
      <c r="P455">
        <f t="shared" si="21"/>
        <v>1.6367197587501974</v>
      </c>
      <c r="S455">
        <f t="shared" si="23"/>
        <v>0.36316780400000004</v>
      </c>
    </row>
    <row r="456" spans="1:19">
      <c r="A456" s="7">
        <v>42444</v>
      </c>
      <c r="B456" s="8" t="s">
        <v>22</v>
      </c>
      <c r="C456">
        <v>7</v>
      </c>
      <c r="D456" s="8" t="s">
        <v>65</v>
      </c>
      <c r="E456">
        <v>79</v>
      </c>
      <c r="F456">
        <v>0.88</v>
      </c>
      <c r="G456">
        <v>15</v>
      </c>
      <c r="N456">
        <f t="shared" si="22"/>
        <v>16.016244698666664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2.8587152967509013</v>
      </c>
      <c r="P456">
        <f t="shared" si="21"/>
        <v>2.8587152967509013</v>
      </c>
      <c r="S456">
        <f t="shared" si="23"/>
        <v>0.60821182399999996</v>
      </c>
    </row>
    <row r="457" spans="1:19">
      <c r="A457" s="7">
        <v>42444</v>
      </c>
      <c r="B457" s="8" t="s">
        <v>22</v>
      </c>
      <c r="C457">
        <v>7</v>
      </c>
      <c r="D457" s="8" t="s">
        <v>65</v>
      </c>
      <c r="E457">
        <v>69</v>
      </c>
      <c r="F457">
        <v>0.98</v>
      </c>
      <c r="N457">
        <f t="shared" si="22"/>
        <v>17.348802456999998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0.24664800000000042</v>
      </c>
      <c r="P457">
        <f t="shared" ref="P457:P520" si="24">IF(O457&lt;0,"0",O457)</f>
        <v>0.24664800000000042</v>
      </c>
      <c r="S457">
        <f t="shared" si="23"/>
        <v>0.7542957589999999</v>
      </c>
    </row>
    <row r="458" spans="1:19">
      <c r="A458" s="7">
        <v>42444</v>
      </c>
      <c r="B458" s="8" t="s">
        <v>22</v>
      </c>
      <c r="C458">
        <v>7</v>
      </c>
      <c r="D458" s="8" t="s">
        <v>65</v>
      </c>
      <c r="E458">
        <v>124</v>
      </c>
      <c r="F458">
        <v>1.1100000000000001</v>
      </c>
      <c r="N458">
        <f t="shared" si="22"/>
        <v>39.997781402999998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4.1024230000000008</v>
      </c>
      <c r="P458">
        <f t="shared" si="24"/>
        <v>4.1024230000000008</v>
      </c>
      <c r="S458">
        <f t="shared" si="23"/>
        <v>0.96768825975000017</v>
      </c>
    </row>
    <row r="459" spans="1:19">
      <c r="A459" s="7">
        <v>42444</v>
      </c>
      <c r="B459" s="8" t="s">
        <v>22</v>
      </c>
      <c r="C459">
        <v>7</v>
      </c>
      <c r="D459" s="8" t="s">
        <v>65</v>
      </c>
      <c r="E459">
        <v>111</v>
      </c>
      <c r="F459">
        <v>1.23</v>
      </c>
      <c r="G459">
        <v>24</v>
      </c>
      <c r="N459">
        <f t="shared" si="22"/>
        <v>43.964431476749994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5.2543942209900791</v>
      </c>
      <c r="P459">
        <f t="shared" si="24"/>
        <v>5.2543942209900791</v>
      </c>
      <c r="S459">
        <f t="shared" si="23"/>
        <v>1.1882278777499999</v>
      </c>
    </row>
    <row r="460" spans="1:19">
      <c r="A460" s="7">
        <v>42444</v>
      </c>
      <c r="B460" s="8" t="s">
        <v>22</v>
      </c>
      <c r="C460">
        <v>7</v>
      </c>
      <c r="D460" s="8" t="s">
        <v>65</v>
      </c>
      <c r="E460">
        <v>73</v>
      </c>
      <c r="F460">
        <v>0.68</v>
      </c>
      <c r="G460">
        <v>8</v>
      </c>
      <c r="N460">
        <f t="shared" si="22"/>
        <v>8.8370832306666678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2.2977027382454693</v>
      </c>
      <c r="P460">
        <f t="shared" si="24"/>
        <v>2.2977027382454693</v>
      </c>
      <c r="S460">
        <f t="shared" si="23"/>
        <v>0.36316780400000004</v>
      </c>
    </row>
    <row r="461" spans="1:19">
      <c r="A461" s="7">
        <v>42444</v>
      </c>
      <c r="B461" s="8" t="s">
        <v>22</v>
      </c>
      <c r="C461">
        <v>7</v>
      </c>
      <c r="D461" s="8" t="s">
        <v>65</v>
      </c>
      <c r="E461">
        <v>192</v>
      </c>
      <c r="F461">
        <v>1.5</v>
      </c>
      <c r="N461">
        <f t="shared" si="22"/>
        <v>113.09723999999999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8.8695629999999994</v>
      </c>
      <c r="P461">
        <f t="shared" si="24"/>
        <v>8.8695629999999994</v>
      </c>
      <c r="S461">
        <f t="shared" si="23"/>
        <v>1.767144375</v>
      </c>
    </row>
    <row r="462" spans="1:19">
      <c r="A462" s="7">
        <v>42444</v>
      </c>
      <c r="B462" s="8" t="s">
        <v>22</v>
      </c>
      <c r="C462">
        <v>7</v>
      </c>
      <c r="D462" s="8" t="s">
        <v>65</v>
      </c>
      <c r="E462">
        <v>45</v>
      </c>
      <c r="F462">
        <v>0.86</v>
      </c>
      <c r="G462">
        <v>6</v>
      </c>
      <c r="N462">
        <f t="shared" si="22"/>
        <v>8.7131998649999982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1.60473708901401</v>
      </c>
      <c r="P462">
        <f t="shared" si="24"/>
        <v>1.60473708901401</v>
      </c>
      <c r="S462">
        <f t="shared" si="23"/>
        <v>0.58087999099999987</v>
      </c>
    </row>
    <row r="463" spans="1:19">
      <c r="A463" s="7">
        <v>42444</v>
      </c>
      <c r="B463" s="8" t="s">
        <v>22</v>
      </c>
      <c r="C463">
        <v>7</v>
      </c>
      <c r="D463" s="8" t="s">
        <v>65</v>
      </c>
      <c r="E463">
        <v>200</v>
      </c>
      <c r="F463">
        <v>1.55</v>
      </c>
      <c r="N463">
        <f t="shared" si="22"/>
        <v>125.79449958333333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9.4304030000000019</v>
      </c>
      <c r="P463">
        <f t="shared" si="24"/>
        <v>9.4304030000000019</v>
      </c>
      <c r="S463">
        <f t="shared" si="23"/>
        <v>1.8869174937500002</v>
      </c>
    </row>
    <row r="464" spans="1:19">
      <c r="A464" s="7">
        <v>42444</v>
      </c>
      <c r="B464" s="8" t="s">
        <v>22</v>
      </c>
      <c r="C464">
        <v>7</v>
      </c>
      <c r="D464" s="8" t="s">
        <v>65</v>
      </c>
      <c r="E464">
        <v>157</v>
      </c>
      <c r="F464">
        <v>1.47</v>
      </c>
      <c r="N464">
        <f t="shared" si="22"/>
        <v>88.818325622249986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6.4158879999999998</v>
      </c>
      <c r="P464">
        <f t="shared" si="24"/>
        <v>6.4158879999999998</v>
      </c>
      <c r="S464">
        <f t="shared" si="23"/>
        <v>1.6971654577499997</v>
      </c>
    </row>
    <row r="465" spans="1:19">
      <c r="A465" s="7">
        <v>42444</v>
      </c>
      <c r="B465" s="8" t="s">
        <v>22</v>
      </c>
      <c r="C465">
        <v>7</v>
      </c>
      <c r="D465" s="8" t="s">
        <v>65</v>
      </c>
      <c r="E465">
        <v>122</v>
      </c>
      <c r="F465">
        <v>1.1200000000000001</v>
      </c>
      <c r="G465">
        <v>21</v>
      </c>
      <c r="N465">
        <f t="shared" si="22"/>
        <v>40.064906709333336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5.2989226295540917</v>
      </c>
      <c r="P465">
        <f t="shared" si="24"/>
        <v>5.2989226295540917</v>
      </c>
      <c r="S465">
        <f t="shared" si="23"/>
        <v>0.98520262400000014</v>
      </c>
    </row>
    <row r="466" spans="1:19">
      <c r="A466" s="7">
        <v>42444</v>
      </c>
      <c r="B466" s="8" t="s">
        <v>22</v>
      </c>
      <c r="C466">
        <v>7</v>
      </c>
      <c r="D466" s="8" t="s">
        <v>65</v>
      </c>
      <c r="E466">
        <v>160</v>
      </c>
      <c r="F466">
        <v>1.07</v>
      </c>
      <c r="N466">
        <f t="shared" si="22"/>
        <v>47.957418546666659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6.6262029999999994</v>
      </c>
      <c r="P466">
        <f t="shared" si="24"/>
        <v>6.6262029999999994</v>
      </c>
      <c r="S466">
        <f t="shared" si="23"/>
        <v>0.89920159774999997</v>
      </c>
    </row>
    <row r="467" spans="1:19">
      <c r="A467" s="7">
        <v>42444</v>
      </c>
      <c r="B467" s="8" t="s">
        <v>22</v>
      </c>
      <c r="C467">
        <v>7</v>
      </c>
      <c r="D467" s="8" t="s">
        <v>65</v>
      </c>
      <c r="E467">
        <v>70</v>
      </c>
      <c r="F467">
        <v>0.68</v>
      </c>
      <c r="G467">
        <v>5</v>
      </c>
      <c r="N467">
        <f t="shared" si="22"/>
        <v>8.4739154266666663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2.2032765983175735</v>
      </c>
      <c r="P467">
        <f t="shared" si="24"/>
        <v>2.2032765983175735</v>
      </c>
      <c r="S467">
        <f t="shared" si="23"/>
        <v>0.36316780400000004</v>
      </c>
    </row>
    <row r="468" spans="1:19">
      <c r="A468" s="7">
        <v>42444</v>
      </c>
      <c r="B468" s="8" t="s">
        <v>22</v>
      </c>
      <c r="C468">
        <v>7</v>
      </c>
      <c r="D468" s="8" t="s">
        <v>65</v>
      </c>
      <c r="E468">
        <v>227</v>
      </c>
      <c r="F468">
        <v>1.98</v>
      </c>
      <c r="N468">
        <f t="shared" si="22"/>
        <v>232.98314183099998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11.323238</v>
      </c>
      <c r="P468">
        <f t="shared" si="24"/>
        <v>11.323238</v>
      </c>
      <c r="S468">
        <f t="shared" si="23"/>
        <v>3.079072359</v>
      </c>
    </row>
    <row r="469" spans="1:19">
      <c r="A469" s="7">
        <v>42444</v>
      </c>
      <c r="B469" s="8" t="s">
        <v>22</v>
      </c>
      <c r="C469">
        <v>7</v>
      </c>
      <c r="D469" s="8" t="s">
        <v>65</v>
      </c>
      <c r="E469">
        <v>66</v>
      </c>
      <c r="F469">
        <v>0.78</v>
      </c>
      <c r="G469">
        <v>5</v>
      </c>
      <c r="N469">
        <f t="shared" si="22"/>
        <v>10.512388457999998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2.2228690919266922</v>
      </c>
      <c r="P469">
        <f t="shared" si="24"/>
        <v>2.2228690919266922</v>
      </c>
      <c r="S469">
        <f t="shared" si="23"/>
        <v>0.47783583900000004</v>
      </c>
    </row>
    <row r="470" spans="1:19">
      <c r="A470" s="7">
        <v>42444</v>
      </c>
      <c r="B470" s="8" t="s">
        <v>22</v>
      </c>
      <c r="C470">
        <v>7</v>
      </c>
      <c r="D470" s="8" t="s">
        <v>65</v>
      </c>
      <c r="E470">
        <v>123</v>
      </c>
      <c r="F470">
        <v>1.41</v>
      </c>
      <c r="N470">
        <f t="shared" si="22"/>
        <v>64.019399559749985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4.032318000000001</v>
      </c>
      <c r="P470">
        <f t="shared" si="24"/>
        <v>4.032318000000001</v>
      </c>
      <c r="S470">
        <f t="shared" si="23"/>
        <v>1.5614487697499997</v>
      </c>
    </row>
    <row r="471" spans="1:19">
      <c r="A471" s="7">
        <v>42444</v>
      </c>
      <c r="B471" s="8" t="s">
        <v>22</v>
      </c>
      <c r="C471">
        <v>7</v>
      </c>
      <c r="D471" s="8" t="s">
        <v>65</v>
      </c>
      <c r="E471">
        <v>58</v>
      </c>
      <c r="F471">
        <v>0.88</v>
      </c>
      <c r="G471">
        <v>5</v>
      </c>
      <c r="N471">
        <f t="shared" si="22"/>
        <v>11.758761930666665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2.0988036355892694</v>
      </c>
      <c r="P471">
        <f t="shared" si="24"/>
        <v>2.0988036355892694</v>
      </c>
      <c r="S471">
        <f t="shared" si="23"/>
        <v>0.60821182399999996</v>
      </c>
    </row>
    <row r="472" spans="1:19">
      <c r="A472" s="7">
        <v>42444</v>
      </c>
      <c r="B472" s="8" t="s">
        <v>22</v>
      </c>
      <c r="C472">
        <v>7</v>
      </c>
      <c r="D472" s="8" t="s">
        <v>65</v>
      </c>
      <c r="E472">
        <v>123</v>
      </c>
      <c r="F472">
        <v>1.62</v>
      </c>
      <c r="N472">
        <f t="shared" si="22"/>
        <v>84.509085159000009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4.032318000000001</v>
      </c>
      <c r="P472">
        <f t="shared" si="24"/>
        <v>4.032318000000001</v>
      </c>
      <c r="S472">
        <f t="shared" si="23"/>
        <v>2.0611971990000004</v>
      </c>
    </row>
    <row r="473" spans="1:19">
      <c r="A473" s="7">
        <v>42444</v>
      </c>
      <c r="B473" s="8" t="s">
        <v>22</v>
      </c>
      <c r="C473">
        <v>7</v>
      </c>
      <c r="D473" s="8" t="s">
        <v>65</v>
      </c>
      <c r="E473">
        <v>59</v>
      </c>
      <c r="F473">
        <v>0.57999999999999996</v>
      </c>
      <c r="G473">
        <v>3</v>
      </c>
      <c r="N473">
        <f t="shared" si="22"/>
        <v>5.1960851403333317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1.7448014143835846</v>
      </c>
      <c r="P473">
        <f t="shared" si="24"/>
        <v>1.7448014143835846</v>
      </c>
      <c r="S473">
        <f t="shared" si="23"/>
        <v>0.26420771899999995</v>
      </c>
    </row>
    <row r="474" spans="1:19">
      <c r="A474" s="7">
        <v>42444</v>
      </c>
      <c r="B474" s="8" t="s">
        <v>22</v>
      </c>
      <c r="C474">
        <v>7</v>
      </c>
      <c r="D474" s="8" t="s">
        <v>65</v>
      </c>
      <c r="E474">
        <v>59</v>
      </c>
      <c r="F474">
        <v>0.72</v>
      </c>
      <c r="G474">
        <v>4</v>
      </c>
      <c r="N474">
        <f t="shared" si="22"/>
        <v>8.0072845919999978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1.9069345315590081</v>
      </c>
      <c r="P474">
        <f t="shared" si="24"/>
        <v>1.9069345315590081</v>
      </c>
      <c r="S474">
        <f t="shared" si="23"/>
        <v>0.40715006399999998</v>
      </c>
    </row>
    <row r="475" spans="1:19">
      <c r="A475" s="7">
        <v>42444</v>
      </c>
      <c r="B475" s="8" t="s">
        <v>22</v>
      </c>
      <c r="C475">
        <v>7</v>
      </c>
      <c r="D475" s="8" t="s">
        <v>65</v>
      </c>
      <c r="E475">
        <v>104</v>
      </c>
      <c r="F475">
        <v>1.08</v>
      </c>
      <c r="G475">
        <v>21</v>
      </c>
      <c r="N475">
        <f t="shared" si="22"/>
        <v>31.757704992000001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4.3789282777086083</v>
      </c>
      <c r="P475">
        <f t="shared" si="24"/>
        <v>4.3789282777086083</v>
      </c>
      <c r="S475">
        <f t="shared" si="23"/>
        <v>0.91608764400000009</v>
      </c>
    </row>
    <row r="476" spans="1:19">
      <c r="A476" s="7">
        <v>42444</v>
      </c>
      <c r="B476" s="8" t="s">
        <v>22</v>
      </c>
      <c r="C476">
        <v>7</v>
      </c>
      <c r="D476" s="8" t="s">
        <v>65</v>
      </c>
      <c r="E476">
        <v>140</v>
      </c>
      <c r="F476">
        <v>1.3</v>
      </c>
      <c r="N476">
        <f t="shared" si="22"/>
        <v>61.941682833333331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5.2241030000000004</v>
      </c>
      <c r="P476">
        <f t="shared" si="24"/>
        <v>5.2241030000000004</v>
      </c>
      <c r="S476">
        <f t="shared" si="23"/>
        <v>1.3273217750000001</v>
      </c>
    </row>
    <row r="477" spans="1:19">
      <c r="A477" s="7">
        <v>42444</v>
      </c>
      <c r="B477" s="8" t="s">
        <v>22</v>
      </c>
      <c r="C477">
        <v>7</v>
      </c>
      <c r="D477" s="8" t="s">
        <v>65</v>
      </c>
      <c r="E477">
        <v>102</v>
      </c>
      <c r="F477">
        <v>1.1299999999999999</v>
      </c>
      <c r="N477">
        <f t="shared" si="22"/>
        <v>34.097718303499988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2.5601130000000003</v>
      </c>
      <c r="P477">
        <f t="shared" si="24"/>
        <v>2.5601130000000003</v>
      </c>
      <c r="S477">
        <f t="shared" si="23"/>
        <v>1.0028740677499997</v>
      </c>
    </row>
    <row r="478" spans="1:19">
      <c r="A478" s="7">
        <v>42444</v>
      </c>
      <c r="B478" s="8" t="s">
        <v>22</v>
      </c>
      <c r="C478">
        <v>7</v>
      </c>
      <c r="D478" s="8" t="s">
        <v>61</v>
      </c>
      <c r="F478">
        <v>0.59</v>
      </c>
      <c r="J478">
        <f>32+45+47</f>
        <v>124</v>
      </c>
      <c r="K478">
        <v>3</v>
      </c>
      <c r="L478">
        <v>47</v>
      </c>
      <c r="N478" t="str">
        <f t="shared" si="22"/>
        <v>NA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9.43703</v>
      </c>
      <c r="P478">
        <f t="shared" si="24"/>
        <v>9.43703</v>
      </c>
      <c r="S478">
        <f t="shared" si="23"/>
        <v>0.27339686974999994</v>
      </c>
    </row>
    <row r="479" spans="1:19">
      <c r="A479" s="7">
        <v>42444</v>
      </c>
      <c r="B479" s="8" t="s">
        <v>22</v>
      </c>
      <c r="C479">
        <v>7</v>
      </c>
      <c r="D479" s="8" t="s">
        <v>65</v>
      </c>
      <c r="E479">
        <v>189</v>
      </c>
      <c r="F479">
        <v>1.77</v>
      </c>
      <c r="N479">
        <f t="shared" si="22"/>
        <v>155.01602514825001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8.6592480000000016</v>
      </c>
      <c r="P479">
        <f t="shared" si="24"/>
        <v>8.6592480000000016</v>
      </c>
      <c r="S479">
        <f t="shared" si="23"/>
        <v>2.4605718277499999</v>
      </c>
    </row>
    <row r="480" spans="1:19">
      <c r="A480" s="7">
        <v>42444</v>
      </c>
      <c r="B480" s="8" t="s">
        <v>22</v>
      </c>
      <c r="C480">
        <v>7</v>
      </c>
      <c r="D480" s="8" t="s">
        <v>65</v>
      </c>
      <c r="E480">
        <v>47</v>
      </c>
      <c r="F480">
        <v>0.68</v>
      </c>
      <c r="N480">
        <f t="shared" si="22"/>
        <v>5.6896289293333338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-1.2956619999999996</v>
      </c>
      <c r="P480" t="str">
        <f t="shared" si="24"/>
        <v>0</v>
      </c>
      <c r="S480">
        <f t="shared" si="23"/>
        <v>0.36316780400000004</v>
      </c>
    </row>
    <row r="481" spans="1:19">
      <c r="A481" s="7">
        <v>42444</v>
      </c>
      <c r="B481" s="8" t="s">
        <v>22</v>
      </c>
      <c r="C481">
        <v>7</v>
      </c>
      <c r="D481" s="8" t="s">
        <v>65</v>
      </c>
      <c r="E481">
        <v>30</v>
      </c>
      <c r="F481">
        <v>0.44</v>
      </c>
      <c r="N481">
        <f t="shared" si="22"/>
        <v>1.5205295599999997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-2.487447</v>
      </c>
      <c r="P481" t="str">
        <f t="shared" si="24"/>
        <v>0</v>
      </c>
      <c r="S481">
        <f t="shared" si="23"/>
        <v>0.15205295599999999</v>
      </c>
    </row>
    <row r="482" spans="1:19">
      <c r="A482" s="7">
        <v>42444</v>
      </c>
      <c r="B482" s="8" t="s">
        <v>22</v>
      </c>
      <c r="C482">
        <v>7</v>
      </c>
      <c r="D482" s="8" t="s">
        <v>65</v>
      </c>
      <c r="E482">
        <v>83</v>
      </c>
      <c r="F482">
        <v>1.24</v>
      </c>
      <c r="G482">
        <v>10</v>
      </c>
      <c r="N482">
        <f t="shared" si="22"/>
        <v>33.41101908933333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3.9599159149582102</v>
      </c>
      <c r="P482">
        <f t="shared" si="24"/>
        <v>3.9599159149582102</v>
      </c>
      <c r="S482">
        <f t="shared" si="23"/>
        <v>1.207627196</v>
      </c>
    </row>
    <row r="483" spans="1:19">
      <c r="A483" s="7">
        <v>42444</v>
      </c>
      <c r="B483" s="8" t="s">
        <v>22</v>
      </c>
      <c r="C483">
        <v>7</v>
      </c>
      <c r="D483" s="8" t="s">
        <v>65</v>
      </c>
      <c r="E483">
        <v>190</v>
      </c>
      <c r="F483">
        <v>1.8</v>
      </c>
      <c r="N483">
        <f t="shared" si="22"/>
        <v>161.163567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8.7293529999999997</v>
      </c>
      <c r="P483">
        <f t="shared" si="24"/>
        <v>8.7293529999999997</v>
      </c>
      <c r="S483">
        <f t="shared" si="23"/>
        <v>2.5446879</v>
      </c>
    </row>
    <row r="484" spans="1:19">
      <c r="A484" s="7">
        <v>42444</v>
      </c>
      <c r="B484" s="8" t="s">
        <v>22</v>
      </c>
      <c r="C484">
        <v>7</v>
      </c>
      <c r="D484" s="8" t="s">
        <v>65</v>
      </c>
      <c r="E484">
        <v>20</v>
      </c>
      <c r="F484">
        <v>0.34</v>
      </c>
      <c r="N484">
        <f t="shared" si="22"/>
        <v>0.60527967333333332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-3.1884969999999999</v>
      </c>
      <c r="P484" t="str">
        <f t="shared" si="24"/>
        <v>0</v>
      </c>
      <c r="S484">
        <f t="shared" si="23"/>
        <v>9.079195100000001E-2</v>
      </c>
    </row>
    <row r="485" spans="1:19">
      <c r="A485" s="7">
        <v>42444</v>
      </c>
      <c r="B485" s="8" t="s">
        <v>22</v>
      </c>
      <c r="C485">
        <v>7</v>
      </c>
      <c r="D485" s="8" t="s">
        <v>65</v>
      </c>
      <c r="E485">
        <v>167</v>
      </c>
      <c r="F485">
        <v>1.51</v>
      </c>
      <c r="N485">
        <f t="shared" si="22"/>
        <v>99.687022746083329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7.1169380000000002</v>
      </c>
      <c r="P485">
        <f t="shared" si="24"/>
        <v>7.1169380000000002</v>
      </c>
      <c r="S485">
        <f t="shared" si="23"/>
        <v>1.7907848397499999</v>
      </c>
    </row>
    <row r="486" spans="1:19">
      <c r="A486" s="7">
        <v>42444</v>
      </c>
      <c r="B486" s="8" t="s">
        <v>57</v>
      </c>
      <c r="C486">
        <v>48</v>
      </c>
      <c r="D486" s="8" t="s">
        <v>61</v>
      </c>
      <c r="F486">
        <v>6.61</v>
      </c>
      <c r="J486">
        <f>127+176+225+240+234+243+248+283+283+306+321+325</f>
        <v>3011</v>
      </c>
      <c r="K486">
        <v>12</v>
      </c>
      <c r="L486">
        <v>325</v>
      </c>
      <c r="N486" t="str">
        <f t="shared" si="22"/>
        <v>NA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133.16042800000002</v>
      </c>
      <c r="P486">
        <f t="shared" si="24"/>
        <v>133.16042800000002</v>
      </c>
      <c r="S486">
        <f t="shared" si="23"/>
        <v>34.315666109750005</v>
      </c>
    </row>
    <row r="487" spans="1:19">
      <c r="A487" s="7">
        <v>42444</v>
      </c>
      <c r="B487" s="8" t="s">
        <v>57</v>
      </c>
      <c r="C487">
        <v>48</v>
      </c>
      <c r="D487" s="8" t="s">
        <v>61</v>
      </c>
      <c r="F487">
        <v>11.15</v>
      </c>
      <c r="J487">
        <f>124+180+236+279+292+300+322+311+33+336+342</f>
        <v>2755</v>
      </c>
      <c r="K487">
        <v>11</v>
      </c>
      <c r="L487">
        <v>342</v>
      </c>
      <c r="N487" t="str">
        <f t="shared" si="22"/>
        <v>NA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111.06033600000001</v>
      </c>
      <c r="P487">
        <f t="shared" si="24"/>
        <v>111.06033600000001</v>
      </c>
      <c r="S487">
        <f t="shared" si="23"/>
        <v>97.642580693750006</v>
      </c>
    </row>
    <row r="488" spans="1:19">
      <c r="A488" s="7">
        <v>42444</v>
      </c>
      <c r="B488" s="8" t="s">
        <v>57</v>
      </c>
      <c r="C488">
        <v>48</v>
      </c>
      <c r="D488" s="8" t="s">
        <v>61</v>
      </c>
      <c r="F488">
        <v>1.87</v>
      </c>
      <c r="J488">
        <f>82+92+130+157+172+206+208</f>
        <v>1047</v>
      </c>
      <c r="K488">
        <v>7</v>
      </c>
      <c r="L488">
        <v>208</v>
      </c>
      <c r="N488" t="str">
        <f t="shared" si="22"/>
        <v>NA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19.383038000000006</v>
      </c>
      <c r="P488">
        <f t="shared" si="24"/>
        <v>19.383038000000006</v>
      </c>
      <c r="S488">
        <f t="shared" si="23"/>
        <v>2.7464565177500004</v>
      </c>
    </row>
    <row r="489" spans="1:19">
      <c r="A489" s="7">
        <v>42444</v>
      </c>
      <c r="B489" s="8" t="s">
        <v>57</v>
      </c>
      <c r="C489">
        <v>48</v>
      </c>
      <c r="D489" s="8" t="s">
        <v>61</v>
      </c>
      <c r="F489">
        <v>3.54</v>
      </c>
      <c r="J489">
        <f>106+154+166+205+210+210+262+272+295</f>
        <v>1880</v>
      </c>
      <c r="K489">
        <v>9</v>
      </c>
      <c r="L489">
        <v>295</v>
      </c>
      <c r="N489" t="str">
        <f t="shared" si="22"/>
        <v>NA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57.227932000000003</v>
      </c>
      <c r="P489">
        <f t="shared" si="24"/>
        <v>57.227932000000003</v>
      </c>
      <c r="S489">
        <f t="shared" si="23"/>
        <v>9.8422873109999998</v>
      </c>
    </row>
    <row r="490" spans="1:19">
      <c r="A490" s="7">
        <v>42444</v>
      </c>
      <c r="B490" s="8" t="s">
        <v>57</v>
      </c>
      <c r="C490">
        <v>48</v>
      </c>
      <c r="D490" s="8" t="s">
        <v>61</v>
      </c>
      <c r="F490">
        <v>3.21</v>
      </c>
      <c r="J490">
        <f>70+113+169+192+214+242+273+284</f>
        <v>1557</v>
      </c>
      <c r="K490">
        <v>8</v>
      </c>
      <c r="L490">
        <v>284</v>
      </c>
      <c r="N490" t="str">
        <f t="shared" si="22"/>
        <v>NA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37.281115000000021</v>
      </c>
      <c r="P490">
        <f t="shared" si="24"/>
        <v>37.281115000000021</v>
      </c>
      <c r="S490">
        <f t="shared" si="23"/>
        <v>8.0928143797499992</v>
      </c>
    </row>
    <row r="491" spans="1:19">
      <c r="A491" s="7">
        <v>42444</v>
      </c>
      <c r="B491" s="8" t="s">
        <v>57</v>
      </c>
      <c r="C491">
        <v>48</v>
      </c>
      <c r="D491" s="8" t="s">
        <v>61</v>
      </c>
      <c r="F491">
        <v>3.76</v>
      </c>
      <c r="J491">
        <f>114+180+211+231+253+260+287+297</f>
        <v>1833</v>
      </c>
      <c r="K491">
        <v>8</v>
      </c>
      <c r="L491">
        <v>297</v>
      </c>
      <c r="N491" t="str">
        <f t="shared" si="22"/>
        <v>NA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59.241310000000006</v>
      </c>
      <c r="P491">
        <f t="shared" si="24"/>
        <v>59.241310000000006</v>
      </c>
      <c r="S491">
        <f t="shared" si="23"/>
        <v>11.103635696</v>
      </c>
    </row>
    <row r="492" spans="1:19">
      <c r="A492" s="7">
        <v>42444</v>
      </c>
      <c r="B492" s="8" t="s">
        <v>57</v>
      </c>
      <c r="C492">
        <v>48</v>
      </c>
      <c r="D492" s="8" t="s">
        <v>61</v>
      </c>
      <c r="F492">
        <v>7.98</v>
      </c>
      <c r="J492">
        <f>90+99+88+90+109+265+297+305+307+317</f>
        <v>1967</v>
      </c>
      <c r="K492">
        <v>10</v>
      </c>
      <c r="L492">
        <v>317</v>
      </c>
      <c r="N492" t="str">
        <f t="shared" si="22"/>
        <v>NA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51.734874000000012</v>
      </c>
      <c r="P492">
        <f t="shared" si="24"/>
        <v>51.734874000000012</v>
      </c>
      <c r="S492">
        <f t="shared" si="23"/>
        <v>50.014426959000005</v>
      </c>
    </row>
    <row r="493" spans="1:19">
      <c r="A493" s="7">
        <v>42444</v>
      </c>
      <c r="B493" s="8" t="s">
        <v>57</v>
      </c>
      <c r="C493">
        <v>48</v>
      </c>
      <c r="D493" s="8" t="s">
        <v>61</v>
      </c>
      <c r="F493">
        <v>0.86</v>
      </c>
      <c r="J493">
        <f>61+54+82+91</f>
        <v>288</v>
      </c>
      <c r="K493">
        <v>4</v>
      </c>
      <c r="L493">
        <v>91</v>
      </c>
      <c r="N493" t="str">
        <f t="shared" si="22"/>
        <v>NA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4.5357170000000018</v>
      </c>
      <c r="P493">
        <f t="shared" si="24"/>
        <v>4.5357170000000018</v>
      </c>
      <c r="S493">
        <f t="shared" si="23"/>
        <v>0.58087999099999987</v>
      </c>
    </row>
    <row r="494" spans="1:19">
      <c r="A494" s="7">
        <v>42444</v>
      </c>
      <c r="B494" s="8" t="s">
        <v>57</v>
      </c>
      <c r="C494">
        <v>32</v>
      </c>
      <c r="D494" s="8" t="s">
        <v>61</v>
      </c>
      <c r="F494">
        <v>0.98</v>
      </c>
      <c r="J494">
        <f>43+46+70+78+88</f>
        <v>325</v>
      </c>
      <c r="K494">
        <v>5</v>
      </c>
      <c r="L494">
        <v>88</v>
      </c>
      <c r="N494" t="str">
        <f t="shared" si="22"/>
        <v>NA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1.8860339999999987</v>
      </c>
      <c r="P494">
        <f t="shared" si="24"/>
        <v>1.8860339999999987</v>
      </c>
      <c r="S494">
        <f t="shared" si="23"/>
        <v>0.7542957589999999</v>
      </c>
    </row>
    <row r="495" spans="1:19">
      <c r="A495" s="7">
        <v>42444</v>
      </c>
      <c r="B495" s="8" t="s">
        <v>57</v>
      </c>
      <c r="C495">
        <v>32</v>
      </c>
      <c r="D495" s="8" t="s">
        <v>61</v>
      </c>
      <c r="F495">
        <v>1.06</v>
      </c>
      <c r="J495">
        <f>63+82+84</f>
        <v>229</v>
      </c>
      <c r="K495">
        <v>3</v>
      </c>
      <c r="L495">
        <v>84</v>
      </c>
      <c r="N495" t="str">
        <f t="shared" si="22"/>
        <v>NA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8.1352399999999996</v>
      </c>
      <c r="P495">
        <f t="shared" si="24"/>
        <v>8.1352399999999996</v>
      </c>
      <c r="S495">
        <f t="shared" si="23"/>
        <v>0.88247263100000006</v>
      </c>
    </row>
    <row r="496" spans="1:19">
      <c r="A496" s="7">
        <v>42444</v>
      </c>
      <c r="B496" s="8" t="s">
        <v>57</v>
      </c>
      <c r="C496">
        <v>32</v>
      </c>
      <c r="D496" s="8" t="s">
        <v>61</v>
      </c>
      <c r="F496">
        <v>2.14</v>
      </c>
      <c r="J496">
        <f>63+97+109+130+115+141+151</f>
        <v>806</v>
      </c>
      <c r="K496">
        <v>7</v>
      </c>
      <c r="L496">
        <v>151</v>
      </c>
      <c r="N496" t="str">
        <f t="shared" si="22"/>
        <v>NA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13.959048000000003</v>
      </c>
      <c r="P496">
        <f t="shared" si="24"/>
        <v>13.959048000000003</v>
      </c>
      <c r="S496">
        <f t="shared" si="23"/>
        <v>3.5968063909999999</v>
      </c>
    </row>
    <row r="497" spans="1:19">
      <c r="A497" s="7">
        <v>42444</v>
      </c>
      <c r="B497" s="8" t="s">
        <v>57</v>
      </c>
      <c r="C497">
        <v>32</v>
      </c>
      <c r="D497" s="8" t="s">
        <v>61</v>
      </c>
      <c r="F497">
        <v>2.84</v>
      </c>
      <c r="J497">
        <f>71+102+130+155+157+158+165+168</f>
        <v>1106</v>
      </c>
      <c r="K497">
        <v>8</v>
      </c>
      <c r="L497">
        <v>168</v>
      </c>
      <c r="N497" t="str">
        <f t="shared" si="22"/>
        <v>NA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29.94203000000001</v>
      </c>
      <c r="P497">
        <f t="shared" si="24"/>
        <v>29.94203000000001</v>
      </c>
      <c r="S497">
        <f t="shared" si="23"/>
        <v>6.3347020759999992</v>
      </c>
    </row>
    <row r="498" spans="1:19">
      <c r="A498" s="7">
        <v>42444</v>
      </c>
      <c r="B498" s="8" t="s">
        <v>57</v>
      </c>
      <c r="C498">
        <v>32</v>
      </c>
      <c r="D498" s="8" t="s">
        <v>61</v>
      </c>
      <c r="F498">
        <v>1.04</v>
      </c>
      <c r="J498">
        <f>37+67+68+91</f>
        <v>263</v>
      </c>
      <c r="K498">
        <v>4</v>
      </c>
      <c r="L498">
        <v>91</v>
      </c>
      <c r="N498" t="str">
        <f t="shared" si="22"/>
        <v>NA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2.1918420000000012</v>
      </c>
      <c r="P498">
        <f t="shared" si="24"/>
        <v>2.1918420000000012</v>
      </c>
      <c r="S498">
        <f t="shared" si="23"/>
        <v>0.84948593600000011</v>
      </c>
    </row>
    <row r="499" spans="1:19">
      <c r="A499" s="7">
        <v>42444</v>
      </c>
      <c r="B499" s="8" t="s">
        <v>57</v>
      </c>
      <c r="C499">
        <v>32</v>
      </c>
      <c r="D499" s="8" t="s">
        <v>61</v>
      </c>
      <c r="F499">
        <v>0.98</v>
      </c>
      <c r="J499">
        <f>61+66+85+97</f>
        <v>309</v>
      </c>
      <c r="K499">
        <v>4</v>
      </c>
      <c r="L499">
        <v>97</v>
      </c>
      <c r="N499" t="str">
        <f t="shared" si="22"/>
        <v>NA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4.6971019999999974</v>
      </c>
      <c r="P499">
        <f t="shared" si="24"/>
        <v>4.6971019999999974</v>
      </c>
      <c r="S499">
        <f t="shared" si="23"/>
        <v>0.7542957589999999</v>
      </c>
    </row>
    <row r="500" spans="1:19">
      <c r="A500" s="7">
        <v>42444</v>
      </c>
      <c r="B500" s="8" t="s">
        <v>57</v>
      </c>
      <c r="C500">
        <v>32</v>
      </c>
      <c r="D500" s="8" t="s">
        <v>61</v>
      </c>
      <c r="F500">
        <v>2.54</v>
      </c>
      <c r="J500">
        <f>71+100+148+189+192+240+271</f>
        <v>1211</v>
      </c>
      <c r="K500">
        <v>7</v>
      </c>
      <c r="L500">
        <v>271</v>
      </c>
      <c r="N500" t="str">
        <f t="shared" si="22"/>
        <v>NA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15.780423000000006</v>
      </c>
      <c r="P500">
        <f t="shared" si="24"/>
        <v>15.780423000000006</v>
      </c>
      <c r="S500">
        <f t="shared" si="23"/>
        <v>5.0670705109999998</v>
      </c>
    </row>
    <row r="501" spans="1:19">
      <c r="A501" s="7">
        <v>42444</v>
      </c>
      <c r="B501" s="8" t="s">
        <v>57</v>
      </c>
      <c r="C501">
        <v>32</v>
      </c>
      <c r="D501" s="8" t="s">
        <v>61</v>
      </c>
      <c r="F501">
        <v>0.85</v>
      </c>
      <c r="J501">
        <f>50+61+66</f>
        <v>177</v>
      </c>
      <c r="K501">
        <v>3</v>
      </c>
      <c r="L501">
        <v>66</v>
      </c>
      <c r="N501" t="str">
        <f t="shared" si="22"/>
        <v>NA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8.6823899999999981</v>
      </c>
      <c r="P501">
        <f t="shared" si="24"/>
        <v>8.6823899999999981</v>
      </c>
      <c r="S501">
        <f t="shared" si="23"/>
        <v>0.56744969374999987</v>
      </c>
    </row>
    <row r="502" spans="1:19">
      <c r="A502" s="7">
        <v>42444</v>
      </c>
      <c r="B502" s="8" t="s">
        <v>57</v>
      </c>
      <c r="C502">
        <v>32</v>
      </c>
      <c r="D502" s="8" t="s">
        <v>61</v>
      </c>
      <c r="F502">
        <v>0.63</v>
      </c>
      <c r="J502">
        <f>41+42</f>
        <v>83</v>
      </c>
      <c r="K502">
        <v>2</v>
      </c>
      <c r="L502">
        <v>42</v>
      </c>
      <c r="N502" t="str">
        <f t="shared" si="22"/>
        <v>NA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14.121652999999998</v>
      </c>
      <c r="P502">
        <f t="shared" si="24"/>
        <v>14.121652999999998</v>
      </c>
      <c r="S502">
        <f t="shared" si="23"/>
        <v>0.31172426775000001</v>
      </c>
    </row>
    <row r="503" spans="1:19">
      <c r="A503" s="7">
        <v>42444</v>
      </c>
      <c r="B503" s="8" t="s">
        <v>57</v>
      </c>
      <c r="C503">
        <v>32</v>
      </c>
      <c r="D503" s="8" t="s">
        <v>61</v>
      </c>
      <c r="F503">
        <v>1.04</v>
      </c>
      <c r="J503">
        <f>48+51+74+102+105</f>
        <v>380</v>
      </c>
      <c r="K503">
        <v>5</v>
      </c>
      <c r="L503">
        <v>105</v>
      </c>
      <c r="N503" t="str">
        <f t="shared" si="22"/>
        <v>NA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1.9213939999999994</v>
      </c>
      <c r="P503">
        <f t="shared" si="24"/>
        <v>1.9213939999999994</v>
      </c>
      <c r="S503">
        <f t="shared" si="23"/>
        <v>0.84948593600000011</v>
      </c>
    </row>
    <row r="504" spans="1:19">
      <c r="A504" s="7">
        <v>42444</v>
      </c>
      <c r="B504" s="8" t="s">
        <v>57</v>
      </c>
      <c r="C504">
        <v>32</v>
      </c>
      <c r="D504" s="8" t="s">
        <v>61</v>
      </c>
      <c r="F504">
        <v>0.45</v>
      </c>
      <c r="J504">
        <f>6+10+12</f>
        <v>28</v>
      </c>
      <c r="K504">
        <v>3</v>
      </c>
      <c r="L504">
        <v>12</v>
      </c>
      <c r="N504" t="str">
        <f t="shared" si="22"/>
        <v>NA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10.980124999999997</v>
      </c>
      <c r="P504">
        <f t="shared" si="24"/>
        <v>10.980124999999997</v>
      </c>
      <c r="S504">
        <f t="shared" si="23"/>
        <v>0.15904299375</v>
      </c>
    </row>
    <row r="505" spans="1:19">
      <c r="A505" s="7">
        <v>42444</v>
      </c>
      <c r="B505" s="8" t="s">
        <v>57</v>
      </c>
      <c r="C505">
        <v>15</v>
      </c>
      <c r="D505" s="8" t="s">
        <v>61</v>
      </c>
      <c r="F505">
        <v>1.42</v>
      </c>
      <c r="J505">
        <f>68+83+110+112+132</f>
        <v>505</v>
      </c>
      <c r="K505">
        <v>5</v>
      </c>
      <c r="L505">
        <v>132</v>
      </c>
      <c r="N505" t="str">
        <f t="shared" si="22"/>
        <v>NA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5.507154000000007</v>
      </c>
      <c r="P505">
        <f t="shared" si="24"/>
        <v>5.507154000000007</v>
      </c>
      <c r="S505">
        <f t="shared" si="23"/>
        <v>1.5836755189999998</v>
      </c>
    </row>
    <row r="506" spans="1:19">
      <c r="A506" s="7">
        <v>42444</v>
      </c>
      <c r="B506" s="8" t="s">
        <v>57</v>
      </c>
      <c r="C506">
        <v>15</v>
      </c>
      <c r="D506" s="8" t="s">
        <v>61</v>
      </c>
      <c r="F506">
        <v>1.62</v>
      </c>
      <c r="J506">
        <f>52+96+87+131+142+177</f>
        <v>685</v>
      </c>
      <c r="K506">
        <v>6</v>
      </c>
      <c r="L506">
        <v>177</v>
      </c>
      <c r="N506" t="str">
        <f t="shared" si="22"/>
        <v>NA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1.8046760000000077</v>
      </c>
      <c r="P506">
        <f t="shared" si="24"/>
        <v>1.8046760000000077</v>
      </c>
      <c r="S506">
        <f t="shared" si="23"/>
        <v>2.0611971990000004</v>
      </c>
    </row>
    <row r="507" spans="1:19">
      <c r="A507" s="7">
        <v>42444</v>
      </c>
      <c r="B507" s="8" t="s">
        <v>57</v>
      </c>
      <c r="C507">
        <v>15</v>
      </c>
      <c r="D507" s="8" t="s">
        <v>61</v>
      </c>
      <c r="F507">
        <v>0.99</v>
      </c>
      <c r="J507">
        <f>54+55+81+91</f>
        <v>281</v>
      </c>
      <c r="K507">
        <v>4</v>
      </c>
      <c r="L507">
        <v>91</v>
      </c>
      <c r="N507" t="str">
        <f t="shared" si="22"/>
        <v>NA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3.8794320000000013</v>
      </c>
      <c r="P507">
        <f t="shared" si="24"/>
        <v>3.8794320000000013</v>
      </c>
      <c r="S507">
        <f t="shared" si="23"/>
        <v>0.76976808975</v>
      </c>
    </row>
    <row r="508" spans="1:19">
      <c r="A508" s="7">
        <v>42444</v>
      </c>
      <c r="B508" s="8" t="s">
        <v>57</v>
      </c>
      <c r="C508">
        <v>15</v>
      </c>
      <c r="D508" s="8" t="s">
        <v>61</v>
      </c>
      <c r="F508">
        <v>1.32</v>
      </c>
      <c r="J508">
        <f>68+56+90+101+110</f>
        <v>425</v>
      </c>
      <c r="K508">
        <v>5</v>
      </c>
      <c r="L508">
        <v>110</v>
      </c>
      <c r="N508" t="str">
        <f t="shared" si="22"/>
        <v>NA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4.6341439999999992</v>
      </c>
      <c r="P508">
        <f t="shared" si="24"/>
        <v>4.6341439999999992</v>
      </c>
      <c r="S508">
        <f t="shared" si="23"/>
        <v>1.368476604</v>
      </c>
    </row>
    <row r="509" spans="1:19">
      <c r="A509" s="7">
        <v>42444</v>
      </c>
      <c r="B509" s="8" t="s">
        <v>57</v>
      </c>
      <c r="C509">
        <v>15</v>
      </c>
      <c r="D509" s="8" t="s">
        <v>61</v>
      </c>
      <c r="F509">
        <v>0.73</v>
      </c>
      <c r="J509">
        <f>42+70+77+87</f>
        <v>276</v>
      </c>
      <c r="K509">
        <v>4</v>
      </c>
      <c r="L509">
        <v>87</v>
      </c>
      <c r="N509" t="str">
        <f t="shared" si="22"/>
        <v>NA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4.6156369999999995</v>
      </c>
      <c r="P509">
        <f t="shared" si="24"/>
        <v>4.6156369999999995</v>
      </c>
      <c r="S509">
        <f t="shared" si="23"/>
        <v>0.41853832774999994</v>
      </c>
    </row>
    <row r="510" spans="1:19">
      <c r="A510" s="7">
        <v>42444</v>
      </c>
      <c r="B510" s="8" t="s">
        <v>57</v>
      </c>
      <c r="C510">
        <v>15</v>
      </c>
      <c r="D510" s="8" t="s">
        <v>61</v>
      </c>
      <c r="F510">
        <v>1.06</v>
      </c>
      <c r="J510">
        <f>45+64+84+113+142</f>
        <v>448</v>
      </c>
      <c r="K510">
        <v>5</v>
      </c>
      <c r="L510">
        <v>142</v>
      </c>
      <c r="N510" t="str">
        <f t="shared" si="22"/>
        <v>NA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-2.8493309999999994</v>
      </c>
      <c r="P510" t="str">
        <f t="shared" si="24"/>
        <v>0</v>
      </c>
      <c r="S510">
        <f t="shared" si="23"/>
        <v>0.88247263100000006</v>
      </c>
    </row>
    <row r="511" spans="1:19">
      <c r="A511" s="7">
        <v>42444</v>
      </c>
      <c r="B511" s="8" t="s">
        <v>57</v>
      </c>
      <c r="C511">
        <v>15</v>
      </c>
      <c r="D511" s="8" t="s">
        <v>61</v>
      </c>
      <c r="F511">
        <v>0.99</v>
      </c>
      <c r="J511">
        <f>54+68+92+94+113</f>
        <v>421</v>
      </c>
      <c r="K511">
        <v>5</v>
      </c>
      <c r="L511">
        <v>113</v>
      </c>
      <c r="N511" t="str">
        <f t="shared" si="22"/>
        <v>NA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3.3553890000000024</v>
      </c>
      <c r="P511">
        <f t="shared" si="24"/>
        <v>3.3553890000000024</v>
      </c>
      <c r="S511">
        <f t="shared" si="23"/>
        <v>0.76976808975</v>
      </c>
    </row>
    <row r="512" spans="1:19">
      <c r="A512" s="7">
        <v>42444</v>
      </c>
      <c r="B512" s="8" t="s">
        <v>57</v>
      </c>
      <c r="C512">
        <v>15</v>
      </c>
      <c r="D512" s="8" t="s">
        <v>61</v>
      </c>
      <c r="F512">
        <v>1.32</v>
      </c>
      <c r="J512">
        <f>54+81+83+110+120</f>
        <v>448</v>
      </c>
      <c r="K512">
        <v>5</v>
      </c>
      <c r="L512">
        <v>120</v>
      </c>
      <c r="N512" t="str">
        <f t="shared" si="22"/>
        <v>NA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3.7780589999999989</v>
      </c>
      <c r="P512">
        <f t="shared" si="24"/>
        <v>3.7780589999999989</v>
      </c>
      <c r="S512">
        <f t="shared" si="23"/>
        <v>1.368476604</v>
      </c>
    </row>
    <row r="513" spans="1:19">
      <c r="A513" s="7">
        <v>42444</v>
      </c>
      <c r="B513" s="8" t="s">
        <v>57</v>
      </c>
      <c r="C513">
        <v>15</v>
      </c>
      <c r="D513" s="8" t="s">
        <v>61</v>
      </c>
      <c r="F513">
        <v>0.78</v>
      </c>
      <c r="J513">
        <f>28+48+50</f>
        <v>126</v>
      </c>
      <c r="K513">
        <v>3</v>
      </c>
      <c r="L513">
        <v>50</v>
      </c>
      <c r="N513" t="str">
        <f t="shared" si="22"/>
        <v>NA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8.7208049999999986</v>
      </c>
      <c r="P513">
        <f t="shared" si="24"/>
        <v>8.7208049999999986</v>
      </c>
      <c r="S513">
        <f t="shared" si="23"/>
        <v>0.47783583900000004</v>
      </c>
    </row>
    <row r="514" spans="1:19">
      <c r="A514" s="7">
        <v>42444</v>
      </c>
      <c r="B514" s="8" t="s">
        <v>57</v>
      </c>
      <c r="C514">
        <v>15</v>
      </c>
      <c r="D514" s="8" t="s">
        <v>61</v>
      </c>
      <c r="F514">
        <v>1.01</v>
      </c>
      <c r="J514">
        <f>44+68+71+93+105</f>
        <v>381</v>
      </c>
      <c r="K514">
        <v>5</v>
      </c>
      <c r="L514">
        <v>105</v>
      </c>
      <c r="N514" t="str">
        <f t="shared" si="22"/>
        <v>NA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2.015149000000001</v>
      </c>
      <c r="P514">
        <f t="shared" si="24"/>
        <v>2.015149000000001</v>
      </c>
      <c r="S514">
        <f t="shared" si="23"/>
        <v>0.80118398974999994</v>
      </c>
    </row>
    <row r="515" spans="1:19">
      <c r="A515" s="7">
        <v>42444</v>
      </c>
      <c r="B515" s="8" t="s">
        <v>57</v>
      </c>
      <c r="C515">
        <v>15</v>
      </c>
      <c r="D515" s="8" t="s">
        <v>61</v>
      </c>
      <c r="F515">
        <v>1.49</v>
      </c>
      <c r="J515">
        <f>34+39+70+108+113</f>
        <v>364</v>
      </c>
      <c r="K515">
        <v>5</v>
      </c>
      <c r="L515">
        <v>113</v>
      </c>
      <c r="N515" t="str">
        <f t="shared" si="22"/>
        <v>NA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-1.9886459999999957</v>
      </c>
      <c r="P515" t="str">
        <f t="shared" si="24"/>
        <v>0</v>
      </c>
      <c r="S515">
        <f t="shared" si="23"/>
        <v>1.7436609897499999</v>
      </c>
    </row>
    <row r="516" spans="1:19">
      <c r="A516" s="7">
        <v>42444</v>
      </c>
      <c r="B516" s="8" t="s">
        <v>57</v>
      </c>
      <c r="C516">
        <v>15</v>
      </c>
      <c r="D516" s="8" t="s">
        <v>61</v>
      </c>
      <c r="F516">
        <v>1.18</v>
      </c>
      <c r="J516">
        <f>86+109+112+141+147</f>
        <v>595</v>
      </c>
      <c r="K516">
        <v>5</v>
      </c>
      <c r="L516">
        <v>147</v>
      </c>
      <c r="N516" t="str">
        <f t="shared" ref="N516:N539" si="25">IF(OR(D516="S. acutus", D516="S. tabernaemontani", D516="S. californicus"),(1/3)*(3.14159)*((F516/2)^2)*E516,"NA")</f>
        <v>NA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9.4264290000000059</v>
      </c>
      <c r="P516">
        <f t="shared" si="24"/>
        <v>9.4264290000000059</v>
      </c>
      <c r="S516">
        <f t="shared" si="23"/>
        <v>1.0935874789999998</v>
      </c>
    </row>
    <row r="517" spans="1:19">
      <c r="A517" s="7">
        <v>42444</v>
      </c>
      <c r="B517" s="8" t="s">
        <v>57</v>
      </c>
      <c r="C517">
        <v>15</v>
      </c>
      <c r="D517" s="8" t="s">
        <v>61</v>
      </c>
      <c r="F517">
        <v>2.0099999999999998</v>
      </c>
      <c r="J517">
        <f>97+126+127+132+141+155</f>
        <v>778</v>
      </c>
      <c r="K517">
        <v>6</v>
      </c>
      <c r="L517">
        <v>155</v>
      </c>
      <c r="N517" t="str">
        <f t="shared" si="25"/>
        <v>NA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17.151280999999997</v>
      </c>
      <c r="P517">
        <f t="shared" si="24"/>
        <v>17.151280999999997</v>
      </c>
      <c r="S517">
        <f t="shared" ref="S517:S539" si="26">3.14159*((F517/2)^2)</f>
        <v>3.1730844397499989</v>
      </c>
    </row>
    <row r="518" spans="1:19">
      <c r="A518" s="7">
        <v>42444</v>
      </c>
      <c r="B518" s="8" t="s">
        <v>57</v>
      </c>
      <c r="C518">
        <v>15</v>
      </c>
      <c r="D518" s="8" t="s">
        <v>61</v>
      </c>
      <c r="F518">
        <v>1.1100000000000001</v>
      </c>
      <c r="J518">
        <f>53+51+79+89</f>
        <v>272</v>
      </c>
      <c r="K518">
        <v>4</v>
      </c>
      <c r="L518">
        <v>89</v>
      </c>
      <c r="N518" t="str">
        <f t="shared" si="25"/>
        <v>NA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3.6381270000000008</v>
      </c>
      <c r="P518">
        <f t="shared" si="24"/>
        <v>3.6381270000000008</v>
      </c>
      <c r="S518">
        <f t="shared" si="26"/>
        <v>0.96768825975000017</v>
      </c>
    </row>
    <row r="519" spans="1:19">
      <c r="A519" s="7">
        <v>42444</v>
      </c>
      <c r="B519" s="8" t="s">
        <v>57</v>
      </c>
      <c r="C519">
        <v>15</v>
      </c>
      <c r="D519" s="8" t="s">
        <v>61</v>
      </c>
      <c r="F519">
        <v>1.22</v>
      </c>
      <c r="J519">
        <f>40+66+79+102+102</f>
        <v>389</v>
      </c>
      <c r="K519">
        <v>5</v>
      </c>
      <c r="L519">
        <v>102</v>
      </c>
      <c r="N519" t="str">
        <f t="shared" si="25"/>
        <v>NA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3.6689240000000005</v>
      </c>
      <c r="P519">
        <f t="shared" si="24"/>
        <v>3.6689240000000005</v>
      </c>
      <c r="S519">
        <f t="shared" si="26"/>
        <v>1.168985639</v>
      </c>
    </row>
    <row r="520" spans="1:19">
      <c r="A520" s="7">
        <v>42444</v>
      </c>
      <c r="B520" s="8" t="s">
        <v>57</v>
      </c>
      <c r="C520">
        <v>15</v>
      </c>
      <c r="D520" s="8" t="s">
        <v>61</v>
      </c>
      <c r="F520">
        <v>0.38</v>
      </c>
      <c r="J520">
        <f>11+8+15</f>
        <v>34</v>
      </c>
      <c r="K520">
        <v>3</v>
      </c>
      <c r="L520">
        <v>15</v>
      </c>
      <c r="N520" t="str">
        <f t="shared" si="25"/>
        <v>NA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10.638919999999999</v>
      </c>
      <c r="P520">
        <f t="shared" si="24"/>
        <v>10.638919999999999</v>
      </c>
      <c r="S520">
        <f t="shared" si="26"/>
        <v>0.113411399</v>
      </c>
    </row>
    <row r="521" spans="1:19">
      <c r="A521" s="7">
        <v>42444</v>
      </c>
      <c r="B521" s="8" t="s">
        <v>57</v>
      </c>
      <c r="C521">
        <v>15</v>
      </c>
      <c r="D521" s="8" t="s">
        <v>61</v>
      </c>
      <c r="F521">
        <v>0.84</v>
      </c>
      <c r="J521">
        <f>77+90+101+102</f>
        <v>370</v>
      </c>
      <c r="K521">
        <v>4</v>
      </c>
      <c r="L521">
        <v>102</v>
      </c>
      <c r="N521" t="str">
        <f t="shared" si="25"/>
        <v>NA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8.9099320000000048</v>
      </c>
      <c r="P521">
        <f t="shared" ref="P521:P584" si="27">IF(O521&lt;0,"0",O521)</f>
        <v>8.9099320000000048</v>
      </c>
      <c r="S521">
        <f t="shared" si="26"/>
        <v>0.55417647599999986</v>
      </c>
    </row>
    <row r="522" spans="1:19">
      <c r="A522" s="7">
        <v>42444</v>
      </c>
      <c r="B522" s="8" t="s">
        <v>57</v>
      </c>
      <c r="C522">
        <v>15</v>
      </c>
      <c r="D522" s="8" t="s">
        <v>61</v>
      </c>
      <c r="F522">
        <v>1.22</v>
      </c>
      <c r="J522">
        <f>87+105+126+142</f>
        <v>460</v>
      </c>
      <c r="K522">
        <v>4</v>
      </c>
      <c r="L522">
        <v>142</v>
      </c>
      <c r="N522" t="str">
        <f t="shared" si="25"/>
        <v>NA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5.2980820000000044</v>
      </c>
      <c r="P522">
        <f t="shared" si="27"/>
        <v>5.2980820000000044</v>
      </c>
      <c r="S522">
        <f t="shared" si="26"/>
        <v>1.168985639</v>
      </c>
    </row>
    <row r="523" spans="1:19">
      <c r="A523" s="7">
        <v>42444</v>
      </c>
      <c r="B523" s="8" t="s">
        <v>57</v>
      </c>
      <c r="C523">
        <v>15</v>
      </c>
      <c r="D523" s="8" t="s">
        <v>61</v>
      </c>
      <c r="F523">
        <v>2.54</v>
      </c>
      <c r="J523">
        <f>92+140+166+201+201</f>
        <v>800</v>
      </c>
      <c r="K523">
        <v>5</v>
      </c>
      <c r="L523">
        <v>201</v>
      </c>
      <c r="N523" t="str">
        <f t="shared" si="25"/>
        <v>NA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12.378974000000007</v>
      </c>
      <c r="P523">
        <f t="shared" si="27"/>
        <v>12.378974000000007</v>
      </c>
      <c r="S523">
        <f t="shared" si="26"/>
        <v>5.0670705109999998</v>
      </c>
    </row>
    <row r="524" spans="1:19">
      <c r="A524" s="7">
        <v>42444</v>
      </c>
      <c r="B524" s="8" t="s">
        <v>57</v>
      </c>
      <c r="C524">
        <v>15</v>
      </c>
      <c r="D524" s="8" t="s">
        <v>61</v>
      </c>
      <c r="F524">
        <v>1.4</v>
      </c>
      <c r="J524">
        <f>40+41+63+110+141</f>
        <v>395</v>
      </c>
      <c r="K524">
        <v>5</v>
      </c>
      <c r="L524">
        <v>141</v>
      </c>
      <c r="N524" t="str">
        <f t="shared" si="25"/>
        <v>NA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-7.5171009999999967</v>
      </c>
      <c r="P524" t="str">
        <f t="shared" si="27"/>
        <v>0</v>
      </c>
      <c r="S524">
        <f t="shared" si="26"/>
        <v>1.5393790999999997</v>
      </c>
    </row>
    <row r="525" spans="1:19">
      <c r="A525" s="7">
        <v>42444</v>
      </c>
      <c r="B525" s="8" t="s">
        <v>57</v>
      </c>
      <c r="C525">
        <v>15</v>
      </c>
      <c r="D525" s="8" t="s">
        <v>61</v>
      </c>
      <c r="F525">
        <v>1.71</v>
      </c>
      <c r="J525">
        <f>81+72+79+104+116+138</f>
        <v>590</v>
      </c>
      <c r="K525">
        <v>6</v>
      </c>
      <c r="L525">
        <v>138</v>
      </c>
      <c r="N525" t="str">
        <f t="shared" si="25"/>
        <v>NA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4.6465060000000022</v>
      </c>
      <c r="P525">
        <f t="shared" si="27"/>
        <v>4.6465060000000022</v>
      </c>
      <c r="S525">
        <f t="shared" si="26"/>
        <v>2.2965808297499999</v>
      </c>
    </row>
    <row r="526" spans="1:19">
      <c r="A526" s="7">
        <v>42444</v>
      </c>
      <c r="B526" s="8" t="s">
        <v>57</v>
      </c>
      <c r="C526">
        <v>12</v>
      </c>
      <c r="D526" s="8" t="s">
        <v>61</v>
      </c>
      <c r="F526">
        <v>1.54</v>
      </c>
      <c r="J526">
        <f>43+60+67+82+85</f>
        <v>337</v>
      </c>
      <c r="K526">
        <v>5</v>
      </c>
      <c r="L526">
        <v>85</v>
      </c>
      <c r="N526" t="str">
        <f t="shared" si="25"/>
        <v>NA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3.914829000000001</v>
      </c>
      <c r="P526">
        <f t="shared" si="27"/>
        <v>3.914829000000001</v>
      </c>
      <c r="S526">
        <f t="shared" si="26"/>
        <v>1.8626487109999998</v>
      </c>
    </row>
    <row r="527" spans="1:19">
      <c r="A527" s="7">
        <v>42444</v>
      </c>
      <c r="B527" s="8" t="s">
        <v>57</v>
      </c>
      <c r="C527">
        <v>12</v>
      </c>
      <c r="D527" s="8" t="s">
        <v>61</v>
      </c>
      <c r="F527">
        <v>1.4</v>
      </c>
      <c r="J527">
        <f>45+58+85+88+106</f>
        <v>382</v>
      </c>
      <c r="K527">
        <v>5</v>
      </c>
      <c r="L527">
        <v>106</v>
      </c>
      <c r="N527" t="str">
        <f t="shared" si="25"/>
        <v>NA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1.807659000000001</v>
      </c>
      <c r="P527">
        <f t="shared" si="27"/>
        <v>1.807659000000001</v>
      </c>
      <c r="S527">
        <f t="shared" si="26"/>
        <v>1.5393790999999997</v>
      </c>
    </row>
    <row r="528" spans="1:19">
      <c r="A528" s="7">
        <v>42444</v>
      </c>
      <c r="B528" s="8" t="s">
        <v>57</v>
      </c>
      <c r="C528">
        <v>12</v>
      </c>
      <c r="D528" s="8" t="s">
        <v>61</v>
      </c>
      <c r="F528">
        <v>2.4700000000000002</v>
      </c>
      <c r="J528">
        <f>61+84+61+85+102+106</f>
        <v>499</v>
      </c>
      <c r="K528">
        <v>6</v>
      </c>
      <c r="L528">
        <v>106</v>
      </c>
      <c r="N528" t="str">
        <f t="shared" si="25"/>
        <v>NA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5.7546409999999995</v>
      </c>
      <c r="P528">
        <f t="shared" si="27"/>
        <v>5.7546409999999995</v>
      </c>
      <c r="S528">
        <f t="shared" si="26"/>
        <v>4.7916316077500003</v>
      </c>
    </row>
    <row r="529" spans="1:19">
      <c r="A529" s="7">
        <v>42444</v>
      </c>
      <c r="B529" s="8" t="s">
        <v>57</v>
      </c>
      <c r="C529">
        <v>12</v>
      </c>
      <c r="D529" s="8" t="s">
        <v>61</v>
      </c>
      <c r="F529">
        <v>1.68</v>
      </c>
      <c r="J529">
        <f>57+91+109+116+127</f>
        <v>500</v>
      </c>
      <c r="K529">
        <v>5</v>
      </c>
      <c r="L529">
        <v>127</v>
      </c>
      <c r="N529" t="str">
        <f t="shared" si="25"/>
        <v>NA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6.5446040000000067</v>
      </c>
      <c r="P529">
        <f t="shared" si="27"/>
        <v>6.5446040000000067</v>
      </c>
      <c r="S529">
        <f t="shared" si="26"/>
        <v>2.2167059039999994</v>
      </c>
    </row>
    <row r="530" spans="1:19">
      <c r="A530" s="7">
        <v>42444</v>
      </c>
      <c r="B530" s="8" t="s">
        <v>57</v>
      </c>
      <c r="C530">
        <v>12</v>
      </c>
      <c r="D530" s="8" t="s">
        <v>61</v>
      </c>
      <c r="F530">
        <v>1.1599999999999999</v>
      </c>
      <c r="J530">
        <f>61+69+87+96</f>
        <v>313</v>
      </c>
      <c r="K530">
        <v>4</v>
      </c>
      <c r="L530">
        <v>96</v>
      </c>
      <c r="N530" t="str">
        <f t="shared" si="25"/>
        <v>NA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5.3733670000000018</v>
      </c>
      <c r="P530">
        <f t="shared" si="27"/>
        <v>5.3733670000000018</v>
      </c>
      <c r="S530">
        <f t="shared" si="26"/>
        <v>1.0568308759999998</v>
      </c>
    </row>
    <row r="531" spans="1:19">
      <c r="A531" s="7">
        <v>42444</v>
      </c>
      <c r="B531" s="8" t="s">
        <v>57</v>
      </c>
      <c r="C531">
        <v>12</v>
      </c>
      <c r="D531" s="8" t="s">
        <v>61</v>
      </c>
      <c r="F531">
        <v>2.37</v>
      </c>
      <c r="J531">
        <f>68+51+58+82+80+104+106</f>
        <v>549</v>
      </c>
      <c r="K531">
        <v>7</v>
      </c>
      <c r="L531">
        <v>106</v>
      </c>
      <c r="N531" t="str">
        <f t="shared" si="25"/>
        <v>NA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3.4200380000000052</v>
      </c>
      <c r="P531">
        <f t="shared" si="27"/>
        <v>3.4200380000000052</v>
      </c>
      <c r="S531">
        <f t="shared" si="26"/>
        <v>4.4114992177500003</v>
      </c>
    </row>
    <row r="532" spans="1:19">
      <c r="A532" s="7">
        <v>42444</v>
      </c>
      <c r="B532" s="8" t="s">
        <v>57</v>
      </c>
      <c r="C532">
        <v>12</v>
      </c>
      <c r="D532" s="8" t="s">
        <v>61</v>
      </c>
      <c r="F532">
        <v>2.96</v>
      </c>
      <c r="J532">
        <f>77+114+121+150+153+172</f>
        <v>787</v>
      </c>
      <c r="K532">
        <v>6</v>
      </c>
      <c r="L532">
        <v>172</v>
      </c>
      <c r="N532" t="str">
        <f t="shared" si="25"/>
        <v>NA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12.873911</v>
      </c>
      <c r="P532">
        <f t="shared" si="27"/>
        <v>12.873911</v>
      </c>
      <c r="S532">
        <f t="shared" si="26"/>
        <v>6.8813387359999991</v>
      </c>
    </row>
    <row r="533" spans="1:19">
      <c r="A533" s="7">
        <v>42444</v>
      </c>
      <c r="B533" s="8" t="s">
        <v>57</v>
      </c>
      <c r="C533">
        <v>12</v>
      </c>
      <c r="D533" s="8" t="s">
        <v>61</v>
      </c>
      <c r="F533">
        <v>1.01</v>
      </c>
      <c r="J533">
        <f>45+67+57+82</f>
        <v>251</v>
      </c>
      <c r="K533">
        <v>4</v>
      </c>
      <c r="L533">
        <v>82</v>
      </c>
      <c r="N533" t="str">
        <f t="shared" si="25"/>
        <v>NA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3.7779869999999995</v>
      </c>
      <c r="P533">
        <f t="shared" si="27"/>
        <v>3.7779869999999995</v>
      </c>
      <c r="S533">
        <f t="shared" si="26"/>
        <v>0.80118398974999994</v>
      </c>
    </row>
    <row r="534" spans="1:19">
      <c r="A534" s="7">
        <v>42444</v>
      </c>
      <c r="B534" s="8" t="s">
        <v>57</v>
      </c>
      <c r="C534">
        <v>12</v>
      </c>
      <c r="D534" s="8" t="s">
        <v>61</v>
      </c>
      <c r="F534">
        <v>2.93</v>
      </c>
      <c r="J534">
        <f>50+95+104+106+113+132+134</f>
        <v>734</v>
      </c>
      <c r="K534">
        <v>7</v>
      </c>
      <c r="L534">
        <v>134</v>
      </c>
      <c r="N534" t="str">
        <f t="shared" si="25"/>
        <v>NA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12.329853</v>
      </c>
      <c r="P534">
        <f t="shared" si="27"/>
        <v>12.329853</v>
      </c>
      <c r="S534">
        <f t="shared" si="26"/>
        <v>6.7425589977500007</v>
      </c>
    </row>
    <row r="535" spans="1:19">
      <c r="A535" s="7">
        <v>42444</v>
      </c>
      <c r="B535" s="8" t="s">
        <v>57</v>
      </c>
      <c r="C535">
        <v>12</v>
      </c>
      <c r="D535" s="8" t="s">
        <v>61</v>
      </c>
      <c r="F535">
        <v>0.97</v>
      </c>
      <c r="J535">
        <f>43+66+64+86+91</f>
        <v>350</v>
      </c>
      <c r="K535">
        <v>5</v>
      </c>
      <c r="L535">
        <v>91</v>
      </c>
      <c r="N535" t="str">
        <f t="shared" si="25"/>
        <v>NA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3.3261740000000017</v>
      </c>
      <c r="P535">
        <f t="shared" si="27"/>
        <v>3.3261740000000017</v>
      </c>
      <c r="S535">
        <f t="shared" si="26"/>
        <v>0.7389805077499999</v>
      </c>
    </row>
    <row r="536" spans="1:19">
      <c r="A536" s="7">
        <v>42444</v>
      </c>
      <c r="B536" s="8" t="s">
        <v>57</v>
      </c>
      <c r="C536">
        <v>12</v>
      </c>
      <c r="D536" s="8" t="s">
        <v>61</v>
      </c>
      <c r="F536">
        <v>0.73</v>
      </c>
      <c r="J536">
        <f>35+35+57+59</f>
        <v>186</v>
      </c>
      <c r="K536">
        <v>4</v>
      </c>
      <c r="L536">
        <v>59</v>
      </c>
      <c r="N536" t="str">
        <f t="shared" si="25"/>
        <v>NA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4.6125469999999993</v>
      </c>
      <c r="P536">
        <f t="shared" si="27"/>
        <v>4.6125469999999993</v>
      </c>
      <c r="S536">
        <f t="shared" si="26"/>
        <v>0.41853832774999994</v>
      </c>
    </row>
    <row r="537" spans="1:19">
      <c r="A537" s="7">
        <v>42444</v>
      </c>
      <c r="B537" s="8" t="s">
        <v>57</v>
      </c>
      <c r="C537">
        <v>12</v>
      </c>
      <c r="D537" s="8" t="s">
        <v>61</v>
      </c>
      <c r="F537">
        <v>0.49</v>
      </c>
      <c r="J537">
        <f>41+47+55</f>
        <v>143</v>
      </c>
      <c r="K537">
        <v>3</v>
      </c>
      <c r="L537">
        <v>55</v>
      </c>
      <c r="N537" t="str">
        <f t="shared" si="25"/>
        <v>NA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8.8084149999999966</v>
      </c>
      <c r="P537">
        <f t="shared" si="27"/>
        <v>8.8084149999999966</v>
      </c>
      <c r="S537">
        <f t="shared" si="26"/>
        <v>0.18857393974999997</v>
      </c>
    </row>
    <row r="538" spans="1:19">
      <c r="A538" s="7">
        <v>42444</v>
      </c>
      <c r="B538" s="8" t="s">
        <v>57</v>
      </c>
      <c r="C538">
        <v>12</v>
      </c>
      <c r="D538" s="8" t="s">
        <v>61</v>
      </c>
      <c r="F538">
        <v>1.05</v>
      </c>
      <c r="J538">
        <f>45+54+64+75+82</f>
        <v>320</v>
      </c>
      <c r="K538">
        <v>5</v>
      </c>
      <c r="L538">
        <v>82</v>
      </c>
      <c r="N538" t="str">
        <f t="shared" si="25"/>
        <v>NA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3.2247290000000035</v>
      </c>
      <c r="P538">
        <f t="shared" si="27"/>
        <v>3.2247290000000035</v>
      </c>
      <c r="S538">
        <f t="shared" si="26"/>
        <v>0.86590074375000003</v>
      </c>
    </row>
    <row r="539" spans="1:19">
      <c r="A539" s="7">
        <v>42444</v>
      </c>
      <c r="B539" s="8" t="s">
        <v>57</v>
      </c>
      <c r="C539">
        <v>12</v>
      </c>
      <c r="D539" s="8" t="s">
        <v>61</v>
      </c>
      <c r="F539">
        <v>1.1100000000000001</v>
      </c>
      <c r="J539">
        <f>37+55+63+72+74</f>
        <v>301</v>
      </c>
      <c r="K539">
        <v>5</v>
      </c>
      <c r="L539">
        <v>74</v>
      </c>
      <c r="N539" t="str">
        <f t="shared" si="25"/>
        <v>NA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3.8533439999999999</v>
      </c>
      <c r="P539">
        <f t="shared" si="27"/>
        <v>3.8533439999999999</v>
      </c>
      <c r="S539">
        <f t="shared" si="26"/>
        <v>0.96768825975000017</v>
      </c>
    </row>
    <row r="540" spans="1:19">
      <c r="A540" s="7">
        <v>42444</v>
      </c>
      <c r="B540" s="8" t="s">
        <v>57</v>
      </c>
      <c r="C540">
        <v>4</v>
      </c>
      <c r="M540" t="s">
        <v>62</v>
      </c>
      <c r="P540">
        <f t="shared" si="27"/>
        <v>0</v>
      </c>
    </row>
    <row r="541" spans="1:19">
      <c r="A541" s="7">
        <v>42445</v>
      </c>
      <c r="B541" s="8" t="s">
        <v>23</v>
      </c>
      <c r="C541">
        <v>42</v>
      </c>
      <c r="D541" s="8" t="s">
        <v>61</v>
      </c>
      <c r="F541">
        <v>4.7300000000000004</v>
      </c>
      <c r="J541">
        <f>63+182+143+19+199+206</f>
        <v>812</v>
      </c>
      <c r="K541">
        <v>6</v>
      </c>
      <c r="L541">
        <v>206</v>
      </c>
      <c r="N541" t="str">
        <f t="shared" ref="N541:N572" si="28">IF(OR(D541="S. acutus", D541="S. tabernaemontani", D541="S. californicus"),(1/3)*(3.14159)*((F541/2)^2)*E541,"NA")</f>
        <v>NA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4.9754560000000083</v>
      </c>
      <c r="P541">
        <f t="shared" si="27"/>
        <v>4.9754560000000083</v>
      </c>
      <c r="S541">
        <f t="shared" ref="S541:S572" si="29">3.14159*((F541/2)^2)</f>
        <v>17.571619727750004</v>
      </c>
    </row>
    <row r="542" spans="1:19">
      <c r="A542" s="7">
        <v>42445</v>
      </c>
      <c r="B542" s="8" t="s">
        <v>23</v>
      </c>
      <c r="C542">
        <v>42</v>
      </c>
      <c r="D542" s="8" t="s">
        <v>61</v>
      </c>
      <c r="F542">
        <v>2.0499999999999998</v>
      </c>
      <c r="J542">
        <f>91+94+66+113+121+136</f>
        <v>621</v>
      </c>
      <c r="K542">
        <v>6</v>
      </c>
      <c r="L542">
        <v>136</v>
      </c>
      <c r="N542" t="str">
        <f t="shared" si="28"/>
        <v>NA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8.1554010000000048</v>
      </c>
      <c r="P542">
        <f t="shared" si="27"/>
        <v>8.1554010000000048</v>
      </c>
      <c r="S542">
        <f t="shared" si="29"/>
        <v>3.3006329937499994</v>
      </c>
    </row>
    <row r="543" spans="1:19">
      <c r="A543" s="7">
        <v>42445</v>
      </c>
      <c r="B543" s="8" t="s">
        <v>23</v>
      </c>
      <c r="C543">
        <v>42</v>
      </c>
      <c r="D543" s="8" t="s">
        <v>61</v>
      </c>
      <c r="F543">
        <v>1.25</v>
      </c>
      <c r="J543">
        <f>68+38+106+118+120</f>
        <v>450</v>
      </c>
      <c r="K543">
        <v>5</v>
      </c>
      <c r="L543">
        <v>120</v>
      </c>
      <c r="N543" t="str">
        <f t="shared" si="28"/>
        <v>NA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3.9655690000000021</v>
      </c>
      <c r="P543">
        <f t="shared" si="27"/>
        <v>3.9655690000000021</v>
      </c>
      <c r="S543">
        <f t="shared" si="29"/>
        <v>1.22718359375</v>
      </c>
    </row>
    <row r="544" spans="1:19">
      <c r="A544" s="7">
        <v>42445</v>
      </c>
      <c r="B544" s="8" t="s">
        <v>23</v>
      </c>
      <c r="C544">
        <v>42</v>
      </c>
      <c r="D544" s="8" t="s">
        <v>61</v>
      </c>
      <c r="F544">
        <v>1.05</v>
      </c>
      <c r="J544">
        <f>63+66+100+113+119</f>
        <v>461</v>
      </c>
      <c r="K544">
        <v>5</v>
      </c>
      <c r="L544">
        <v>119</v>
      </c>
      <c r="N544" t="str">
        <f t="shared" si="28"/>
        <v>NA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5.2981189999999998</v>
      </c>
      <c r="P544">
        <f t="shared" si="27"/>
        <v>5.2981189999999998</v>
      </c>
      <c r="S544">
        <f t="shared" si="29"/>
        <v>0.86590074375000003</v>
      </c>
    </row>
    <row r="545" spans="1:19">
      <c r="A545" s="7">
        <v>42445</v>
      </c>
      <c r="B545" s="8" t="s">
        <v>23</v>
      </c>
      <c r="C545">
        <v>42</v>
      </c>
      <c r="D545" s="8" t="s">
        <v>61</v>
      </c>
      <c r="F545">
        <v>0.7</v>
      </c>
      <c r="J545">
        <f>34+36</f>
        <v>70</v>
      </c>
      <c r="K545">
        <v>2</v>
      </c>
      <c r="L545">
        <v>36</v>
      </c>
      <c r="N545" t="str">
        <f t="shared" si="28"/>
        <v>NA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14.710307999999998</v>
      </c>
      <c r="P545">
        <f t="shared" si="27"/>
        <v>14.710307999999998</v>
      </c>
      <c r="S545">
        <f t="shared" si="29"/>
        <v>0.38484477499999992</v>
      </c>
    </row>
    <row r="546" spans="1:19">
      <c r="A546" s="7">
        <v>42445</v>
      </c>
      <c r="B546" s="8" t="s">
        <v>23</v>
      </c>
      <c r="C546">
        <v>42</v>
      </c>
      <c r="D546" s="8" t="s">
        <v>61</v>
      </c>
      <c r="F546">
        <v>1.06</v>
      </c>
      <c r="J546">
        <f>104+108+112</f>
        <v>324</v>
      </c>
      <c r="K546">
        <v>3</v>
      </c>
      <c r="L546">
        <v>112</v>
      </c>
      <c r="N546" t="str">
        <f t="shared" si="28"/>
        <v>NA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8.6071049999999971</v>
      </c>
      <c r="P546">
        <f t="shared" si="27"/>
        <v>8.6071049999999971</v>
      </c>
      <c r="S546">
        <f t="shared" si="29"/>
        <v>0.88247263100000006</v>
      </c>
    </row>
    <row r="547" spans="1:19">
      <c r="A547" s="7">
        <v>42445</v>
      </c>
      <c r="B547" s="8" t="s">
        <v>23</v>
      </c>
      <c r="C547">
        <v>42</v>
      </c>
      <c r="D547" s="8" t="s">
        <v>61</v>
      </c>
      <c r="F547">
        <v>1.01</v>
      </c>
      <c r="J547">
        <f>54+63+76</f>
        <v>193</v>
      </c>
      <c r="K547">
        <v>3</v>
      </c>
      <c r="L547">
        <v>76</v>
      </c>
      <c r="N547" t="str">
        <f t="shared" si="28"/>
        <v>NA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7.1700199999999974</v>
      </c>
      <c r="P547">
        <f t="shared" si="27"/>
        <v>7.1700199999999974</v>
      </c>
      <c r="S547">
        <f t="shared" si="29"/>
        <v>0.80118398974999994</v>
      </c>
    </row>
    <row r="548" spans="1:19">
      <c r="A548" s="7">
        <v>42445</v>
      </c>
      <c r="B548" s="8" t="s">
        <v>23</v>
      </c>
      <c r="C548">
        <v>42</v>
      </c>
      <c r="D548" s="8" t="s">
        <v>61</v>
      </c>
      <c r="F548">
        <v>0.85</v>
      </c>
      <c r="J548">
        <f>34+60+62+76</f>
        <v>232</v>
      </c>
      <c r="K548">
        <v>4</v>
      </c>
      <c r="L548">
        <v>76</v>
      </c>
      <c r="N548" t="str">
        <f t="shared" si="28"/>
        <v>NA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3.8041119999999999</v>
      </c>
      <c r="P548">
        <f t="shared" si="27"/>
        <v>3.8041119999999999</v>
      </c>
      <c r="S548">
        <f t="shared" si="29"/>
        <v>0.56744969374999987</v>
      </c>
    </row>
    <row r="549" spans="1:19">
      <c r="A549" s="7">
        <v>42445</v>
      </c>
      <c r="B549" s="8" t="s">
        <v>23</v>
      </c>
      <c r="C549">
        <v>34</v>
      </c>
      <c r="D549" s="8" t="s">
        <v>61</v>
      </c>
      <c r="F549">
        <v>0.95</v>
      </c>
      <c r="J549">
        <f>5+66+67+34</f>
        <v>172</v>
      </c>
      <c r="K549">
        <v>4</v>
      </c>
      <c r="L549">
        <v>67</v>
      </c>
      <c r="N549" t="str">
        <f t="shared" si="28"/>
        <v>NA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0.89001699999999317</v>
      </c>
      <c r="P549">
        <f t="shared" si="27"/>
        <v>0.89001699999999317</v>
      </c>
      <c r="S549">
        <f t="shared" si="29"/>
        <v>0.70882124375</v>
      </c>
    </row>
    <row r="550" spans="1:19">
      <c r="A550" s="7">
        <v>42445</v>
      </c>
      <c r="B550" s="8" t="s">
        <v>23</v>
      </c>
      <c r="C550">
        <v>34</v>
      </c>
      <c r="D550" s="8" t="s">
        <v>61</v>
      </c>
      <c r="F550">
        <v>2.9</v>
      </c>
      <c r="J550">
        <f>42+78+99+108+130+135+158+160</f>
        <v>910</v>
      </c>
      <c r="K550">
        <v>8</v>
      </c>
      <c r="L550">
        <v>160</v>
      </c>
      <c r="N550" t="str">
        <f t="shared" si="28"/>
        <v>NA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13.976010000000009</v>
      </c>
      <c r="P550">
        <f t="shared" si="27"/>
        <v>13.976010000000009</v>
      </c>
      <c r="S550">
        <f t="shared" si="29"/>
        <v>6.6051929749999996</v>
      </c>
    </row>
    <row r="551" spans="1:19">
      <c r="A551" s="7">
        <v>42445</v>
      </c>
      <c r="B551" s="8" t="s">
        <v>23</v>
      </c>
      <c r="C551">
        <v>34</v>
      </c>
      <c r="D551" s="8" t="s">
        <v>61</v>
      </c>
      <c r="F551">
        <v>1.69</v>
      </c>
      <c r="J551">
        <f>60+87+103+129+131</f>
        <v>510</v>
      </c>
      <c r="K551">
        <v>5</v>
      </c>
      <c r="L551">
        <v>131</v>
      </c>
      <c r="N551" t="str">
        <f t="shared" si="28"/>
        <v>NA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6.2771740000000023</v>
      </c>
      <c r="P551">
        <f t="shared" si="27"/>
        <v>6.2771740000000023</v>
      </c>
      <c r="S551">
        <f t="shared" si="29"/>
        <v>2.2431737997499996</v>
      </c>
    </row>
    <row r="552" spans="1:19">
      <c r="A552" s="7">
        <v>42445</v>
      </c>
      <c r="B552" s="8" t="s">
        <v>23</v>
      </c>
      <c r="C552">
        <v>34</v>
      </c>
      <c r="D552" s="8" t="s">
        <v>61</v>
      </c>
      <c r="F552">
        <v>1.31</v>
      </c>
      <c r="J552">
        <f>41+67+70+86+94+102</f>
        <v>460</v>
      </c>
      <c r="K552">
        <v>6</v>
      </c>
      <c r="L552">
        <v>102</v>
      </c>
      <c r="N552" t="str">
        <f t="shared" si="28"/>
        <v>NA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3.3031760000000041</v>
      </c>
      <c r="P552">
        <f t="shared" si="27"/>
        <v>3.3031760000000041</v>
      </c>
      <c r="S552">
        <f t="shared" si="29"/>
        <v>1.34782064975</v>
      </c>
    </row>
    <row r="553" spans="1:19">
      <c r="A553" s="7">
        <v>42445</v>
      </c>
      <c r="B553" s="8" t="s">
        <v>23</v>
      </c>
      <c r="C553">
        <v>34</v>
      </c>
      <c r="D553" s="8" t="s">
        <v>61</v>
      </c>
      <c r="F553">
        <v>2.2200000000000002</v>
      </c>
      <c r="J553">
        <f>51+82+88+108+117+129+141</f>
        <v>716</v>
      </c>
      <c r="K553">
        <v>7</v>
      </c>
      <c r="L553">
        <v>141</v>
      </c>
      <c r="N553" t="str">
        <f t="shared" si="28"/>
        <v>NA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8.5335480000000032</v>
      </c>
      <c r="P553">
        <f t="shared" si="27"/>
        <v>8.5335480000000032</v>
      </c>
      <c r="S553">
        <f t="shared" si="29"/>
        <v>3.8707530390000007</v>
      </c>
    </row>
    <row r="554" spans="1:19">
      <c r="A554" s="7">
        <v>42445</v>
      </c>
      <c r="B554" s="8" t="s">
        <v>23</v>
      </c>
      <c r="C554">
        <v>34</v>
      </c>
      <c r="D554" s="8" t="s">
        <v>61</v>
      </c>
      <c r="F554">
        <v>1.2</v>
      </c>
      <c r="J554">
        <f>63+90+113+113+76</f>
        <v>455</v>
      </c>
      <c r="K554">
        <v>5</v>
      </c>
      <c r="L554">
        <v>113</v>
      </c>
      <c r="N554" t="str">
        <f t="shared" si="28"/>
        <v>NA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6.5430590000000066</v>
      </c>
      <c r="P554">
        <f t="shared" si="27"/>
        <v>6.5430590000000066</v>
      </c>
      <c r="S554">
        <f t="shared" si="29"/>
        <v>1.1309723999999999</v>
      </c>
    </row>
    <row r="555" spans="1:19">
      <c r="A555" s="7">
        <v>42445</v>
      </c>
      <c r="B555" s="8" t="s">
        <v>23</v>
      </c>
      <c r="C555">
        <v>34</v>
      </c>
      <c r="D555" s="8" t="s">
        <v>61</v>
      </c>
      <c r="F555">
        <v>1.48</v>
      </c>
      <c r="J555">
        <f>36+62+82+97+97</f>
        <v>374</v>
      </c>
      <c r="K555">
        <v>5</v>
      </c>
      <c r="L555">
        <v>97</v>
      </c>
      <c r="N555" t="str">
        <f t="shared" si="28"/>
        <v>NA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3.7688240000000022</v>
      </c>
      <c r="P555">
        <f t="shared" si="27"/>
        <v>3.7688240000000022</v>
      </c>
      <c r="S555">
        <f t="shared" si="29"/>
        <v>1.7203346839999998</v>
      </c>
    </row>
    <row r="556" spans="1:19">
      <c r="A556" s="7">
        <v>42445</v>
      </c>
      <c r="B556" s="8" t="s">
        <v>23</v>
      </c>
      <c r="C556">
        <v>33</v>
      </c>
      <c r="D556" s="8" t="s">
        <v>61</v>
      </c>
      <c r="F556">
        <v>1.65</v>
      </c>
      <c r="J556">
        <f>42+70+94+94+109+113</f>
        <v>522</v>
      </c>
      <c r="K556">
        <v>6</v>
      </c>
      <c r="L556">
        <v>113</v>
      </c>
      <c r="N556" t="str">
        <f t="shared" si="28"/>
        <v>NA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5.8022910000000039</v>
      </c>
      <c r="P556">
        <f t="shared" si="27"/>
        <v>5.8022910000000039</v>
      </c>
      <c r="S556">
        <f t="shared" si="29"/>
        <v>2.1382446937499995</v>
      </c>
    </row>
    <row r="557" spans="1:19">
      <c r="A557" s="7">
        <v>42445</v>
      </c>
      <c r="B557" s="8" t="s">
        <v>23</v>
      </c>
      <c r="C557">
        <v>33</v>
      </c>
      <c r="D557" s="8" t="s">
        <v>61</v>
      </c>
      <c r="F557">
        <v>3.35</v>
      </c>
      <c r="J557">
        <f>49+65+83+88+111+118+128+141</f>
        <v>783</v>
      </c>
      <c r="K557">
        <v>8</v>
      </c>
      <c r="L557">
        <v>141</v>
      </c>
      <c r="N557" t="str">
        <f t="shared" si="28"/>
        <v>NA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7.7927800000000076</v>
      </c>
      <c r="P557">
        <f t="shared" si="27"/>
        <v>7.7927800000000076</v>
      </c>
      <c r="S557">
        <f t="shared" si="29"/>
        <v>8.8141234437499989</v>
      </c>
    </row>
    <row r="558" spans="1:19">
      <c r="A558" s="7">
        <v>42445</v>
      </c>
      <c r="B558" s="8" t="s">
        <v>23</v>
      </c>
      <c r="C558">
        <v>33</v>
      </c>
      <c r="D558" s="8" t="s">
        <v>61</v>
      </c>
      <c r="F558">
        <v>2.0499999999999998</v>
      </c>
      <c r="J558">
        <f>67+97+19+38+39+59</f>
        <v>319</v>
      </c>
      <c r="K558">
        <v>6</v>
      </c>
      <c r="L558">
        <v>97</v>
      </c>
      <c r="N558" t="str">
        <f t="shared" si="28"/>
        <v>NA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-8.4100540000000024</v>
      </c>
      <c r="P558" t="str">
        <f t="shared" si="27"/>
        <v>0</v>
      </c>
      <c r="S558">
        <f t="shared" si="29"/>
        <v>3.3006329937499994</v>
      </c>
    </row>
    <row r="559" spans="1:19">
      <c r="A559" s="7">
        <v>42445</v>
      </c>
      <c r="B559" s="8" t="s">
        <v>23</v>
      </c>
      <c r="C559">
        <v>33</v>
      </c>
      <c r="D559" s="8" t="s">
        <v>61</v>
      </c>
      <c r="F559">
        <v>1.29</v>
      </c>
      <c r="J559">
        <f>33+61+82+85+100</f>
        <v>361</v>
      </c>
      <c r="K559">
        <v>5</v>
      </c>
      <c r="L559">
        <v>100</v>
      </c>
      <c r="N559" t="str">
        <f t="shared" si="28"/>
        <v>NA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1.6462740000000053</v>
      </c>
      <c r="P559">
        <f t="shared" si="27"/>
        <v>1.6462740000000053</v>
      </c>
      <c r="S559">
        <f t="shared" si="29"/>
        <v>1.3069799797500001</v>
      </c>
    </row>
    <row r="560" spans="1:19">
      <c r="A560" s="7">
        <v>42445</v>
      </c>
      <c r="B560" s="8" t="s">
        <v>23</v>
      </c>
      <c r="C560">
        <v>33</v>
      </c>
      <c r="D560" s="8" t="s">
        <v>61</v>
      </c>
      <c r="F560">
        <v>7.71</v>
      </c>
      <c r="J560">
        <f>52+84+166+185+207+210</f>
        <v>904</v>
      </c>
      <c r="K560">
        <v>6</v>
      </c>
      <c r="L560">
        <v>210</v>
      </c>
      <c r="N560" t="str">
        <f t="shared" si="28"/>
        <v>NA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12.395935999999999</v>
      </c>
      <c r="P560">
        <f t="shared" si="27"/>
        <v>12.395935999999999</v>
      </c>
      <c r="S560">
        <f t="shared" si="29"/>
        <v>46.687247529749996</v>
      </c>
    </row>
    <row r="561" spans="1:19">
      <c r="A561" s="7">
        <v>42445</v>
      </c>
      <c r="B561" s="8" t="s">
        <v>23</v>
      </c>
      <c r="C561">
        <v>33</v>
      </c>
      <c r="D561" s="8" t="s">
        <v>61</v>
      </c>
      <c r="F561">
        <v>0.77</v>
      </c>
      <c r="J561">
        <f>41+48+57+70</f>
        <v>216</v>
      </c>
      <c r="K561">
        <v>4</v>
      </c>
      <c r="L561">
        <v>70</v>
      </c>
      <c r="N561" t="str">
        <f t="shared" si="28"/>
        <v>NA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4.1115020000000015</v>
      </c>
      <c r="P561">
        <f t="shared" si="27"/>
        <v>4.1115020000000015</v>
      </c>
      <c r="S561">
        <f t="shared" si="29"/>
        <v>0.46566217774999996</v>
      </c>
    </row>
    <row r="562" spans="1:19">
      <c r="A562" s="7">
        <v>42445</v>
      </c>
      <c r="B562" s="8" t="s">
        <v>23</v>
      </c>
      <c r="C562">
        <v>33</v>
      </c>
      <c r="D562" s="8" t="s">
        <v>61</v>
      </c>
      <c r="F562">
        <v>1.25</v>
      </c>
      <c r="J562">
        <f>59+62+83+100+102+120</f>
        <v>526</v>
      </c>
      <c r="K562">
        <v>6</v>
      </c>
      <c r="L562">
        <v>120</v>
      </c>
      <c r="N562" t="str">
        <f t="shared" si="28"/>
        <v>NA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4.0685959999999994</v>
      </c>
      <c r="P562">
        <f t="shared" si="27"/>
        <v>4.0685959999999994</v>
      </c>
      <c r="S562">
        <f t="shared" si="29"/>
        <v>1.22718359375</v>
      </c>
    </row>
    <row r="563" spans="1:19">
      <c r="A563" s="7">
        <v>42445</v>
      </c>
      <c r="B563" s="8" t="s">
        <v>23</v>
      </c>
      <c r="C563">
        <v>33</v>
      </c>
      <c r="D563" s="8" t="s">
        <v>61</v>
      </c>
      <c r="F563">
        <v>1.77</v>
      </c>
      <c r="J563">
        <f>32+53+64</f>
        <v>149</v>
      </c>
      <c r="K563">
        <v>3</v>
      </c>
      <c r="L563">
        <v>64</v>
      </c>
      <c r="N563" t="str">
        <f t="shared" si="28"/>
        <v>NA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6.6597399999999993</v>
      </c>
      <c r="P563">
        <f t="shared" si="27"/>
        <v>6.6597399999999993</v>
      </c>
      <c r="S563">
        <f t="shared" si="29"/>
        <v>2.4605718277499999</v>
      </c>
    </row>
    <row r="564" spans="1:19">
      <c r="A564" s="7">
        <v>42445</v>
      </c>
      <c r="B564" s="8" t="s">
        <v>23</v>
      </c>
      <c r="C564">
        <v>33</v>
      </c>
      <c r="D564" s="8" t="s">
        <v>61</v>
      </c>
      <c r="F564">
        <v>0.85</v>
      </c>
      <c r="J564">
        <f>22+27+42+50+53</f>
        <v>194</v>
      </c>
      <c r="K564">
        <v>5</v>
      </c>
      <c r="L564">
        <v>53</v>
      </c>
      <c r="N564" t="str">
        <f t="shared" si="28"/>
        <v>NA</v>
      </c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0.14770399999999739</v>
      </c>
      <c r="P564">
        <f t="shared" si="27"/>
        <v>0.14770399999999739</v>
      </c>
      <c r="S564">
        <f t="shared" si="29"/>
        <v>0.56744969374999987</v>
      </c>
    </row>
    <row r="565" spans="1:19">
      <c r="A565" s="7">
        <v>42445</v>
      </c>
      <c r="B565" s="8" t="s">
        <v>23</v>
      </c>
      <c r="C565">
        <v>33</v>
      </c>
      <c r="D565" s="8" t="s">
        <v>61</v>
      </c>
      <c r="F565">
        <v>1.4</v>
      </c>
      <c r="J565">
        <f>53+65+44+84+84+99</f>
        <v>429</v>
      </c>
      <c r="K565">
        <v>6</v>
      </c>
      <c r="L565">
        <v>99</v>
      </c>
      <c r="N565" t="str">
        <f t="shared" si="28"/>
        <v>NA</v>
      </c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1.3005059999999951</v>
      </c>
      <c r="P565">
        <f t="shared" si="27"/>
        <v>1.3005059999999951</v>
      </c>
      <c r="S565">
        <f t="shared" si="29"/>
        <v>1.5393790999999997</v>
      </c>
    </row>
    <row r="566" spans="1:19">
      <c r="A566" s="7">
        <v>42445</v>
      </c>
      <c r="B566" s="8" t="s">
        <v>23</v>
      </c>
      <c r="C566">
        <v>33</v>
      </c>
      <c r="D566" s="8" t="s">
        <v>61</v>
      </c>
      <c r="F566">
        <v>0.91</v>
      </c>
      <c r="J566">
        <f>37+45+63+83+65</f>
        <v>293</v>
      </c>
      <c r="K566">
        <v>5</v>
      </c>
      <c r="L566">
        <v>85</v>
      </c>
      <c r="N566" t="str">
        <f t="shared" si="28"/>
        <v>NA</v>
      </c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-0.21039099999999422</v>
      </c>
      <c r="P566" t="str">
        <f t="shared" si="27"/>
        <v>0</v>
      </c>
      <c r="S566">
        <f t="shared" si="29"/>
        <v>0.65038766975000006</v>
      </c>
    </row>
    <row r="567" spans="1:19">
      <c r="A567" s="7">
        <v>42445</v>
      </c>
      <c r="B567" s="8" t="s">
        <v>23</v>
      </c>
      <c r="C567">
        <v>33</v>
      </c>
      <c r="D567" s="8" t="s">
        <v>61</v>
      </c>
      <c r="F567">
        <v>1.1200000000000001</v>
      </c>
      <c r="J567">
        <f>31+61+66+81+99+101</f>
        <v>439</v>
      </c>
      <c r="K567">
        <v>6</v>
      </c>
      <c r="L567">
        <v>101</v>
      </c>
      <c r="N567" t="str">
        <f t="shared" si="28"/>
        <v>NA</v>
      </c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1.6355659999999972</v>
      </c>
      <c r="P567">
        <f t="shared" si="27"/>
        <v>1.6355659999999972</v>
      </c>
      <c r="S567">
        <f t="shared" si="29"/>
        <v>0.98520262400000014</v>
      </c>
    </row>
    <row r="568" spans="1:19">
      <c r="A568" s="7">
        <v>42445</v>
      </c>
      <c r="B568" s="8" t="s">
        <v>23</v>
      </c>
      <c r="C568">
        <v>33</v>
      </c>
      <c r="D568" s="8" t="s">
        <v>61</v>
      </c>
      <c r="F568">
        <v>0.61</v>
      </c>
      <c r="J568">
        <f>32+41+47+58</f>
        <v>178</v>
      </c>
      <c r="K568">
        <v>4</v>
      </c>
      <c r="L568">
        <v>58</v>
      </c>
      <c r="N568" t="str">
        <f t="shared" si="28"/>
        <v>NA</v>
      </c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4.1637519999999988</v>
      </c>
      <c r="P568">
        <f t="shared" si="27"/>
        <v>4.1637519999999988</v>
      </c>
      <c r="S568">
        <f t="shared" si="29"/>
        <v>0.29224640974999999</v>
      </c>
    </row>
    <row r="569" spans="1:19">
      <c r="A569" s="7">
        <v>42445</v>
      </c>
      <c r="B569" s="8" t="s">
        <v>23</v>
      </c>
      <c r="C569">
        <v>33</v>
      </c>
      <c r="D569" s="8" t="s">
        <v>61</v>
      </c>
      <c r="F569">
        <v>8.76</v>
      </c>
      <c r="J569">
        <f>88+121+165+169+183+197+201</f>
        <v>1124</v>
      </c>
      <c r="K569">
        <v>7</v>
      </c>
      <c r="L569">
        <v>201</v>
      </c>
      <c r="N569" t="str">
        <f t="shared" si="28"/>
        <v>NA</v>
      </c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28.710888000000011</v>
      </c>
      <c r="P569">
        <f t="shared" si="27"/>
        <v>28.710888000000011</v>
      </c>
      <c r="S569">
        <f t="shared" si="29"/>
        <v>60.269519195999997</v>
      </c>
    </row>
    <row r="570" spans="1:19">
      <c r="A570" s="7">
        <v>42445</v>
      </c>
      <c r="B570" s="8" t="s">
        <v>23</v>
      </c>
      <c r="C570">
        <v>33</v>
      </c>
      <c r="D570" s="8" t="s">
        <v>61</v>
      </c>
      <c r="F570">
        <v>1.25</v>
      </c>
      <c r="J570">
        <f>40+46+54+65+68</f>
        <v>273</v>
      </c>
      <c r="K570">
        <v>5</v>
      </c>
      <c r="L570">
        <v>68</v>
      </c>
      <c r="N570" t="str">
        <f t="shared" si="28"/>
        <v>NA</v>
      </c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3.0356740000000002</v>
      </c>
      <c r="P570">
        <f t="shared" si="27"/>
        <v>3.0356740000000002</v>
      </c>
      <c r="S570">
        <f t="shared" si="29"/>
        <v>1.22718359375</v>
      </c>
    </row>
    <row r="571" spans="1:19">
      <c r="A571" s="7">
        <v>42445</v>
      </c>
      <c r="B571" s="8" t="s">
        <v>23</v>
      </c>
      <c r="C571">
        <v>33</v>
      </c>
      <c r="D571" s="8" t="s">
        <v>61</v>
      </c>
      <c r="F571">
        <v>1.9</v>
      </c>
      <c r="J571">
        <f>36+64+71+87+98+109+118</f>
        <v>583</v>
      </c>
      <c r="K571">
        <v>7</v>
      </c>
      <c r="L571">
        <v>118</v>
      </c>
      <c r="N571" t="str">
        <f t="shared" si="28"/>
        <v>NA</v>
      </c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2.9927680000000052</v>
      </c>
      <c r="P571">
        <f t="shared" si="27"/>
        <v>2.9927680000000052</v>
      </c>
      <c r="S571">
        <f t="shared" si="29"/>
        <v>2.835284975</v>
      </c>
    </row>
    <row r="572" spans="1:19">
      <c r="A572" s="7">
        <v>42445</v>
      </c>
      <c r="B572" s="8" t="s">
        <v>23</v>
      </c>
      <c r="C572">
        <v>33</v>
      </c>
      <c r="D572" s="8" t="s">
        <v>61</v>
      </c>
      <c r="F572">
        <v>1.31</v>
      </c>
      <c r="J572">
        <f>50+62+79+107+108+126+134</f>
        <v>666</v>
      </c>
      <c r="K572">
        <v>7</v>
      </c>
      <c r="L572">
        <v>134</v>
      </c>
      <c r="N572" t="str">
        <f t="shared" si="28"/>
        <v>NA</v>
      </c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5.9545130000000057</v>
      </c>
      <c r="P572">
        <f t="shared" si="27"/>
        <v>5.9545130000000057</v>
      </c>
      <c r="S572">
        <f t="shared" si="29"/>
        <v>1.34782064975</v>
      </c>
    </row>
    <row r="573" spans="1:19">
      <c r="A573" s="7">
        <v>42445</v>
      </c>
      <c r="B573" s="8" t="s">
        <v>23</v>
      </c>
      <c r="C573">
        <v>33</v>
      </c>
      <c r="D573" s="8" t="s">
        <v>61</v>
      </c>
      <c r="F573">
        <v>1.99</v>
      </c>
      <c r="J573">
        <f>34+58+69</f>
        <v>161</v>
      </c>
      <c r="K573">
        <v>3</v>
      </c>
      <c r="L573">
        <v>69</v>
      </c>
      <c r="N573" t="str">
        <f t="shared" ref="N573:N600" si="30">IF(OR(D573="S. acutus", D573="S. tabernaemontani", D573="S. californicus"),(1/3)*(3.14159)*((F573/2)^2)*E573,"NA")</f>
        <v>NA</v>
      </c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6.2785749999999965</v>
      </c>
      <c r="P573">
        <f t="shared" si="27"/>
        <v>6.2785749999999965</v>
      </c>
      <c r="S573">
        <f t="shared" ref="S573:S600" si="31">3.14159*((F573/2)^2)</f>
        <v>3.1102526397500001</v>
      </c>
    </row>
    <row r="574" spans="1:19">
      <c r="A574" s="7">
        <v>42445</v>
      </c>
      <c r="B574" s="8" t="s">
        <v>23</v>
      </c>
      <c r="C574">
        <v>33</v>
      </c>
      <c r="D574" s="8" t="s">
        <v>61</v>
      </c>
      <c r="F574">
        <v>1.3</v>
      </c>
      <c r="J574">
        <f>76+81+92+122+126</f>
        <v>497</v>
      </c>
      <c r="K574">
        <v>5</v>
      </c>
      <c r="L574">
        <v>126</v>
      </c>
      <c r="N574" t="str">
        <f t="shared" si="30"/>
        <v>NA</v>
      </c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6.5645840000000035</v>
      </c>
      <c r="P574">
        <f t="shared" si="27"/>
        <v>6.5645840000000035</v>
      </c>
      <c r="S574">
        <f t="shared" si="31"/>
        <v>1.3273217750000001</v>
      </c>
    </row>
    <row r="575" spans="1:19">
      <c r="A575" s="7">
        <v>42445</v>
      </c>
      <c r="B575" s="8" t="s">
        <v>23</v>
      </c>
      <c r="C575">
        <v>33</v>
      </c>
      <c r="D575" s="8" t="s">
        <v>61</v>
      </c>
      <c r="F575">
        <v>0.35</v>
      </c>
      <c r="J575">
        <f>24+41</f>
        <v>65</v>
      </c>
      <c r="K575">
        <v>2</v>
      </c>
      <c r="L575">
        <v>41</v>
      </c>
      <c r="N575" t="str">
        <f t="shared" si="30"/>
        <v>NA</v>
      </c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12.735307999999996</v>
      </c>
      <c r="P575">
        <f t="shared" si="27"/>
        <v>12.735307999999996</v>
      </c>
      <c r="S575">
        <f t="shared" si="31"/>
        <v>9.6211193749999979E-2</v>
      </c>
    </row>
    <row r="576" spans="1:19">
      <c r="A576" s="7">
        <v>42445</v>
      </c>
      <c r="B576" s="8" t="s">
        <v>23</v>
      </c>
      <c r="C576">
        <v>33</v>
      </c>
      <c r="D576" s="8" t="s">
        <v>61</v>
      </c>
      <c r="F576">
        <v>0.61</v>
      </c>
      <c r="J576">
        <f>21+34+49</f>
        <v>104</v>
      </c>
      <c r="K576">
        <v>3</v>
      </c>
      <c r="L576">
        <v>49</v>
      </c>
      <c r="N576" t="str">
        <f t="shared" si="30"/>
        <v>NA</v>
      </c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6.9594399999999972</v>
      </c>
      <c r="P576">
        <f t="shared" si="27"/>
        <v>6.9594399999999972</v>
      </c>
      <c r="S576">
        <f t="shared" si="31"/>
        <v>0.29224640974999999</v>
      </c>
    </row>
    <row r="577" spans="1:19">
      <c r="A577" s="7">
        <v>42445</v>
      </c>
      <c r="B577" s="8" t="s">
        <v>23</v>
      </c>
      <c r="C577">
        <v>33</v>
      </c>
      <c r="D577" s="8" t="s">
        <v>61</v>
      </c>
      <c r="F577">
        <v>1.95</v>
      </c>
      <c r="J577">
        <f>45+70+69+103+128+129+156</f>
        <v>700</v>
      </c>
      <c r="K577">
        <v>7</v>
      </c>
      <c r="L577">
        <v>156</v>
      </c>
      <c r="N577" t="str">
        <f t="shared" si="30"/>
        <v>NA</v>
      </c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2.5147930000000045</v>
      </c>
      <c r="P577">
        <f t="shared" si="27"/>
        <v>2.5147930000000045</v>
      </c>
      <c r="S577">
        <f t="shared" si="31"/>
        <v>2.9864739937499998</v>
      </c>
    </row>
    <row r="578" spans="1:19">
      <c r="A578" s="7">
        <v>42445</v>
      </c>
      <c r="B578" s="8" t="s">
        <v>23</v>
      </c>
      <c r="C578">
        <v>33</v>
      </c>
      <c r="D578" s="8" t="s">
        <v>61</v>
      </c>
      <c r="F578">
        <v>1.9</v>
      </c>
      <c r="J578">
        <f>52+68+76+93+100+110</f>
        <v>499</v>
      </c>
      <c r="K578">
        <v>6</v>
      </c>
      <c r="L578">
        <v>110</v>
      </c>
      <c r="N578" t="str">
        <f t="shared" si="30"/>
        <v>NA</v>
      </c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4.5496610000000004</v>
      </c>
      <c r="P578">
        <f t="shared" si="27"/>
        <v>4.5496610000000004</v>
      </c>
      <c r="S578">
        <f t="shared" si="31"/>
        <v>2.835284975</v>
      </c>
    </row>
    <row r="579" spans="1:19">
      <c r="A579" s="7">
        <v>42445</v>
      </c>
      <c r="B579" s="8" t="s">
        <v>23</v>
      </c>
      <c r="C579">
        <v>33</v>
      </c>
      <c r="D579" s="8" t="s">
        <v>61</v>
      </c>
      <c r="F579">
        <v>1.79</v>
      </c>
      <c r="J579">
        <f>66+67+109+122+138+147</f>
        <v>649</v>
      </c>
      <c r="K579">
        <v>6</v>
      </c>
      <c r="L579">
        <v>147</v>
      </c>
      <c r="N579" t="str">
        <f t="shared" si="30"/>
        <v>NA</v>
      </c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7.4668459999999968</v>
      </c>
      <c r="P579">
        <f t="shared" si="27"/>
        <v>7.4668459999999968</v>
      </c>
      <c r="S579">
        <f t="shared" si="31"/>
        <v>2.51649212975</v>
      </c>
    </row>
    <row r="580" spans="1:19">
      <c r="A580" s="7">
        <v>42445</v>
      </c>
      <c r="B580" s="8" t="s">
        <v>23</v>
      </c>
      <c r="C580">
        <v>33</v>
      </c>
      <c r="D580" s="8" t="s">
        <v>61</v>
      </c>
      <c r="F580">
        <v>1.63</v>
      </c>
      <c r="J580">
        <f>41+39+60+72</f>
        <v>212</v>
      </c>
      <c r="K580">
        <v>4</v>
      </c>
      <c r="L580">
        <v>72</v>
      </c>
      <c r="N580" t="str">
        <f t="shared" si="30"/>
        <v>NA</v>
      </c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3.1339920000000028</v>
      </c>
      <c r="P580">
        <f t="shared" si="27"/>
        <v>3.1339920000000028</v>
      </c>
      <c r="S580">
        <f t="shared" si="31"/>
        <v>2.0867226177499996</v>
      </c>
    </row>
    <row r="581" spans="1:19">
      <c r="A581" s="7">
        <v>42445</v>
      </c>
      <c r="B581" s="8" t="s">
        <v>23</v>
      </c>
      <c r="C581">
        <v>33</v>
      </c>
      <c r="D581" s="8" t="s">
        <v>61</v>
      </c>
      <c r="F581">
        <v>1.91</v>
      </c>
      <c r="J581">
        <f>45+70+69+103+127+156</f>
        <v>570</v>
      </c>
      <c r="K581">
        <v>6</v>
      </c>
      <c r="L581">
        <v>156</v>
      </c>
      <c r="N581" t="str">
        <f t="shared" si="30"/>
        <v>NA</v>
      </c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-2.6510040000000004</v>
      </c>
      <c r="P581" t="str">
        <f t="shared" si="27"/>
        <v>0</v>
      </c>
      <c r="S581">
        <f t="shared" si="31"/>
        <v>2.8652086197499997</v>
      </c>
    </row>
    <row r="582" spans="1:19">
      <c r="A582" s="7">
        <v>42445</v>
      </c>
      <c r="B582" s="8" t="s">
        <v>23</v>
      </c>
      <c r="C582">
        <v>33</v>
      </c>
      <c r="D582" s="8" t="s">
        <v>61</v>
      </c>
      <c r="F582">
        <v>0.95</v>
      </c>
      <c r="J582">
        <f>26+42+48+69+78</f>
        <v>263</v>
      </c>
      <c r="K582">
        <v>5</v>
      </c>
      <c r="L582">
        <v>78</v>
      </c>
      <c r="N582" t="str">
        <f t="shared" si="30"/>
        <v>NA</v>
      </c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-0.91432599999999553</v>
      </c>
      <c r="P582" t="str">
        <f t="shared" si="27"/>
        <v>0</v>
      </c>
      <c r="S582">
        <f t="shared" si="31"/>
        <v>0.70882124375</v>
      </c>
    </row>
    <row r="583" spans="1:19">
      <c r="A583" s="7">
        <v>42445</v>
      </c>
      <c r="B583" s="8" t="s">
        <v>23</v>
      </c>
      <c r="C583">
        <v>33</v>
      </c>
      <c r="D583" s="8" t="s">
        <v>61</v>
      </c>
      <c r="F583">
        <v>2.08</v>
      </c>
      <c r="J583">
        <f>46+82+91+122+129+147+156</f>
        <v>773</v>
      </c>
      <c r="K583">
        <v>7</v>
      </c>
      <c r="L583">
        <v>156</v>
      </c>
      <c r="N583" t="str">
        <f t="shared" si="30"/>
        <v>NA</v>
      </c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9.3589080000000067</v>
      </c>
      <c r="P583">
        <f t="shared" si="27"/>
        <v>9.3589080000000067</v>
      </c>
      <c r="S583">
        <f t="shared" si="31"/>
        <v>3.3979437440000004</v>
      </c>
    </row>
    <row r="584" spans="1:19">
      <c r="A584" s="7">
        <v>42445</v>
      </c>
      <c r="B584" s="8" t="s">
        <v>23</v>
      </c>
      <c r="C584">
        <v>33</v>
      </c>
      <c r="D584" s="8" t="s">
        <v>61</v>
      </c>
      <c r="F584">
        <v>1.1499999999999999</v>
      </c>
      <c r="J584">
        <f>65+89+104+109</f>
        <v>367</v>
      </c>
      <c r="K584">
        <v>4</v>
      </c>
      <c r="L584">
        <v>109</v>
      </c>
      <c r="N584" t="str">
        <f t="shared" si="30"/>
        <v>NA</v>
      </c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6.519952</v>
      </c>
      <c r="P584">
        <f t="shared" si="27"/>
        <v>6.519952</v>
      </c>
      <c r="S584">
        <f t="shared" si="31"/>
        <v>1.0386881937499999</v>
      </c>
    </row>
    <row r="585" spans="1:19">
      <c r="A585" s="7">
        <v>42445</v>
      </c>
      <c r="B585" s="8" t="s">
        <v>23</v>
      </c>
      <c r="C585">
        <v>33</v>
      </c>
      <c r="D585" s="8" t="s">
        <v>61</v>
      </c>
      <c r="F585">
        <v>7.59</v>
      </c>
      <c r="J585">
        <f>88+120+131+158+161+162+188+191</f>
        <v>1199</v>
      </c>
      <c r="K585">
        <v>8</v>
      </c>
      <c r="L585">
        <v>191</v>
      </c>
      <c r="N585" t="str">
        <f t="shared" si="30"/>
        <v>NA</v>
      </c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31.732610000000015</v>
      </c>
      <c r="P585">
        <f t="shared" ref="P585:P648" si="32">IF(O585&lt;0,"0",O585)</f>
        <v>31.732610000000015</v>
      </c>
      <c r="S585">
        <f t="shared" si="31"/>
        <v>45.245257719750001</v>
      </c>
    </row>
    <row r="586" spans="1:19">
      <c r="A586" s="7">
        <v>42445</v>
      </c>
      <c r="B586" s="8" t="s">
        <v>23</v>
      </c>
      <c r="C586">
        <v>21</v>
      </c>
      <c r="D586" s="8" t="s">
        <v>61</v>
      </c>
      <c r="F586">
        <v>7.8</v>
      </c>
      <c r="J586">
        <f>61+104+128+131+142+146+162+164+180+182+192</f>
        <v>1592</v>
      </c>
      <c r="K586">
        <v>11</v>
      </c>
      <c r="L586">
        <v>192</v>
      </c>
      <c r="N586" t="str">
        <f t="shared" si="30"/>
        <v>NA</v>
      </c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47.210021000000005</v>
      </c>
      <c r="P586">
        <f t="shared" si="32"/>
        <v>47.210021000000005</v>
      </c>
      <c r="S586">
        <f t="shared" si="31"/>
        <v>47.783583899999996</v>
      </c>
    </row>
    <row r="587" spans="1:19">
      <c r="A587" s="7">
        <v>42445</v>
      </c>
      <c r="B587" s="8" t="s">
        <v>23</v>
      </c>
      <c r="C587">
        <v>21</v>
      </c>
      <c r="D587" s="8" t="s">
        <v>61</v>
      </c>
      <c r="F587">
        <v>1.35</v>
      </c>
      <c r="J587">
        <f>55+82+89+108+116</f>
        <v>450</v>
      </c>
      <c r="K587">
        <v>5</v>
      </c>
      <c r="L587">
        <v>116</v>
      </c>
      <c r="N587" t="str">
        <f t="shared" si="30"/>
        <v>NA</v>
      </c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5.1705490000000012</v>
      </c>
      <c r="P587">
        <f t="shared" si="32"/>
        <v>5.1705490000000012</v>
      </c>
      <c r="S587">
        <f t="shared" si="31"/>
        <v>1.4313869437500002</v>
      </c>
    </row>
    <row r="588" spans="1:19">
      <c r="A588" s="7">
        <v>42445</v>
      </c>
      <c r="B588" s="8" t="s">
        <v>23</v>
      </c>
      <c r="C588">
        <v>21</v>
      </c>
      <c r="D588" s="8" t="s">
        <v>61</v>
      </c>
      <c r="F588">
        <v>4.3099999999999996</v>
      </c>
      <c r="J588">
        <f>86+117+140+144+162+168+175</f>
        <v>992</v>
      </c>
      <c r="K588">
        <v>7</v>
      </c>
      <c r="L588">
        <v>175</v>
      </c>
      <c r="N588" t="str">
        <f t="shared" si="30"/>
        <v>NA</v>
      </c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24.167598000000012</v>
      </c>
      <c r="P588">
        <f t="shared" si="32"/>
        <v>24.167598000000012</v>
      </c>
      <c r="S588">
        <f t="shared" si="31"/>
        <v>14.589622499749996</v>
      </c>
    </row>
    <row r="589" spans="1:19">
      <c r="A589" s="7">
        <v>42445</v>
      </c>
      <c r="B589" s="8" t="s">
        <v>23</v>
      </c>
      <c r="C589">
        <v>21</v>
      </c>
      <c r="D589" s="8" t="s">
        <v>61</v>
      </c>
      <c r="F589">
        <v>1.32</v>
      </c>
      <c r="J589">
        <f>54+56+84+100+105</f>
        <v>399</v>
      </c>
      <c r="K589">
        <v>5</v>
      </c>
      <c r="L589">
        <v>105</v>
      </c>
      <c r="N589" t="str">
        <f t="shared" si="30"/>
        <v>NA</v>
      </c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3.7027390000000011</v>
      </c>
      <c r="P589">
        <f t="shared" si="32"/>
        <v>3.7027390000000011</v>
      </c>
      <c r="S589">
        <f t="shared" si="31"/>
        <v>1.368476604</v>
      </c>
    </row>
    <row r="590" spans="1:19">
      <c r="A590" s="7">
        <v>42445</v>
      </c>
      <c r="B590" s="8" t="s">
        <v>23</v>
      </c>
      <c r="C590">
        <v>21</v>
      </c>
      <c r="D590" s="8" t="s">
        <v>61</v>
      </c>
      <c r="F590">
        <v>0.87</v>
      </c>
      <c r="J590">
        <f>31+59+64+76</f>
        <v>230</v>
      </c>
      <c r="K590">
        <v>4</v>
      </c>
      <c r="L590">
        <v>76</v>
      </c>
      <c r="N590" t="str">
        <f t="shared" si="30"/>
        <v>NA</v>
      </c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3.6166020000000003</v>
      </c>
      <c r="P590">
        <f t="shared" si="32"/>
        <v>3.6166020000000003</v>
      </c>
      <c r="S590">
        <f t="shared" si="31"/>
        <v>0.59446736774999998</v>
      </c>
    </row>
    <row r="591" spans="1:19">
      <c r="A591" s="7">
        <v>42445</v>
      </c>
      <c r="B591" s="8" t="s">
        <v>23</v>
      </c>
      <c r="C591">
        <v>21</v>
      </c>
      <c r="D591" s="8" t="s">
        <v>61</v>
      </c>
      <c r="F591">
        <v>1.5</v>
      </c>
      <c r="J591">
        <f>41+67+67+81+110</f>
        <v>366</v>
      </c>
      <c r="K591">
        <v>5</v>
      </c>
      <c r="L591">
        <v>110</v>
      </c>
      <c r="N591" t="str">
        <f t="shared" si="30"/>
        <v>NA</v>
      </c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-0.89740099999999501</v>
      </c>
      <c r="P591" t="str">
        <f t="shared" si="32"/>
        <v>0</v>
      </c>
      <c r="S591">
        <f t="shared" si="31"/>
        <v>1.767144375</v>
      </c>
    </row>
    <row r="592" spans="1:19">
      <c r="A592" s="7">
        <v>42445</v>
      </c>
      <c r="B592" s="8" t="s">
        <v>23</v>
      </c>
      <c r="C592">
        <v>21</v>
      </c>
      <c r="D592" s="8" t="s">
        <v>61</v>
      </c>
      <c r="F592">
        <v>0.65</v>
      </c>
      <c r="J592">
        <f>21+42+44</f>
        <v>107</v>
      </c>
      <c r="K592">
        <v>3</v>
      </c>
      <c r="L592">
        <v>44</v>
      </c>
      <c r="N592" t="str">
        <f t="shared" si="30"/>
        <v>NA</v>
      </c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8.746929999999999</v>
      </c>
      <c r="P592">
        <f t="shared" si="32"/>
        <v>8.746929999999999</v>
      </c>
      <c r="S592">
        <f t="shared" si="31"/>
        <v>0.33183044375000004</v>
      </c>
    </row>
    <row r="593" spans="1:19">
      <c r="A593" s="7">
        <v>42445</v>
      </c>
      <c r="B593" s="8" t="s">
        <v>23</v>
      </c>
      <c r="C593">
        <v>21</v>
      </c>
      <c r="D593" s="8" t="s">
        <v>61</v>
      </c>
      <c r="F593">
        <v>2.65</v>
      </c>
      <c r="J593">
        <f>48+77+114+115+142+149+159+162</f>
        <v>966</v>
      </c>
      <c r="K593">
        <v>8</v>
      </c>
      <c r="L593">
        <v>162</v>
      </c>
      <c r="N593" t="str">
        <f t="shared" si="30"/>
        <v>NA</v>
      </c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18.623799999999996</v>
      </c>
      <c r="P593">
        <f t="shared" si="32"/>
        <v>18.623799999999996</v>
      </c>
      <c r="S593">
        <f t="shared" si="31"/>
        <v>5.5154539437499999</v>
      </c>
    </row>
    <row r="594" spans="1:19">
      <c r="A594" s="7">
        <v>42445</v>
      </c>
      <c r="B594" s="8" t="s">
        <v>23</v>
      </c>
      <c r="C594">
        <v>21</v>
      </c>
      <c r="D594" s="8" t="s">
        <v>61</v>
      </c>
      <c r="F594">
        <v>1.49</v>
      </c>
      <c r="J594">
        <f>62+67+85+92+104+111</f>
        <v>521</v>
      </c>
      <c r="K594">
        <v>6</v>
      </c>
      <c r="L594">
        <v>111</v>
      </c>
      <c r="N594" t="str">
        <f t="shared" si="30"/>
        <v>NA</v>
      </c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6.3110259999999982</v>
      </c>
      <c r="P594">
        <f t="shared" si="32"/>
        <v>6.3110259999999982</v>
      </c>
      <c r="S594">
        <f t="shared" si="31"/>
        <v>1.7436609897499999</v>
      </c>
    </row>
    <row r="595" spans="1:19">
      <c r="A595" s="7">
        <v>42445</v>
      </c>
      <c r="B595" s="8" t="s">
        <v>23</v>
      </c>
      <c r="C595">
        <v>21</v>
      </c>
      <c r="D595" s="8" t="s">
        <v>61</v>
      </c>
      <c r="F595">
        <v>0.72</v>
      </c>
      <c r="J595">
        <f>25+51+61+74</f>
        <v>211</v>
      </c>
      <c r="K595">
        <v>4</v>
      </c>
      <c r="L595">
        <v>74</v>
      </c>
      <c r="N595" t="str">
        <f t="shared" si="30"/>
        <v>NA</v>
      </c>
      <c r="O595">
        <f>IF(AND(OR(D595="S. acutus",D595="S. californicus",D595="S. tabernaemontani"),G595=0),E595*[1]Sheet1!$D$7+[1]Sheet1!$L$7,IF(AND(OR(D595="S. acutus",D595="S. tabernaemontani"),G595&gt;0),E595*[1]Sheet1!$D$8+N595*[1]Sheet1!$E$8,IF(AND(D595="S. californicus",G595&gt;0),E595*[1]Sheet1!$D$9+N595*[1]Sheet1!$E$9,IF(D595="S.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latifolia"),E595&gt;0),F595*[1]Sheet1!$C$4+E595*[1]Sheet1!$D$4+H595*[1]Sheet1!$J$4+I595*[1]Sheet1!$K$4+[1]Sheet1!$L$4,IF(AND(OR(D595="T. domingensis",D595="T. latifolia"),J595&gt;0),J595*[1]Sheet1!$G$5+K595*[1]Sheet1!$H$5+L595*[1]Sheet1!$I$5+[1]Sheet1!$L$5,0)))))))</f>
        <v>2.4377469999999981</v>
      </c>
      <c r="P595">
        <f t="shared" si="32"/>
        <v>2.4377469999999981</v>
      </c>
      <c r="S595">
        <f t="shared" si="31"/>
        <v>0.40715006399999998</v>
      </c>
    </row>
    <row r="596" spans="1:19">
      <c r="A596" s="7">
        <v>42445</v>
      </c>
      <c r="B596" s="8" t="s">
        <v>23</v>
      </c>
      <c r="C596">
        <v>21</v>
      </c>
      <c r="D596" s="8" t="s">
        <v>61</v>
      </c>
      <c r="F596">
        <v>0.7</v>
      </c>
      <c r="J596">
        <f>42+54+72+77</f>
        <v>245</v>
      </c>
      <c r="K596">
        <v>4</v>
      </c>
      <c r="L596">
        <v>77</v>
      </c>
      <c r="N596" t="str">
        <f t="shared" si="30"/>
        <v>NA</v>
      </c>
      <c r="O596">
        <f>IF(AND(OR(D596="S. acutus",D596="S. californicus",D596="S. tabernaemontani"),G596=0),E596*[1]Sheet1!$D$7+[1]Sheet1!$L$7,IF(AND(OR(D596="S. acutus",D596="S. tabernaemontani"),G596&gt;0),E596*[1]Sheet1!$D$8+N596*[1]Sheet1!$E$8,IF(AND(D596="S. californicus",G596&gt;0),E596*[1]Sheet1!$D$9+N596*[1]Sheet1!$E$9,IF(D596="S.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latifolia"),E596&gt;0),F596*[1]Sheet1!$C$4+E596*[1]Sheet1!$D$4+H596*[1]Sheet1!$J$4+I596*[1]Sheet1!$K$4+[1]Sheet1!$L$4,IF(AND(OR(D596="T. domingensis",D596="T. latifolia"),J596&gt;0),J596*[1]Sheet1!$G$5+K596*[1]Sheet1!$H$5+L596*[1]Sheet1!$I$5+[1]Sheet1!$L$5,0)))))))</f>
        <v>4.7216820000000013</v>
      </c>
      <c r="P596">
        <f t="shared" si="32"/>
        <v>4.7216820000000013</v>
      </c>
      <c r="S596">
        <f t="shared" si="31"/>
        <v>0.38484477499999992</v>
      </c>
    </row>
    <row r="597" spans="1:19">
      <c r="A597" s="7">
        <v>42445</v>
      </c>
      <c r="B597" s="8" t="s">
        <v>23</v>
      </c>
      <c r="C597">
        <v>21</v>
      </c>
      <c r="D597" s="8" t="s">
        <v>61</v>
      </c>
      <c r="F597">
        <v>1.03</v>
      </c>
      <c r="J597">
        <f>51+54+81+82+97</f>
        <v>365</v>
      </c>
      <c r="K597">
        <v>5</v>
      </c>
      <c r="L597">
        <v>97</v>
      </c>
      <c r="N597" t="str">
        <f t="shared" si="30"/>
        <v>NA</v>
      </c>
      <c r="O597">
        <f>IF(AND(OR(D597="S. acutus",D597="S. californicus",D597="S. tabernaemontani"),G597=0),E597*[1]Sheet1!$D$7+[1]Sheet1!$L$7,IF(AND(OR(D597="S. acutus",D597="S. tabernaemontani"),G597&gt;0),E597*[1]Sheet1!$D$8+N597*[1]Sheet1!$E$8,IF(AND(D597="S. californicus",G597&gt;0),E597*[1]Sheet1!$D$9+N597*[1]Sheet1!$E$9,IF(D597="S.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latifolia"),E597&gt;0),F597*[1]Sheet1!$C$4+E597*[1]Sheet1!$D$4+H597*[1]Sheet1!$J$4+I597*[1]Sheet1!$K$4+[1]Sheet1!$L$4,IF(AND(OR(D597="T. domingensis",D597="T. latifolia"),J597&gt;0),J597*[1]Sheet1!$G$5+K597*[1]Sheet1!$H$5+L597*[1]Sheet1!$I$5+[1]Sheet1!$L$5,0)))))))</f>
        <v>2.9250290000000021</v>
      </c>
      <c r="P597">
        <f t="shared" si="32"/>
        <v>2.9250290000000021</v>
      </c>
      <c r="S597">
        <f t="shared" si="31"/>
        <v>0.83322820774999995</v>
      </c>
    </row>
    <row r="598" spans="1:19">
      <c r="A598" s="7">
        <v>42445</v>
      </c>
      <c r="B598" s="8" t="s">
        <v>23</v>
      </c>
      <c r="C598">
        <v>21</v>
      </c>
      <c r="D598" s="8" t="s">
        <v>61</v>
      </c>
      <c r="F598">
        <v>1.4</v>
      </c>
      <c r="J598">
        <f>41+65+72+88+104</f>
        <v>370</v>
      </c>
      <c r="K598">
        <v>5</v>
      </c>
      <c r="L598">
        <v>104</v>
      </c>
      <c r="N598" t="str">
        <f t="shared" si="30"/>
        <v>NA</v>
      </c>
      <c r="O598">
        <f>IF(AND(OR(D598="S. acutus",D598="S. californicus",D598="S. tabernaemontani"),G598=0),E598*[1]Sheet1!$D$7+[1]Sheet1!$L$7,IF(AND(OR(D598="S. acutus",D598="S. tabernaemontani"),G598&gt;0),E598*[1]Sheet1!$D$8+N598*[1]Sheet1!$E$8,IF(AND(D598="S. californicus",G598&gt;0),E598*[1]Sheet1!$D$9+N598*[1]Sheet1!$E$9,IF(D598="S.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latifolia"),E598&gt;0),F598*[1]Sheet1!$C$4+E598*[1]Sheet1!$D$4+H598*[1]Sheet1!$J$4+I598*[1]Sheet1!$K$4+[1]Sheet1!$L$4,IF(AND(OR(D598="T. domingensis",D598="T. latifolia"),J598&gt;0),J598*[1]Sheet1!$G$5+K598*[1]Sheet1!$H$5+L598*[1]Sheet1!$I$5+[1]Sheet1!$L$5,0)))))))</f>
        <v>1.2850890000000064</v>
      </c>
      <c r="P598">
        <f t="shared" si="32"/>
        <v>1.2850890000000064</v>
      </c>
      <c r="S598">
        <f t="shared" si="31"/>
        <v>1.5393790999999997</v>
      </c>
    </row>
    <row r="599" spans="1:19">
      <c r="A599" s="7">
        <v>42445</v>
      </c>
      <c r="B599" s="8" t="s">
        <v>23</v>
      </c>
      <c r="C599">
        <v>21</v>
      </c>
      <c r="D599" s="8" t="s">
        <v>61</v>
      </c>
      <c r="F599">
        <v>1.9</v>
      </c>
      <c r="J599">
        <f>80+105+108+121+125</f>
        <v>539</v>
      </c>
      <c r="K599">
        <v>5</v>
      </c>
      <c r="L599">
        <v>125</v>
      </c>
      <c r="N599" t="str">
        <f t="shared" si="30"/>
        <v>NA</v>
      </c>
      <c r="O599">
        <f>IF(AND(OR(D599="S. acutus",D599="S. californicus",D599="S. tabernaemontani"),G599=0),E599*[1]Sheet1!$D$7+[1]Sheet1!$L$7,IF(AND(OR(D599="S. acutus",D599="S. tabernaemontani"),G599&gt;0),E599*[1]Sheet1!$D$8+N599*[1]Sheet1!$E$8,IF(AND(D599="S. californicus",G599&gt;0),E599*[1]Sheet1!$D$9+N599*[1]Sheet1!$E$9,IF(D599="S.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latifolia"),E599&gt;0),F599*[1]Sheet1!$C$4+E599*[1]Sheet1!$D$4+H599*[1]Sheet1!$J$4+I599*[1]Sheet1!$K$4+[1]Sheet1!$L$4,IF(AND(OR(D599="T. domingensis",D599="T. latifolia"),J599&gt;0),J599*[1]Sheet1!$G$5+K599*[1]Sheet1!$H$5+L599*[1]Sheet1!$I$5+[1]Sheet1!$L$5,0)))))))</f>
        <v>10.803539000000001</v>
      </c>
      <c r="P599">
        <f t="shared" si="32"/>
        <v>10.803539000000001</v>
      </c>
      <c r="S599">
        <f t="shared" si="31"/>
        <v>2.835284975</v>
      </c>
    </row>
    <row r="600" spans="1:19">
      <c r="A600" s="7">
        <v>42445</v>
      </c>
      <c r="B600" s="8" t="s">
        <v>23</v>
      </c>
      <c r="C600">
        <v>21</v>
      </c>
      <c r="D600" s="8" t="s">
        <v>61</v>
      </c>
      <c r="F600">
        <v>0.91</v>
      </c>
      <c r="J600">
        <v>113</v>
      </c>
      <c r="K600">
        <v>1</v>
      </c>
      <c r="L600">
        <v>113</v>
      </c>
      <c r="N600" t="str">
        <f t="shared" si="30"/>
        <v>NA</v>
      </c>
      <c r="O600">
        <f>IF(AND(OR(D600="S. acutus",D600="S. californicus",D600="S. tabernaemontani"),G600=0),E600*[1]Sheet1!$D$7+[1]Sheet1!$L$7,IF(AND(OR(D600="S. acutus",D600="S. tabernaemontani"),G600&gt;0),E600*[1]Sheet1!$D$8+N600*[1]Sheet1!$E$8,IF(AND(D600="S. californicus",G600&gt;0),E600*[1]Sheet1!$D$9+N600*[1]Sheet1!$E$9,IF(D600="S.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latifolia"),E600&gt;0),F600*[1]Sheet1!$C$4+E600*[1]Sheet1!$D$4+H600*[1]Sheet1!$J$4+I600*[1]Sheet1!$K$4+[1]Sheet1!$L$4,IF(AND(OR(D600="T. domingensis",D600="T. latifolia"),J600&gt;0),J600*[1]Sheet1!$G$5+K600*[1]Sheet1!$H$5+L600*[1]Sheet1!$I$5+[1]Sheet1!$L$5,0)))))))</f>
        <v>2.5682609999999997</v>
      </c>
      <c r="P600">
        <f t="shared" si="32"/>
        <v>2.5682609999999997</v>
      </c>
      <c r="S600">
        <f t="shared" si="31"/>
        <v>0.65038766975000006</v>
      </c>
    </row>
    <row r="601" spans="1:19">
      <c r="A601" s="7">
        <v>42445</v>
      </c>
      <c r="B601" s="8" t="s">
        <v>23</v>
      </c>
      <c r="C601">
        <v>5</v>
      </c>
      <c r="D601" s="8"/>
      <c r="M601" t="s">
        <v>62</v>
      </c>
      <c r="N601" t="str">
        <f t="shared" ref="N601:N643" si="33">IF(OR(D601="S. acutus", D601="S. tabernaemontani", D601="S. californicus"),(1/3)*(3.14159)*((F601/2)^2)*E601,"NA")</f>
        <v>NA</v>
      </c>
      <c r="O601">
        <f>IF(AND(OR(D601="S. acutus",D601="S. californicus",D601="S. tabernaemontani"),G601=0),E601*[1]Sheet1!$D$7+[1]Sheet1!$L$7,IF(AND(OR(D601="S. acutus",D601="S. tabernaemontani"),G601&gt;0),E601*[1]Sheet1!$D$8+N601*[1]Sheet1!$E$8,IF(AND(D601="S. californicus",G601&gt;0),E601*[1]Sheet1!$D$9+N601*[1]Sheet1!$E$9,IF(D601="S.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latifolia"),E601&gt;0),F601*[1]Sheet1!$C$4+E601*[1]Sheet1!$D$4+H601*[1]Sheet1!$J$4+I601*[1]Sheet1!$K$4+[1]Sheet1!$L$4,IF(AND(OR(D601="T. domingensis",D601="T. latifolia"),J601&gt;0),J601*[1]Sheet1!$G$5+K601*[1]Sheet1!$H$5+L601*[1]Sheet1!$I$5+[1]Sheet1!$L$5,0)))))))</f>
        <v>0</v>
      </c>
      <c r="P601">
        <f t="shared" si="32"/>
        <v>0</v>
      </c>
      <c r="S601">
        <f t="shared" ref="S601:S644" si="34">3.14159*((F601/2)^2)</f>
        <v>0</v>
      </c>
    </row>
    <row r="602" spans="1:19">
      <c r="A602" s="7">
        <v>42445</v>
      </c>
      <c r="B602" s="8" t="s">
        <v>24</v>
      </c>
      <c r="C602">
        <v>43</v>
      </c>
      <c r="D602" s="8" t="s">
        <v>61</v>
      </c>
      <c r="F602">
        <v>5.49</v>
      </c>
      <c r="J602">
        <f>52+52+52+52+52+87+121+170+195+197+208</f>
        <v>1238</v>
      </c>
      <c r="K602">
        <v>11</v>
      </c>
      <c r="L602">
        <v>208</v>
      </c>
      <c r="N602" t="str">
        <f t="shared" si="33"/>
        <v>NA</v>
      </c>
      <c r="O602">
        <f>IF(AND(OR(D602="S. acutus",D602="S. californicus",D602="S. tabernaemontani"),G602=0),E602*[1]Sheet1!$D$7+[1]Sheet1!$L$7,IF(AND(OR(D602="S. acutus",D602="S. tabernaemontani"),G602&gt;0),E602*[1]Sheet1!$D$8+N602*[1]Sheet1!$E$8,IF(AND(D602="S. californicus",G602&gt;0),E602*[1]Sheet1!$D$9+N602*[1]Sheet1!$E$9,IF(D602="S.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latifolia"),E602&gt;0),F602*[1]Sheet1!$C$4+E602*[1]Sheet1!$D$4+H602*[1]Sheet1!$J$4+I602*[1]Sheet1!$K$4+[1]Sheet1!$L$4,IF(AND(OR(D602="T. domingensis",D602="T. latifolia"),J602&gt;0),J602*[1]Sheet1!$G$5+K602*[1]Sheet1!$H$5+L602*[1]Sheet1!$I$5+[1]Sheet1!$L$5,0)))))))</f>
        <v>9.2008310000000151</v>
      </c>
      <c r="P602">
        <f t="shared" si="32"/>
        <v>9.2008310000000151</v>
      </c>
      <c r="S602">
        <f t="shared" si="34"/>
        <v>23.671959189750002</v>
      </c>
    </row>
    <row r="603" spans="1:19">
      <c r="A603" s="7">
        <v>42445</v>
      </c>
      <c r="B603" s="8" t="s">
        <v>24</v>
      </c>
      <c r="C603">
        <v>43</v>
      </c>
      <c r="D603" s="8" t="s">
        <v>61</v>
      </c>
      <c r="F603">
        <v>1</v>
      </c>
      <c r="J603">
        <f>38+56+63</f>
        <v>157</v>
      </c>
      <c r="K603">
        <v>3</v>
      </c>
      <c r="L603">
        <v>63</v>
      </c>
      <c r="N603" t="str">
        <f t="shared" si="33"/>
        <v>NA</v>
      </c>
      <c r="O603">
        <f>IF(AND(OR(D603="S. acutus",D603="S. californicus",D603="S. tabernaemontani"),G603=0),E603*[1]Sheet1!$D$7+[1]Sheet1!$L$7,IF(AND(OR(D603="S. acutus",D603="S. tabernaemontani"),G603&gt;0),E603*[1]Sheet1!$D$8+N603*[1]Sheet1!$E$8,IF(AND(D603="S. californicus",G603&gt;0),E603*[1]Sheet1!$D$9+N603*[1]Sheet1!$E$9,IF(D603="S.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latifolia"),E603&gt;0),F603*[1]Sheet1!$C$4+E603*[1]Sheet1!$D$4+H603*[1]Sheet1!$J$4+I603*[1]Sheet1!$K$4+[1]Sheet1!$L$4,IF(AND(OR(D603="T. domingensis",D603="T. latifolia"),J603&gt;0),J603*[1]Sheet1!$G$5+K603*[1]Sheet1!$H$5+L603*[1]Sheet1!$I$5+[1]Sheet1!$L$5,0)))))))</f>
        <v>7.7110249999999994</v>
      </c>
      <c r="P603">
        <f t="shared" si="32"/>
        <v>7.7110249999999994</v>
      </c>
      <c r="S603">
        <f t="shared" si="34"/>
        <v>0.78539749999999997</v>
      </c>
    </row>
    <row r="604" spans="1:19">
      <c r="A604" s="7">
        <v>42445</v>
      </c>
      <c r="B604" s="8" t="s">
        <v>24</v>
      </c>
      <c r="C604">
        <v>43</v>
      </c>
      <c r="D604" s="8" t="s">
        <v>61</v>
      </c>
      <c r="F604">
        <v>5.85</v>
      </c>
      <c r="J604">
        <f>42+59+75+90+111</f>
        <v>377</v>
      </c>
      <c r="K604">
        <v>5</v>
      </c>
      <c r="L604">
        <v>111</v>
      </c>
      <c r="N604" t="str">
        <f t="shared" si="33"/>
        <v>NA</v>
      </c>
      <c r="O604">
        <f>IF(AND(OR(D604="S. acutus",D604="S. californicus",D604="S. tabernaemontani"),G604=0),E604*[1]Sheet1!$D$7+[1]Sheet1!$L$7,IF(AND(OR(D604="S. acutus",D604="S. tabernaemontani"),G604&gt;0),E604*[1]Sheet1!$D$8+N604*[1]Sheet1!$E$8,IF(AND(D604="S. californicus",G604&gt;0),E604*[1]Sheet1!$D$9+N604*[1]Sheet1!$E$9,IF(D604="S.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latifolia"),E604&gt;0),F604*[1]Sheet1!$C$4+E604*[1]Sheet1!$D$4+H604*[1]Sheet1!$J$4+I604*[1]Sheet1!$K$4+[1]Sheet1!$L$4,IF(AND(OR(D604="T. domingensis",D604="T. latifolia"),J604&gt;0),J604*[1]Sheet1!$G$5+K604*[1]Sheet1!$H$5+L604*[1]Sheet1!$I$5+[1]Sheet1!$L$5,0)))))))</f>
        <v>-0.16734100000000041</v>
      </c>
      <c r="P604" t="str">
        <f t="shared" si="32"/>
        <v>0</v>
      </c>
      <c r="S604">
        <f t="shared" si="34"/>
        <v>26.878265943749998</v>
      </c>
    </row>
    <row r="605" spans="1:19">
      <c r="A605" s="7">
        <v>42445</v>
      </c>
      <c r="B605" s="8" t="s">
        <v>24</v>
      </c>
      <c r="C605">
        <v>43</v>
      </c>
      <c r="D605" s="8" t="s">
        <v>61</v>
      </c>
      <c r="F605">
        <v>1.56</v>
      </c>
      <c r="J605">
        <f>47+49+78+94+102+130+133</f>
        <v>633</v>
      </c>
      <c r="K605">
        <v>7</v>
      </c>
      <c r="L605">
        <v>133</v>
      </c>
      <c r="N605" t="str">
        <f t="shared" si="33"/>
        <v>NA</v>
      </c>
      <c r="O605">
        <f>IF(AND(OR(D605="S. acutus",D605="S. californicus",D605="S. tabernaemontani"),G605=0),E605*[1]Sheet1!$D$7+[1]Sheet1!$L$7,IF(AND(OR(D605="S. acutus",D605="S. tabernaemontani"),G605&gt;0),E605*[1]Sheet1!$D$8+N605*[1]Sheet1!$E$8,IF(AND(D605="S. californicus",G605&gt;0),E605*[1]Sheet1!$D$9+N605*[1]Sheet1!$E$9,IF(D605="S.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latifolia"),E605&gt;0),F605*[1]Sheet1!$C$4+E605*[1]Sheet1!$D$4+H605*[1]Sheet1!$J$4+I605*[1]Sheet1!$K$4+[1]Sheet1!$L$4,IF(AND(OR(D605="T. domingensis",D605="T. latifolia"),J605&gt;0),J605*[1]Sheet1!$G$5+K605*[1]Sheet1!$H$5+L605*[1]Sheet1!$I$5+[1]Sheet1!$L$5,0)))))))</f>
        <v>3.1618430000000046</v>
      </c>
      <c r="P605">
        <f t="shared" si="32"/>
        <v>3.1618430000000046</v>
      </c>
      <c r="S605">
        <f t="shared" si="34"/>
        <v>1.9113433560000002</v>
      </c>
    </row>
    <row r="606" spans="1:19">
      <c r="A606" s="7">
        <v>42445</v>
      </c>
      <c r="B606" s="8" t="s">
        <v>24</v>
      </c>
      <c r="C606">
        <v>43</v>
      </c>
      <c r="D606" s="8" t="s">
        <v>61</v>
      </c>
      <c r="F606">
        <v>1.41</v>
      </c>
      <c r="J606">
        <f>21+52+94+99+124+137</f>
        <v>527</v>
      </c>
      <c r="K606">
        <v>6</v>
      </c>
      <c r="L606">
        <v>137</v>
      </c>
      <c r="N606" t="str">
        <f t="shared" si="33"/>
        <v>NA</v>
      </c>
      <c r="O606">
        <f>IF(AND(OR(D606="S. acutus",D606="S. californicus",D606="S. tabernaemontani"),G606=0),E606*[1]Sheet1!$D$7+[1]Sheet1!$L$7,IF(AND(OR(D606="S. acutus",D606="S. tabernaemontani"),G606&gt;0),E606*[1]Sheet1!$D$8+N606*[1]Sheet1!$E$8,IF(AND(D606="S. californicus",G606&gt;0),E606*[1]Sheet1!$D$9+N606*[1]Sheet1!$E$9,IF(D606="S.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latifolia"),E606&gt;0),F606*[1]Sheet1!$C$4+E606*[1]Sheet1!$D$4+H606*[1]Sheet1!$J$4+I606*[1]Sheet1!$K$4+[1]Sheet1!$L$4,IF(AND(OR(D606="T. domingensis",D606="T. latifolia"),J606&gt;0),J606*[1]Sheet1!$G$5+K606*[1]Sheet1!$H$5+L606*[1]Sheet1!$I$5+[1]Sheet1!$L$5,0)))))))</f>
        <v>-0.95881399999999672</v>
      </c>
      <c r="P606" t="str">
        <f t="shared" si="32"/>
        <v>0</v>
      </c>
      <c r="S606">
        <f t="shared" si="34"/>
        <v>1.5614487697499997</v>
      </c>
    </row>
    <row r="607" spans="1:19">
      <c r="A607" s="7">
        <v>42445</v>
      </c>
      <c r="B607" s="8" t="s">
        <v>24</v>
      </c>
      <c r="C607">
        <v>43</v>
      </c>
      <c r="D607" s="8" t="s">
        <v>61</v>
      </c>
      <c r="F607">
        <v>1.44</v>
      </c>
      <c r="J607">
        <f>35+50+38+82+88+89</f>
        <v>382</v>
      </c>
      <c r="K607">
        <v>6</v>
      </c>
      <c r="L607">
        <v>89</v>
      </c>
      <c r="N607" t="str">
        <f t="shared" si="33"/>
        <v>NA</v>
      </c>
      <c r="O607">
        <f>IF(AND(OR(D607="S. acutus",D607="S. californicus",D607="S. tabernaemontani"),G607=0),E607*[1]Sheet1!$D$7+[1]Sheet1!$L$7,IF(AND(OR(D607="S. acutus",D607="S. tabernaemontani"),G607&gt;0),E607*[1]Sheet1!$D$8+N607*[1]Sheet1!$E$8,IF(AND(D607="S. californicus",G607&gt;0),E607*[1]Sheet1!$D$9+N607*[1]Sheet1!$E$9,IF(D607="S.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latifolia"),E607&gt;0),F607*[1]Sheet1!$C$4+E607*[1]Sheet1!$D$4+H607*[1]Sheet1!$J$4+I607*[1]Sheet1!$K$4+[1]Sheet1!$L$4,IF(AND(OR(D607="T. domingensis",D607="T. latifolia"),J607&gt;0),J607*[1]Sheet1!$G$5+K607*[1]Sheet1!$H$5+L607*[1]Sheet1!$I$5+[1]Sheet1!$L$5,0)))))))</f>
        <v>-9.3528999999996643E-2</v>
      </c>
      <c r="P607" t="str">
        <f t="shared" si="32"/>
        <v>0</v>
      </c>
      <c r="S607">
        <f t="shared" si="34"/>
        <v>1.6286002559999999</v>
      </c>
    </row>
    <row r="608" spans="1:19">
      <c r="A608" s="7">
        <v>42445</v>
      </c>
      <c r="B608" s="8" t="s">
        <v>24</v>
      </c>
      <c r="C608">
        <v>43</v>
      </c>
      <c r="D608" s="8" t="s">
        <v>61</v>
      </c>
      <c r="F608">
        <v>1.4</v>
      </c>
      <c r="J608">
        <f>27+64+64+85+98</f>
        <v>338</v>
      </c>
      <c r="K608">
        <v>5</v>
      </c>
      <c r="L608">
        <v>98</v>
      </c>
      <c r="N608" t="str">
        <f t="shared" si="33"/>
        <v>NA</v>
      </c>
      <c r="O608">
        <f>IF(AND(OR(D608="S. acutus",D608="S. californicus",D608="S. tabernaemontani"),G608=0),E608*[1]Sheet1!$D$7+[1]Sheet1!$L$7,IF(AND(OR(D608="S. acutus",D608="S. tabernaemontani"),G608&gt;0),E608*[1]Sheet1!$D$8+N608*[1]Sheet1!$E$8,IF(AND(D608="S. californicus",G608&gt;0),E608*[1]Sheet1!$D$9+N608*[1]Sheet1!$E$9,IF(D608="S.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latifolia"),E608&gt;0),F608*[1]Sheet1!$C$4+E608*[1]Sheet1!$D$4+H608*[1]Sheet1!$J$4+I608*[1]Sheet1!$K$4+[1]Sheet1!$L$4,IF(AND(OR(D608="T. domingensis",D608="T. latifolia"),J608&gt;0),J608*[1]Sheet1!$G$5+K608*[1]Sheet1!$H$5+L608*[1]Sheet1!$I$5+[1]Sheet1!$L$5,0)))))))</f>
        <v>9.2399000000000342E-2</v>
      </c>
      <c r="P608">
        <f t="shared" si="32"/>
        <v>9.2399000000000342E-2</v>
      </c>
      <c r="S608">
        <f t="shared" si="34"/>
        <v>1.5393790999999997</v>
      </c>
    </row>
    <row r="609" spans="1:19">
      <c r="A609" s="7">
        <v>42445</v>
      </c>
      <c r="B609" s="8" t="s">
        <v>24</v>
      </c>
      <c r="C609">
        <v>43</v>
      </c>
      <c r="D609" s="8" t="s">
        <v>61</v>
      </c>
      <c r="F609">
        <v>4.75</v>
      </c>
      <c r="J609">
        <f>47+67+80+90+91</f>
        <v>375</v>
      </c>
      <c r="K609">
        <v>5</v>
      </c>
      <c r="L609">
        <v>91</v>
      </c>
      <c r="N609" t="str">
        <f t="shared" si="33"/>
        <v>NA</v>
      </c>
      <c r="O609">
        <f>IF(AND(OR(D609="S. acutus",D609="S. californicus",D609="S. tabernaemontani"),G609=0),E609*[1]Sheet1!$D$7+[1]Sheet1!$L$7,IF(AND(OR(D609="S. acutus",D609="S. tabernaemontani"),G609&gt;0),E609*[1]Sheet1!$D$8+N609*[1]Sheet1!$E$8,IF(AND(D609="S. californicus",G609&gt;0),E609*[1]Sheet1!$D$9+N609*[1]Sheet1!$E$9,IF(D609="S.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latifolia"),E609&gt;0),F609*[1]Sheet1!$C$4+E609*[1]Sheet1!$D$4+H609*[1]Sheet1!$J$4+I609*[1]Sheet1!$K$4+[1]Sheet1!$L$4,IF(AND(OR(D609="T. domingensis",D609="T. latifolia"),J609&gt;0),J609*[1]Sheet1!$G$5+K609*[1]Sheet1!$H$5+L609*[1]Sheet1!$I$5+[1]Sheet1!$L$5,0)))))))</f>
        <v>5.6700490000000059</v>
      </c>
      <c r="P609">
        <f t="shared" si="32"/>
        <v>5.6700490000000059</v>
      </c>
      <c r="S609">
        <f t="shared" si="34"/>
        <v>17.720531093750001</v>
      </c>
    </row>
    <row r="610" spans="1:19">
      <c r="A610" s="7">
        <v>42445</v>
      </c>
      <c r="B610" s="8" t="s">
        <v>24</v>
      </c>
      <c r="C610">
        <v>43</v>
      </c>
      <c r="D610" s="8" t="s">
        <v>61</v>
      </c>
      <c r="F610">
        <v>1.56</v>
      </c>
      <c r="J610">
        <f>59+62+84+86+98+111</f>
        <v>500</v>
      </c>
      <c r="K610">
        <v>6</v>
      </c>
      <c r="L610">
        <v>111</v>
      </c>
      <c r="N610" t="str">
        <f t="shared" si="33"/>
        <v>NA</v>
      </c>
      <c r="O610">
        <f>IF(AND(OR(D610="S. acutus",D610="S. californicus",D610="S. tabernaemontani"),G610=0),E610*[1]Sheet1!$D$7+[1]Sheet1!$L$7,IF(AND(OR(D610="S. acutus",D610="S. tabernaemontani"),G610&gt;0),E610*[1]Sheet1!$D$8+N610*[1]Sheet1!$E$8,IF(AND(D610="S. californicus",G610&gt;0),E610*[1]Sheet1!$D$9+N610*[1]Sheet1!$E$9,IF(D610="S.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latifolia"),E610&gt;0),F610*[1]Sheet1!$C$4+E610*[1]Sheet1!$D$4+H610*[1]Sheet1!$J$4+I610*[1]Sheet1!$K$4+[1]Sheet1!$L$4,IF(AND(OR(D610="T. domingensis",D610="T. latifolia"),J610&gt;0),J610*[1]Sheet1!$G$5+K610*[1]Sheet1!$H$5+L610*[1]Sheet1!$I$5+[1]Sheet1!$L$5,0)))))))</f>
        <v>4.3421710000000004</v>
      </c>
      <c r="P610">
        <f t="shared" si="32"/>
        <v>4.3421710000000004</v>
      </c>
      <c r="S610">
        <f t="shared" si="34"/>
        <v>1.9113433560000002</v>
      </c>
    </row>
    <row r="611" spans="1:19">
      <c r="A611" s="7">
        <v>42445</v>
      </c>
      <c r="B611" s="8" t="s">
        <v>24</v>
      </c>
      <c r="C611">
        <v>43</v>
      </c>
      <c r="D611" s="8" t="s">
        <v>61</v>
      </c>
      <c r="F611">
        <v>1.25</v>
      </c>
      <c r="J611">
        <f>52+68+69+91+97</f>
        <v>377</v>
      </c>
      <c r="K611">
        <v>5</v>
      </c>
      <c r="L611">
        <v>97</v>
      </c>
      <c r="N611" t="str">
        <f t="shared" si="33"/>
        <v>NA</v>
      </c>
      <c r="O611">
        <f>IF(AND(OR(D611="S. acutus",D611="S. californicus",D611="S. tabernaemontani"),G611=0),E611*[1]Sheet1!$D$7+[1]Sheet1!$L$7,IF(AND(OR(D611="S. acutus",D611="S. tabernaemontani"),G611&gt;0),E611*[1]Sheet1!$D$8+N611*[1]Sheet1!$E$8,IF(AND(D611="S. californicus",G611&gt;0),E611*[1]Sheet1!$D$9+N611*[1]Sheet1!$E$9,IF(D611="S.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latifolia"),E611&gt;0),F611*[1]Sheet1!$C$4+E611*[1]Sheet1!$D$4+H611*[1]Sheet1!$J$4+I611*[1]Sheet1!$K$4+[1]Sheet1!$L$4,IF(AND(OR(D611="T. domingensis",D611="T. latifolia"),J611&gt;0),J611*[1]Sheet1!$G$5+K611*[1]Sheet1!$H$5+L611*[1]Sheet1!$I$5+[1]Sheet1!$L$5,0)))))))</f>
        <v>4.0500889999999998</v>
      </c>
      <c r="P611">
        <f t="shared" si="32"/>
        <v>4.0500889999999998</v>
      </c>
      <c r="S611">
        <f t="shared" si="34"/>
        <v>1.22718359375</v>
      </c>
    </row>
    <row r="612" spans="1:19">
      <c r="A612" s="7">
        <v>42445</v>
      </c>
      <c r="B612" s="8" t="s">
        <v>24</v>
      </c>
      <c r="C612">
        <v>43</v>
      </c>
      <c r="D612" s="8" t="s">
        <v>61</v>
      </c>
      <c r="F612">
        <v>0.69</v>
      </c>
      <c r="J612">
        <f>29+32+51+53</f>
        <v>165</v>
      </c>
      <c r="K612">
        <v>4</v>
      </c>
      <c r="L612">
        <v>53</v>
      </c>
      <c r="N612" t="str">
        <f t="shared" si="33"/>
        <v>NA</v>
      </c>
      <c r="O612">
        <f>IF(AND(OR(D612="S. acutus",D612="S. californicus",D612="S. tabernaemontani"),G612=0),E612*[1]Sheet1!$D$7+[1]Sheet1!$L$7,IF(AND(OR(D612="S. acutus",D612="S. tabernaemontani"),G612&gt;0),E612*[1]Sheet1!$D$8+N612*[1]Sheet1!$E$8,IF(AND(D612="S. californicus",G612&gt;0),E612*[1]Sheet1!$D$9+N612*[1]Sheet1!$E$9,IF(D612="S.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latifolia"),E612&gt;0),F612*[1]Sheet1!$C$4+E612*[1]Sheet1!$D$4+H612*[1]Sheet1!$J$4+I612*[1]Sheet1!$K$4+[1]Sheet1!$L$4,IF(AND(OR(D612="T. domingensis",D612="T. latifolia"),J612&gt;0),J612*[1]Sheet1!$G$5+K612*[1]Sheet1!$H$5+L612*[1]Sheet1!$I$5+[1]Sheet1!$L$5,0)))))))</f>
        <v>4.4511619999999965</v>
      </c>
      <c r="P612">
        <f t="shared" si="32"/>
        <v>4.4511619999999965</v>
      </c>
      <c r="S612">
        <f t="shared" si="34"/>
        <v>0.37392774974999993</v>
      </c>
    </row>
    <row r="613" spans="1:19">
      <c r="A613" s="7">
        <v>42445</v>
      </c>
      <c r="B613" s="8" t="s">
        <v>24</v>
      </c>
      <c r="C613">
        <v>43</v>
      </c>
      <c r="D613" s="8" t="s">
        <v>61</v>
      </c>
      <c r="F613">
        <v>1.1000000000000001</v>
      </c>
      <c r="J613">
        <f>32+42+54+71+72</f>
        <v>271</v>
      </c>
      <c r="K613">
        <v>5</v>
      </c>
      <c r="L613">
        <v>72</v>
      </c>
      <c r="N613" t="str">
        <f t="shared" si="33"/>
        <v>NA</v>
      </c>
      <c r="O613">
        <f>IF(AND(OR(D613="S. acutus",D613="S. californicus",D613="S. tabernaemontani"),G613=0),E613*[1]Sheet1!$D$7+[1]Sheet1!$L$7,IF(AND(OR(D613="S. acutus",D613="S. tabernaemontani"),G613&gt;0),E613*[1]Sheet1!$D$8+N613*[1]Sheet1!$E$8,IF(AND(D613="S. californicus",G613&gt;0),E613*[1]Sheet1!$D$9+N613*[1]Sheet1!$E$9,IF(D613="S.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latifolia"),E613&gt;0),F613*[1]Sheet1!$C$4+E613*[1]Sheet1!$D$4+H613*[1]Sheet1!$J$4+I613*[1]Sheet1!$K$4+[1]Sheet1!$L$4,IF(AND(OR(D613="T. domingensis",D613="T. latifolia"),J613&gt;0),J613*[1]Sheet1!$G$5+K613*[1]Sheet1!$H$5+L613*[1]Sheet1!$I$5+[1]Sheet1!$L$5,0)))))))</f>
        <v>1.6431840000000015</v>
      </c>
      <c r="P613">
        <f t="shared" si="32"/>
        <v>1.6431840000000015</v>
      </c>
      <c r="S613">
        <f t="shared" si="34"/>
        <v>0.95033097500000008</v>
      </c>
    </row>
    <row r="614" spans="1:19">
      <c r="A614" s="7">
        <v>42445</v>
      </c>
      <c r="B614" s="8" t="s">
        <v>24</v>
      </c>
      <c r="C614">
        <v>43</v>
      </c>
      <c r="D614" s="8" t="s">
        <v>61</v>
      </c>
      <c r="F614">
        <v>1.59</v>
      </c>
      <c r="J614">
        <f>29+45+47+50+53+53+103</f>
        <v>380</v>
      </c>
      <c r="K614">
        <v>7</v>
      </c>
      <c r="L614">
        <v>103</v>
      </c>
      <c r="N614" t="str">
        <f t="shared" si="33"/>
        <v>NA</v>
      </c>
      <c r="O614">
        <f>IF(AND(OR(D614="S. acutus",D614="S. californicus",D614="S. tabernaemontani"),G614=0),E614*[1]Sheet1!$D$7+[1]Sheet1!$L$7,IF(AND(OR(D614="S. acutus",D614="S. tabernaemontani"),G614&gt;0),E614*[1]Sheet1!$D$8+N614*[1]Sheet1!$E$8,IF(AND(D614="S. californicus",G614&gt;0),E614*[1]Sheet1!$D$9+N614*[1]Sheet1!$E$9,IF(D614="S.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latifolia"),E614&gt;0),F614*[1]Sheet1!$C$4+E614*[1]Sheet1!$D$4+H614*[1]Sheet1!$J$4+I614*[1]Sheet1!$K$4+[1]Sheet1!$L$4,IF(AND(OR(D614="T. domingensis",D614="T. latifolia"),J614&gt;0),J614*[1]Sheet1!$G$5+K614*[1]Sheet1!$H$5+L614*[1]Sheet1!$I$5+[1]Sheet1!$L$5,0)))))))</f>
        <v>-11.520822000000003</v>
      </c>
      <c r="P614" t="str">
        <f t="shared" si="32"/>
        <v>0</v>
      </c>
      <c r="S614">
        <f t="shared" si="34"/>
        <v>1.9855634197500001</v>
      </c>
    </row>
    <row r="615" spans="1:19">
      <c r="A615" s="7">
        <v>42445</v>
      </c>
      <c r="B615" s="8" t="s">
        <v>24</v>
      </c>
      <c r="C615">
        <v>35</v>
      </c>
      <c r="D615" s="8" t="s">
        <v>61</v>
      </c>
      <c r="F615">
        <v>0.62</v>
      </c>
      <c r="J615">
        <f>54+79+85+108</f>
        <v>326</v>
      </c>
      <c r="K615">
        <v>4</v>
      </c>
      <c r="L615">
        <v>108</v>
      </c>
      <c r="N615" t="str">
        <f t="shared" si="33"/>
        <v>NA</v>
      </c>
      <c r="O615">
        <f>IF(AND(OR(D615="S. acutus",D615="S. californicus",D615="S. tabernaemontani"),G615=0),E615*[1]Sheet1!$D$7+[1]Sheet1!$L$7,IF(AND(OR(D615="S. acutus",D615="S. tabernaemontani"),G615&gt;0),E615*[1]Sheet1!$D$8+N615*[1]Sheet1!$E$8,IF(AND(D615="S. californicus",G615&gt;0),E615*[1]Sheet1!$D$9+N615*[1]Sheet1!$E$9,IF(D615="S.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latifolia"),E615&gt;0),F615*[1]Sheet1!$C$4+E615*[1]Sheet1!$D$4+H615*[1]Sheet1!$J$4+I615*[1]Sheet1!$K$4+[1]Sheet1!$L$4,IF(AND(OR(D615="T. domingensis",D615="T. latifolia"),J615&gt;0),J615*[1]Sheet1!$G$5+K615*[1]Sheet1!$H$5+L615*[1]Sheet1!$I$5+[1]Sheet1!$L$5,0)))))))</f>
        <v>2.9772420000000039</v>
      </c>
      <c r="P615">
        <f t="shared" si="32"/>
        <v>2.9772420000000039</v>
      </c>
      <c r="S615">
        <f t="shared" si="34"/>
        <v>0.301906799</v>
      </c>
    </row>
    <row r="616" spans="1:19">
      <c r="A616" s="7">
        <v>42445</v>
      </c>
      <c r="B616" s="8" t="s">
        <v>24</v>
      </c>
      <c r="C616">
        <v>35</v>
      </c>
      <c r="D616" s="8" t="s">
        <v>61</v>
      </c>
      <c r="F616">
        <v>0.93</v>
      </c>
      <c r="J616">
        <f>33+42+61+76</f>
        <v>212</v>
      </c>
      <c r="K616">
        <v>4</v>
      </c>
      <c r="L616">
        <v>76</v>
      </c>
      <c r="N616" t="str">
        <f t="shared" si="33"/>
        <v>NA</v>
      </c>
      <c r="O616">
        <f>IF(AND(OR(D616="S. acutus",D616="S. californicus",D616="S. tabernaemontani"),G616=0),E616*[1]Sheet1!$D$7+[1]Sheet1!$L$7,IF(AND(OR(D616="S. acutus",D616="S. tabernaemontani"),G616&gt;0),E616*[1]Sheet1!$D$8+N616*[1]Sheet1!$E$8,IF(AND(D616="S. californicus",G616&gt;0),E616*[1]Sheet1!$D$9+N616*[1]Sheet1!$E$9,IF(D616="S.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latifolia"),E616&gt;0),F616*[1]Sheet1!$C$4+E616*[1]Sheet1!$D$4+H616*[1]Sheet1!$J$4+I616*[1]Sheet1!$K$4+[1]Sheet1!$L$4,IF(AND(OR(D616="T. domingensis",D616="T. latifolia"),J616&gt;0),J616*[1]Sheet1!$G$5+K616*[1]Sheet1!$H$5+L616*[1]Sheet1!$I$5+[1]Sheet1!$L$5,0)))))))</f>
        <v>1.9290120000000002</v>
      </c>
      <c r="P616">
        <f t="shared" si="32"/>
        <v>1.9290120000000002</v>
      </c>
      <c r="S616">
        <f t="shared" si="34"/>
        <v>0.67929029775000005</v>
      </c>
    </row>
    <row r="617" spans="1:19">
      <c r="A617" s="7">
        <v>42445</v>
      </c>
      <c r="B617" s="8" t="s">
        <v>24</v>
      </c>
      <c r="C617">
        <v>35</v>
      </c>
      <c r="D617" s="8" t="s">
        <v>61</v>
      </c>
      <c r="F617">
        <v>2.16</v>
      </c>
      <c r="J617">
        <f>64+85+92+121+132+170+172</f>
        <v>836</v>
      </c>
      <c r="K617">
        <v>7</v>
      </c>
      <c r="L617">
        <v>172</v>
      </c>
      <c r="N617" t="str">
        <f t="shared" si="33"/>
        <v>NA</v>
      </c>
      <c r="O617">
        <f>IF(AND(OR(D617="S. acutus",D617="S. californicus",D617="S. tabernaemontani"),G617=0),E617*[1]Sheet1!$D$7+[1]Sheet1!$L$7,IF(AND(OR(D617="S. acutus",D617="S. tabernaemontani"),G617&gt;0),E617*[1]Sheet1!$D$8+N617*[1]Sheet1!$E$8,IF(AND(D617="S. californicus",G617&gt;0),E617*[1]Sheet1!$D$9+N617*[1]Sheet1!$E$9,IF(D617="S.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latifolia"),E617&gt;0),F617*[1]Sheet1!$C$4+E617*[1]Sheet1!$D$4+H617*[1]Sheet1!$J$4+I617*[1]Sheet1!$K$4+[1]Sheet1!$L$4,IF(AND(OR(D617="T. domingensis",D617="T. latifolia"),J617&gt;0),J617*[1]Sheet1!$G$5+K617*[1]Sheet1!$H$5+L617*[1]Sheet1!$I$5+[1]Sheet1!$L$5,0)))))))</f>
        <v>10.445553000000011</v>
      </c>
      <c r="P617">
        <f t="shared" si="32"/>
        <v>10.445553000000011</v>
      </c>
      <c r="S617">
        <f t="shared" si="34"/>
        <v>3.6643505760000004</v>
      </c>
    </row>
    <row r="618" spans="1:19">
      <c r="A618" s="7">
        <v>42445</v>
      </c>
      <c r="B618" s="8" t="s">
        <v>24</v>
      </c>
      <c r="C618">
        <v>35</v>
      </c>
      <c r="D618" s="8" t="s">
        <v>61</v>
      </c>
      <c r="F618">
        <v>0.97</v>
      </c>
      <c r="J618">
        <f>33+54+68+95+95+108</f>
        <v>453</v>
      </c>
      <c r="K618">
        <v>6</v>
      </c>
      <c r="L618">
        <v>108</v>
      </c>
      <c r="N618" t="str">
        <f t="shared" si="33"/>
        <v>NA</v>
      </c>
      <c r="O618">
        <f>IF(AND(OR(D618="S. acutus",D618="S. californicus",D618="S. tabernaemontani"),G618=0),E618*[1]Sheet1!$D$7+[1]Sheet1!$L$7,IF(AND(OR(D618="S. acutus",D618="S. tabernaemontani"),G618&gt;0),E618*[1]Sheet1!$D$8+N618*[1]Sheet1!$E$8,IF(AND(D618="S. californicus",G618&gt;0),E618*[1]Sheet1!$D$9+N618*[1]Sheet1!$E$9,IF(D618="S.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latifolia"),E618&gt;0),F618*[1]Sheet1!$C$4+E618*[1]Sheet1!$D$4+H618*[1]Sheet1!$J$4+I618*[1]Sheet1!$K$4+[1]Sheet1!$L$4,IF(AND(OR(D618="T. domingensis",D618="T. latifolia"),J618&gt;0),J618*[1]Sheet1!$G$5+K618*[1]Sheet1!$H$5+L618*[1]Sheet1!$I$5+[1]Sheet1!$L$5,0)))))))</f>
        <v>0.83942100000000153</v>
      </c>
      <c r="P618">
        <f t="shared" si="32"/>
        <v>0.83942100000000153</v>
      </c>
      <c r="S618">
        <f t="shared" si="34"/>
        <v>0.7389805077499999</v>
      </c>
    </row>
    <row r="619" spans="1:19">
      <c r="A619" s="7">
        <v>42445</v>
      </c>
      <c r="B619" s="8" t="s">
        <v>24</v>
      </c>
      <c r="C619">
        <v>35</v>
      </c>
      <c r="D619" s="8" t="s">
        <v>61</v>
      </c>
      <c r="F619">
        <v>1.59</v>
      </c>
      <c r="J619">
        <f>33+67+76+104+117+123+139</f>
        <v>659</v>
      </c>
      <c r="K619">
        <v>7</v>
      </c>
      <c r="L619">
        <v>139</v>
      </c>
      <c r="N619" t="str">
        <f t="shared" si="33"/>
        <v>NA</v>
      </c>
      <c r="O619">
        <f>IF(AND(OR(D619="S. acutus",D619="S. californicus",D619="S. tabernaemontani"),G619=0),E619*[1]Sheet1!$D$7+[1]Sheet1!$L$7,IF(AND(OR(D619="S. acutus",D619="S. tabernaemontani"),G619&gt;0),E619*[1]Sheet1!$D$8+N619*[1]Sheet1!$E$8,IF(AND(D619="S. californicus",G619&gt;0),E619*[1]Sheet1!$D$9+N619*[1]Sheet1!$E$9,IF(D619="S.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latifolia"),E619&gt;0),F619*[1]Sheet1!$C$4+E619*[1]Sheet1!$D$4+H619*[1]Sheet1!$J$4+I619*[1]Sheet1!$K$4+[1]Sheet1!$L$4,IF(AND(OR(D619="T. domingensis",D619="T. latifolia"),J619&gt;0),J619*[1]Sheet1!$G$5+K619*[1]Sheet1!$H$5+L619*[1]Sheet1!$I$5+[1]Sheet1!$L$5,0)))))))</f>
        <v>3.7920030000000011</v>
      </c>
      <c r="P619">
        <f t="shared" si="32"/>
        <v>3.7920030000000011</v>
      </c>
      <c r="S619">
        <f t="shared" si="34"/>
        <v>1.9855634197500001</v>
      </c>
    </row>
    <row r="620" spans="1:19">
      <c r="A620" s="7">
        <v>42445</v>
      </c>
      <c r="B620" s="8" t="s">
        <v>24</v>
      </c>
      <c r="C620">
        <v>35</v>
      </c>
      <c r="D620" s="8" t="s">
        <v>61</v>
      </c>
      <c r="F620">
        <v>1.36</v>
      </c>
      <c r="J620">
        <f>58+73+94+121+127+150+160</f>
        <v>783</v>
      </c>
      <c r="K620">
        <v>7</v>
      </c>
      <c r="L620">
        <v>160</v>
      </c>
      <c r="N620" t="str">
        <f t="shared" si="33"/>
        <v>NA</v>
      </c>
      <c r="O620">
        <f>IF(AND(OR(D620="S. acutus",D620="S. californicus",D620="S. tabernaemontani"),G620=0),E620*[1]Sheet1!$D$7+[1]Sheet1!$L$7,IF(AND(OR(D620="S. acutus",D620="S. tabernaemontani"),G620&gt;0),E620*[1]Sheet1!$D$8+N620*[1]Sheet1!$E$8,IF(AND(D620="S. californicus",G620&gt;0),E620*[1]Sheet1!$D$9+N620*[1]Sheet1!$E$9,IF(D620="S.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latifolia"),E620&gt;0),F620*[1]Sheet1!$C$4+E620*[1]Sheet1!$D$4+H620*[1]Sheet1!$J$4+I620*[1]Sheet1!$K$4+[1]Sheet1!$L$4,IF(AND(OR(D620="T. domingensis",D620="T. latifolia"),J620&gt;0),J620*[1]Sheet1!$G$5+K620*[1]Sheet1!$H$5+L620*[1]Sheet1!$I$5+[1]Sheet1!$L$5,0)))))))</f>
        <v>9.0914780000000093</v>
      </c>
      <c r="P620">
        <f t="shared" si="32"/>
        <v>9.0914780000000093</v>
      </c>
      <c r="S620">
        <f t="shared" si="34"/>
        <v>1.4526712160000002</v>
      </c>
    </row>
    <row r="621" spans="1:19">
      <c r="A621" s="7">
        <v>42445</v>
      </c>
      <c r="B621" s="8" t="s">
        <v>24</v>
      </c>
      <c r="C621">
        <v>35</v>
      </c>
      <c r="D621" s="8" t="s">
        <v>61</v>
      </c>
      <c r="F621">
        <v>1.88</v>
      </c>
      <c r="J621">
        <f>69+81+100+128+131+157+172</f>
        <v>838</v>
      </c>
      <c r="K621">
        <v>7</v>
      </c>
      <c r="L621">
        <v>172</v>
      </c>
      <c r="N621" t="str">
        <f t="shared" si="33"/>
        <v>NA</v>
      </c>
      <c r="O621">
        <f>IF(AND(OR(D621="S. acutus",D621="S. californicus",D621="S. tabernaemontani"),G621=0),E621*[1]Sheet1!$D$7+[1]Sheet1!$L$7,IF(AND(OR(D621="S. acutus",D621="S. tabernaemontani"),G621&gt;0),E621*[1]Sheet1!$D$8+N621*[1]Sheet1!$E$8,IF(AND(D621="S. californicus",G621&gt;0),E621*[1]Sheet1!$D$9+N621*[1]Sheet1!$E$9,IF(D621="S.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latifolia"),E621&gt;0),F621*[1]Sheet1!$C$4+E621*[1]Sheet1!$D$4+H621*[1]Sheet1!$J$4+I621*[1]Sheet1!$K$4+[1]Sheet1!$L$4,IF(AND(OR(D621="T. domingensis",D621="T. latifolia"),J621&gt;0),J621*[1]Sheet1!$G$5+K621*[1]Sheet1!$H$5+L621*[1]Sheet1!$I$5+[1]Sheet1!$L$5,0)))))))</f>
        <v>10.633063000000014</v>
      </c>
      <c r="P621">
        <f t="shared" si="32"/>
        <v>10.633063000000014</v>
      </c>
      <c r="S621">
        <f t="shared" si="34"/>
        <v>2.7759089239999999</v>
      </c>
    </row>
    <row r="622" spans="1:19">
      <c r="A622" s="7">
        <v>42445</v>
      </c>
      <c r="B622" s="8" t="s">
        <v>24</v>
      </c>
      <c r="C622">
        <v>35</v>
      </c>
      <c r="D622" s="8" t="s">
        <v>61</v>
      </c>
      <c r="F622">
        <v>1.1100000000000001</v>
      </c>
      <c r="J622">
        <f>33+66+75+111+121+134</f>
        <v>540</v>
      </c>
      <c r="K622">
        <v>6</v>
      </c>
      <c r="L622">
        <v>134</v>
      </c>
      <c r="N622" t="str">
        <f t="shared" si="33"/>
        <v>NA</v>
      </c>
      <c r="O622">
        <f>IF(AND(OR(D622="S. acutus",D622="S. californicus",D622="S. tabernaemontani"),G622=0),E622*[1]Sheet1!$D$7+[1]Sheet1!$L$7,IF(AND(OR(D622="S. acutus",D622="S. tabernaemontani"),G622&gt;0),E622*[1]Sheet1!$D$8+N622*[1]Sheet1!$E$8,IF(AND(D622="S. californicus",G622&gt;0),E622*[1]Sheet1!$D$9+N622*[1]Sheet1!$E$9,IF(D622="S.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latifolia"),E622&gt;0),F622*[1]Sheet1!$C$4+E622*[1]Sheet1!$D$4+H622*[1]Sheet1!$J$4+I622*[1]Sheet1!$K$4+[1]Sheet1!$L$4,IF(AND(OR(D622="T. domingensis",D622="T. latifolia"),J622&gt;0),J622*[1]Sheet1!$G$5+K622*[1]Sheet1!$H$5+L622*[1]Sheet1!$I$5+[1]Sheet1!$L$5,0)))))))</f>
        <v>1.1637360000000001</v>
      </c>
      <c r="P622">
        <f t="shared" si="32"/>
        <v>1.1637360000000001</v>
      </c>
      <c r="S622">
        <f t="shared" si="34"/>
        <v>0.96768825975000017</v>
      </c>
    </row>
    <row r="623" spans="1:19">
      <c r="A623" s="7">
        <v>42445</v>
      </c>
      <c r="B623" s="8" t="s">
        <v>24</v>
      </c>
      <c r="C623">
        <v>30</v>
      </c>
      <c r="D623" s="8" t="s">
        <v>63</v>
      </c>
      <c r="E623">
        <v>118</v>
      </c>
      <c r="F623">
        <v>1.32</v>
      </c>
      <c r="G623">
        <v>12</v>
      </c>
      <c r="N623">
        <f t="shared" si="33"/>
        <v>53.826746424</v>
      </c>
      <c r="O623">
        <f>IF(AND(OR(D623="S. acutus",D623="S. californicus",D623="S. tabernaemontani"),G623=0),E623*[1]Sheet1!$D$7+[1]Sheet1!$L$7,IF(AND(OR(D623="S. acutus",D623="S. tabernaemontani"),G623&gt;0),E623*[1]Sheet1!$D$8+N623*[1]Sheet1!$E$8,IF(AND(D623="S. californicus",G623&gt;0),E623*[1]Sheet1!$D$9+N623*[1]Sheet1!$E$9,IF(D623="S.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latifolia"),E623&gt;0),F623*[1]Sheet1!$C$4+E623*[1]Sheet1!$D$4+H623*[1]Sheet1!$J$4+I623*[1]Sheet1!$K$4+[1]Sheet1!$L$4,IF(AND(OR(D623="T. domingensis",D623="T. latifolia"),J623&gt;0),J623*[1]Sheet1!$G$5+K623*[1]Sheet1!$H$5+L623*[1]Sheet1!$I$5+[1]Sheet1!$L$5,0)))))))</f>
        <v>6.2771074789245818</v>
      </c>
      <c r="P623">
        <f t="shared" si="32"/>
        <v>6.2771074789245818</v>
      </c>
      <c r="S623">
        <f t="shared" si="34"/>
        <v>1.368476604</v>
      </c>
    </row>
    <row r="624" spans="1:19">
      <c r="A624" s="7">
        <v>42445</v>
      </c>
      <c r="B624" s="8" t="s">
        <v>24</v>
      </c>
      <c r="C624">
        <v>30</v>
      </c>
      <c r="D624" s="8" t="s">
        <v>63</v>
      </c>
      <c r="E624">
        <v>111</v>
      </c>
      <c r="F624">
        <v>0.93</v>
      </c>
      <c r="G624">
        <v>6</v>
      </c>
      <c r="N624">
        <f t="shared" si="33"/>
        <v>25.133741016750001</v>
      </c>
      <c r="O624">
        <f>IF(AND(OR(D624="S. acutus",D624="S. californicus",D624="S. tabernaemontani"),G624=0),E624*[1]Sheet1!$D$7+[1]Sheet1!$L$7,IF(AND(OR(D624="S. acutus",D624="S. tabernaemontani"),G624&gt;0),E624*[1]Sheet1!$D$8+N624*[1]Sheet1!$E$8,IF(AND(D624="S. californicus",G624&gt;0),E624*[1]Sheet1!$D$9+N624*[1]Sheet1!$E$9,IF(D624="S.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latifolia"),E624&gt;0),F624*[1]Sheet1!$C$4+E624*[1]Sheet1!$D$4+H624*[1]Sheet1!$J$4+I624*[1]Sheet1!$K$4+[1]Sheet1!$L$4,IF(AND(OR(D624="T. domingensis",D624="T. latifolia"),J624&gt;0),J624*[1]Sheet1!$G$5+K624*[1]Sheet1!$H$5+L624*[1]Sheet1!$I$5+[1]Sheet1!$L$5,0)))))))</f>
        <v>5.0836171811062654</v>
      </c>
      <c r="P624">
        <f t="shared" si="32"/>
        <v>5.0836171811062654</v>
      </c>
      <c r="S624">
        <f t="shared" si="34"/>
        <v>0.67929029775000005</v>
      </c>
    </row>
    <row r="625" spans="1:19">
      <c r="A625" s="7">
        <v>42445</v>
      </c>
      <c r="B625" s="8" t="s">
        <v>24</v>
      </c>
      <c r="C625">
        <v>30</v>
      </c>
      <c r="D625" s="8" t="s">
        <v>63</v>
      </c>
      <c r="E625">
        <v>199</v>
      </c>
      <c r="F625">
        <v>1.71</v>
      </c>
      <c r="G625">
        <v>8</v>
      </c>
      <c r="N625">
        <f t="shared" si="33"/>
        <v>152.33986170674996</v>
      </c>
      <c r="O625">
        <f>IF(AND(OR(D625="S. acutus",D625="S. californicus",D625="S. tabernaemontani"),G625=0),E625*[1]Sheet1!$D$7+[1]Sheet1!$L$7,IF(AND(OR(D625="S. acutus",D625="S. tabernaemontani"),G625&gt;0),E625*[1]Sheet1!$D$8+N625*[1]Sheet1!$E$8,IF(AND(D625="S. californicus",G625&gt;0),E625*[1]Sheet1!$D$9+N625*[1]Sheet1!$E$9,IF(D625="S.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latifolia"),E625&gt;0),F625*[1]Sheet1!$C$4+E625*[1]Sheet1!$D$4+H625*[1]Sheet1!$J$4+I625*[1]Sheet1!$K$4+[1]Sheet1!$L$4,IF(AND(OR(D625="T. domingensis",D625="T. latifolia"),J625&gt;0),J625*[1]Sheet1!$G$5+K625*[1]Sheet1!$H$5+L625*[1]Sheet1!$I$5+[1]Sheet1!$L$5,0)))))))</f>
        <v>12.568393552832884</v>
      </c>
      <c r="P625">
        <f t="shared" si="32"/>
        <v>12.568393552832884</v>
      </c>
      <c r="S625">
        <f t="shared" si="34"/>
        <v>2.2965808297499999</v>
      </c>
    </row>
    <row r="626" spans="1:19">
      <c r="A626" s="7">
        <v>42445</v>
      </c>
      <c r="B626" s="8" t="s">
        <v>24</v>
      </c>
      <c r="C626">
        <v>30</v>
      </c>
      <c r="D626" s="8" t="s">
        <v>63</v>
      </c>
      <c r="E626">
        <v>103</v>
      </c>
      <c r="F626">
        <v>1.17</v>
      </c>
      <c r="G626">
        <v>4</v>
      </c>
      <c r="N626">
        <f t="shared" si="33"/>
        <v>36.91281856274999</v>
      </c>
      <c r="O626">
        <f>IF(AND(OR(D626="S. acutus",D626="S. californicus",D626="S. tabernaemontani"),G626=0),E626*[1]Sheet1!$D$7+[1]Sheet1!$L$7,IF(AND(OR(D626="S. acutus",D626="S. tabernaemontani"),G626&gt;0),E626*[1]Sheet1!$D$8+N626*[1]Sheet1!$E$8,IF(AND(D626="S. californicus",G626&gt;0),E626*[1]Sheet1!$D$9+N626*[1]Sheet1!$E$9,IF(D626="S. maritimus",F626*[1]Sheet1!$C$10+E626*[1]Sheet1!$D$10+G626*[1]Sheet1!$F$10+[1]Sheet1!$L$10,IF(D626="S. americanus",F626*[1]Sheet1!$C$6+E626*[1]Sheet1!$D$6+[1]Sheet1!$L$6,IF(AND(OR(D626="T. domingensis",D626="T. latifolia"),E626&gt;0),F626*[1]Sheet1!$C$4+E626*[1]Sheet1!$D$4+H626*[1]Sheet1!$J$4+I626*[1]Sheet1!$K$4+[1]Sheet1!$L$4,IF(AND(OR(D626="T. domingensis",D626="T. latifolia"),J626&gt;0),J626*[1]Sheet1!$G$5+K626*[1]Sheet1!$H$5+L626*[1]Sheet1!$I$5+[1]Sheet1!$L$5,0)))))))</f>
        <v>5.1548572792572562</v>
      </c>
      <c r="P626">
        <f t="shared" si="32"/>
        <v>5.1548572792572562</v>
      </c>
      <c r="S626">
        <f t="shared" si="34"/>
        <v>1.0751306377499998</v>
      </c>
    </row>
    <row r="627" spans="1:19">
      <c r="A627" s="7">
        <v>42445</v>
      </c>
      <c r="B627" s="8" t="s">
        <v>24</v>
      </c>
      <c r="C627">
        <v>30</v>
      </c>
      <c r="D627" s="8" t="s">
        <v>63</v>
      </c>
      <c r="E627">
        <v>107</v>
      </c>
      <c r="F627">
        <v>0.89</v>
      </c>
      <c r="G627">
        <v>6</v>
      </c>
      <c r="N627">
        <f t="shared" si="33"/>
        <v>22.188709831083333</v>
      </c>
      <c r="O627">
        <f>IF(AND(OR(D627="S. acutus",D627="S. californicus",D627="S. tabernaemontani"),G627=0),E627*[1]Sheet1!$D$7+[1]Sheet1!$L$7,IF(AND(OR(D627="S. acutus",D627="S. tabernaemontani"),G627&gt;0),E627*[1]Sheet1!$D$8+N627*[1]Sheet1!$E$8,IF(AND(D627="S. californicus",G627&gt;0),E627*[1]Sheet1!$D$9+N627*[1]Sheet1!$E$9,IF(D627="S. maritimus",F627*[1]Sheet1!$C$10+E627*[1]Sheet1!$D$10+G627*[1]Sheet1!$F$10+[1]Sheet1!$L$10,IF(D627="S. americanus",F627*[1]Sheet1!$C$6+E627*[1]Sheet1!$D$6+[1]Sheet1!$L$6,IF(AND(OR(D627="T. domingensis",D627="T. latifolia"),E627&gt;0),F627*[1]Sheet1!$C$4+E627*[1]Sheet1!$D$4+H627*[1]Sheet1!$J$4+I627*[1]Sheet1!$K$4+[1]Sheet1!$L$4,IF(AND(OR(D627="T. domingensis",D627="T. latifolia"),J627&gt;0),J627*[1]Sheet1!$G$5+K627*[1]Sheet1!$H$5+L627*[1]Sheet1!$I$5+[1]Sheet1!$L$5,0)))))))</f>
        <v>4.8347561263997312</v>
      </c>
      <c r="P627">
        <f t="shared" si="32"/>
        <v>4.8347561263997312</v>
      </c>
      <c r="S627">
        <f t="shared" si="34"/>
        <v>0.62211335975000004</v>
      </c>
    </row>
    <row r="628" spans="1:19">
      <c r="A628" s="7">
        <v>42445</v>
      </c>
      <c r="B628" s="8" t="s">
        <v>24</v>
      </c>
      <c r="C628">
        <v>30</v>
      </c>
      <c r="D628" s="8" t="s">
        <v>63</v>
      </c>
      <c r="E628">
        <v>201</v>
      </c>
      <c r="F628">
        <v>2.3199999999999998</v>
      </c>
      <c r="N628">
        <f t="shared" si="33"/>
        <v>283.23067476799991</v>
      </c>
      <c r="O628">
        <f>IF(AND(OR(D628="S. acutus",D628="S. californicus",D628="S. tabernaemontani"),G628=0),E628*[1]Sheet1!$D$7+[1]Sheet1!$L$7,IF(AND(OR(D628="S. acutus",D628="S. tabernaemontani"),G628&gt;0),E628*[1]Sheet1!$D$8+N628*[1]Sheet1!$E$8,IF(AND(D628="S. californicus",G628&gt;0),E628*[1]Sheet1!$D$9+N628*[1]Sheet1!$E$9,IF(D628="S. maritimus",F628*[1]Sheet1!$C$10+E628*[1]Sheet1!$D$10+G628*[1]Sheet1!$F$10+[1]Sheet1!$L$10,IF(D628="S. americanus",F628*[1]Sheet1!$C$6+E628*[1]Sheet1!$D$6+[1]Sheet1!$L$6,IF(AND(OR(D628="T. domingensis",D628="T. latifolia"),E628&gt;0),F628*[1]Sheet1!$C$4+E628*[1]Sheet1!$D$4+H628*[1]Sheet1!$J$4+I628*[1]Sheet1!$K$4+[1]Sheet1!$L$4,IF(AND(OR(D628="T. domingensis",D628="T. latifolia"),J628&gt;0),J628*[1]Sheet1!$G$5+K628*[1]Sheet1!$H$5+L628*[1]Sheet1!$I$5+[1]Sheet1!$L$5,0)))))))</f>
        <v>9.500508</v>
      </c>
      <c r="P628">
        <f t="shared" si="32"/>
        <v>9.500508</v>
      </c>
      <c r="S628">
        <f t="shared" si="34"/>
        <v>4.2273235039999992</v>
      </c>
    </row>
    <row r="629" spans="1:19">
      <c r="A629" s="7">
        <v>42445</v>
      </c>
      <c r="B629" s="8" t="s">
        <v>24</v>
      </c>
      <c r="C629">
        <v>30</v>
      </c>
      <c r="D629" s="8" t="s">
        <v>63</v>
      </c>
      <c r="E629">
        <v>160</v>
      </c>
      <c r="F629">
        <v>2.27</v>
      </c>
      <c r="N629">
        <f t="shared" si="33"/>
        <v>215.84398814666662</v>
      </c>
      <c r="O629">
        <f>IF(AND(OR(D629="S. acutus",D629="S. californicus",D629="S. tabernaemontani"),G629=0),E629*[1]Sheet1!$D$7+[1]Sheet1!$L$7,IF(AND(OR(D629="S. acutus",D629="S. tabernaemontani"),G629&gt;0),E629*[1]Sheet1!$D$8+N629*[1]Sheet1!$E$8,IF(AND(D629="S. californicus",G629&gt;0),E629*[1]Sheet1!$D$9+N629*[1]Sheet1!$E$9,IF(D629="S. maritimus",F629*[1]Sheet1!$C$10+E629*[1]Sheet1!$D$10+G629*[1]Sheet1!$F$10+[1]Sheet1!$L$10,IF(D629="S. americanus",F629*[1]Sheet1!$C$6+E629*[1]Sheet1!$D$6+[1]Sheet1!$L$6,IF(AND(OR(D629="T. domingensis",D629="T. latifolia"),E629&gt;0),F629*[1]Sheet1!$C$4+E629*[1]Sheet1!$D$4+H629*[1]Sheet1!$J$4+I629*[1]Sheet1!$K$4+[1]Sheet1!$L$4,IF(AND(OR(D629="T. domingensis",D629="T. latifolia"),J629&gt;0),J629*[1]Sheet1!$G$5+K629*[1]Sheet1!$H$5+L629*[1]Sheet1!$I$5+[1]Sheet1!$L$5,0)))))))</f>
        <v>6.6262029999999994</v>
      </c>
      <c r="P629">
        <f t="shared" si="32"/>
        <v>6.6262029999999994</v>
      </c>
      <c r="S629">
        <f t="shared" si="34"/>
        <v>4.0470747777499998</v>
      </c>
    </row>
    <row r="630" spans="1:19">
      <c r="A630" s="7">
        <v>42445</v>
      </c>
      <c r="B630" s="8" t="s">
        <v>24</v>
      </c>
      <c r="C630">
        <v>30</v>
      </c>
      <c r="D630" s="8" t="s">
        <v>63</v>
      </c>
      <c r="E630">
        <v>114</v>
      </c>
      <c r="F630">
        <v>1.21</v>
      </c>
      <c r="G630">
        <v>4</v>
      </c>
      <c r="N630">
        <f t="shared" si="33"/>
        <v>43.696218230499994</v>
      </c>
      <c r="O630">
        <f>IF(AND(OR(D630="S. acutus",D630="S. californicus",D630="S. tabernaemontani"),G630=0),E630*[1]Sheet1!$D$7+[1]Sheet1!$L$7,IF(AND(OR(D630="S. acutus",D630="S. tabernaemontani"),G630&gt;0),E630*[1]Sheet1!$D$8+N630*[1]Sheet1!$E$8,IF(AND(D630="S. californicus",G630&gt;0),E630*[1]Sheet1!$D$9+N630*[1]Sheet1!$E$9,IF(D630="S. maritimus",F630*[1]Sheet1!$C$10+E630*[1]Sheet1!$D$10+G630*[1]Sheet1!$F$10+[1]Sheet1!$L$10,IF(D630="S. americanus",F630*[1]Sheet1!$C$6+E630*[1]Sheet1!$D$6+[1]Sheet1!$L$6,IF(AND(OR(D630="T. domingensis",D630="T. latifolia"),E630&gt;0),F630*[1]Sheet1!$C$4+E630*[1]Sheet1!$D$4+H630*[1]Sheet1!$J$4+I630*[1]Sheet1!$K$4+[1]Sheet1!$L$4,IF(AND(OR(D630="T. domingensis",D630="T. latifolia"),J630&gt;0),J630*[1]Sheet1!$G$5+K630*[1]Sheet1!$H$5+L630*[1]Sheet1!$I$5+[1]Sheet1!$L$5,0)))))))</f>
        <v>5.7968669536185073</v>
      </c>
      <c r="P630">
        <f t="shared" si="32"/>
        <v>5.7968669536185073</v>
      </c>
      <c r="S630">
        <f t="shared" si="34"/>
        <v>1.1499004797499999</v>
      </c>
    </row>
    <row r="631" spans="1:19">
      <c r="A631" s="7">
        <v>42445</v>
      </c>
      <c r="B631" s="8" t="s">
        <v>24</v>
      </c>
      <c r="C631">
        <v>30</v>
      </c>
      <c r="D631" s="8" t="s">
        <v>63</v>
      </c>
      <c r="E631">
        <v>108</v>
      </c>
      <c r="F631">
        <v>1.32</v>
      </c>
      <c r="G631">
        <v>6</v>
      </c>
      <c r="N631">
        <f t="shared" si="33"/>
        <v>49.265157744</v>
      </c>
      <c r="O631">
        <f>IF(AND(OR(D631="S. acutus",D631="S. californicus",D631="S. tabernaemontani"),G631=0),E631*[1]Sheet1!$D$7+[1]Sheet1!$L$7,IF(AND(OR(D631="S. acutus",D631="S. tabernaemontani"),G631&gt;0),E631*[1]Sheet1!$D$8+N631*[1]Sheet1!$E$8,IF(AND(D631="S. californicus",G631&gt;0),E631*[1]Sheet1!$D$9+N631*[1]Sheet1!$E$9,IF(D631="S. maritimus",F631*[1]Sheet1!$C$10+E631*[1]Sheet1!$D$10+G631*[1]Sheet1!$F$10+[1]Sheet1!$L$10,IF(D631="S. americanus",F631*[1]Sheet1!$C$6+E631*[1]Sheet1!$D$6+[1]Sheet1!$L$6,IF(AND(OR(D631="T. domingensis",D631="T. latifolia"),E631&gt;0),F631*[1]Sheet1!$C$4+E631*[1]Sheet1!$D$4+H631*[1]Sheet1!$J$4+I631*[1]Sheet1!$K$4+[1]Sheet1!$L$4,IF(AND(OR(D631="T. domingensis",D631="T. latifolia"),J631&gt;0),J631*[1]Sheet1!$G$5+K631*[1]Sheet1!$H$5+L631*[1]Sheet1!$I$5+[1]Sheet1!$L$5,0)))))))</f>
        <v>5.7451492179987698</v>
      </c>
      <c r="P631">
        <f t="shared" si="32"/>
        <v>5.7451492179987698</v>
      </c>
      <c r="S631">
        <f t="shared" si="34"/>
        <v>1.368476604</v>
      </c>
    </row>
    <row r="632" spans="1:19">
      <c r="A632" s="7">
        <v>42445</v>
      </c>
      <c r="B632" s="8" t="s">
        <v>24</v>
      </c>
      <c r="C632">
        <v>30</v>
      </c>
      <c r="D632" s="8" t="s">
        <v>63</v>
      </c>
      <c r="E632">
        <v>105</v>
      </c>
      <c r="F632">
        <v>0.96</v>
      </c>
      <c r="G632">
        <v>7</v>
      </c>
      <c r="N632">
        <f t="shared" si="33"/>
        <v>25.333781759999997</v>
      </c>
      <c r="O632">
        <f>IF(AND(OR(D632="S. acutus",D632="S. californicus",D632="S. tabernaemontani"),G632=0),E632*[1]Sheet1!$D$7+[1]Sheet1!$L$7,IF(AND(OR(D632="S. acutus",D632="S. tabernaemontani"),G632&gt;0),E632*[1]Sheet1!$D$8+N632*[1]Sheet1!$E$8,IF(AND(D632="S. californicus",G632&gt;0),E632*[1]Sheet1!$D$9+N632*[1]Sheet1!$E$9,IF(D632="S. maritimus",F632*[1]Sheet1!$C$10+E632*[1]Sheet1!$D$10+G632*[1]Sheet1!$F$10+[1]Sheet1!$L$10,IF(D632="S. americanus",F632*[1]Sheet1!$C$6+E632*[1]Sheet1!$D$6+[1]Sheet1!$L$6,IF(AND(OR(D632="T. domingensis",D632="T. latifolia"),E632&gt;0),F632*[1]Sheet1!$C$4+E632*[1]Sheet1!$D$4+H632*[1]Sheet1!$J$4+I632*[1]Sheet1!$K$4+[1]Sheet1!$L$4,IF(AND(OR(D632="T. domingensis",D632="T. latifolia"),J632&gt;0),J632*[1]Sheet1!$G$5+K632*[1]Sheet1!$H$5+L632*[1]Sheet1!$I$5+[1]Sheet1!$L$5,0)))))))</f>
        <v>4.8590160730755843</v>
      </c>
      <c r="P632">
        <f t="shared" si="32"/>
        <v>4.8590160730755843</v>
      </c>
      <c r="S632">
        <f t="shared" si="34"/>
        <v>0.7238223359999999</v>
      </c>
    </row>
    <row r="633" spans="1:19">
      <c r="A633" s="7">
        <v>42445</v>
      </c>
      <c r="B633" s="8" t="s">
        <v>24</v>
      </c>
      <c r="C633">
        <v>30</v>
      </c>
      <c r="D633" s="8" t="s">
        <v>63</v>
      </c>
      <c r="E633">
        <v>143</v>
      </c>
      <c r="F633">
        <v>1.98</v>
      </c>
      <c r="G633">
        <v>1</v>
      </c>
      <c r="N633">
        <f t="shared" si="33"/>
        <v>146.76911577899997</v>
      </c>
      <c r="O633">
        <f>IF(AND(OR(D633="S. acutus",D633="S. californicus",D633="S. tabernaemontani"),G633=0),E633*[1]Sheet1!$D$7+[1]Sheet1!$L$7,IF(AND(OR(D633="S. acutus",D633="S. tabernaemontani"),G633&gt;0),E633*[1]Sheet1!$D$8+N633*[1]Sheet1!$E$8,IF(AND(D633="S. californicus",G633&gt;0),E633*[1]Sheet1!$D$9+N633*[1]Sheet1!$E$9,IF(D633="S. maritimus",F633*[1]Sheet1!$C$10+E633*[1]Sheet1!$D$10+G633*[1]Sheet1!$F$10+[1]Sheet1!$L$10,IF(D633="S. americanus",F633*[1]Sheet1!$C$6+E633*[1]Sheet1!$D$6+[1]Sheet1!$L$6,IF(AND(OR(D633="T. domingensis",D633="T. latifolia"),E633&gt;0),F633*[1]Sheet1!$C$4+E633*[1]Sheet1!$D$4+H633*[1]Sheet1!$J$4+I633*[1]Sheet1!$K$4+[1]Sheet1!$L$4,IF(AND(OR(D633="T. domingensis",D633="T. latifolia"),J633&gt;0),J633*[1]Sheet1!$G$5+K633*[1]Sheet1!$H$5+L633*[1]Sheet1!$I$5+[1]Sheet1!$L$5,0)))))))</f>
        <v>10.232612920288</v>
      </c>
      <c r="P633">
        <f t="shared" si="32"/>
        <v>10.232612920288</v>
      </c>
      <c r="S633">
        <f t="shared" si="34"/>
        <v>3.079072359</v>
      </c>
    </row>
    <row r="634" spans="1:19">
      <c r="A634" s="7">
        <v>42445</v>
      </c>
      <c r="B634" s="8" t="s">
        <v>24</v>
      </c>
      <c r="C634">
        <v>30</v>
      </c>
      <c r="D634" s="8" t="s">
        <v>63</v>
      </c>
      <c r="E634">
        <v>121</v>
      </c>
      <c r="F634">
        <v>1.48</v>
      </c>
      <c r="G634">
        <v>5</v>
      </c>
      <c r="N634">
        <f t="shared" si="33"/>
        <v>69.386832254666658</v>
      </c>
      <c r="O634">
        <f>IF(AND(OR(D634="S. acutus",D634="S. californicus",D634="S. tabernaemontani"),G634=0),E634*[1]Sheet1!$D$7+[1]Sheet1!$L$7,IF(AND(OR(D634="S. acutus",D634="S. tabernaemontani"),G634&gt;0),E634*[1]Sheet1!$D$8+N634*[1]Sheet1!$E$8,IF(AND(D634="S. californicus",G634&gt;0),E634*[1]Sheet1!$D$9+N634*[1]Sheet1!$E$9,IF(D634="S. maritimus",F634*[1]Sheet1!$C$10+E634*[1]Sheet1!$D$10+G634*[1]Sheet1!$F$10+[1]Sheet1!$L$10,IF(D634="S. americanus",F634*[1]Sheet1!$C$6+E634*[1]Sheet1!$D$6+[1]Sheet1!$L$6,IF(AND(OR(D634="T. domingensis",D634="T. latifolia"),E634&gt;0),F634*[1]Sheet1!$C$4+E634*[1]Sheet1!$D$4+H634*[1]Sheet1!$J$4+I634*[1]Sheet1!$K$4+[1]Sheet1!$L$4,IF(AND(OR(D634="T. domingensis",D634="T. latifolia"),J634&gt;0),J634*[1]Sheet1!$G$5+K634*[1]Sheet1!$H$5+L634*[1]Sheet1!$I$5+[1]Sheet1!$L$5,0)))))))</f>
        <v>6.8936775467492959</v>
      </c>
      <c r="P634">
        <f t="shared" si="32"/>
        <v>6.8936775467492959</v>
      </c>
      <c r="S634">
        <f t="shared" si="34"/>
        <v>1.7203346839999998</v>
      </c>
    </row>
    <row r="635" spans="1:19">
      <c r="A635" s="7">
        <v>42445</v>
      </c>
      <c r="B635" s="8" t="s">
        <v>24</v>
      </c>
      <c r="C635">
        <v>30</v>
      </c>
      <c r="D635" s="8" t="s">
        <v>63</v>
      </c>
      <c r="E635">
        <v>160</v>
      </c>
      <c r="F635">
        <v>1.36</v>
      </c>
      <c r="G635">
        <v>5</v>
      </c>
      <c r="N635">
        <f t="shared" si="33"/>
        <v>77.475798186666665</v>
      </c>
      <c r="O635">
        <f>IF(AND(OR(D635="S. acutus",D635="S. californicus",D635="S. tabernaemontani"),G635=0),E635*[1]Sheet1!$D$7+[1]Sheet1!$L$7,IF(AND(OR(D635="S. acutus",D635="S. tabernaemontani"),G635&gt;0),E635*[1]Sheet1!$D$8+N635*[1]Sheet1!$E$8,IF(AND(D635="S. californicus",G635&gt;0),E635*[1]Sheet1!$D$9+N635*[1]Sheet1!$E$9,IF(D635="S. maritimus",F635*[1]Sheet1!$C$10+E635*[1]Sheet1!$D$10+G635*[1]Sheet1!$F$10+[1]Sheet1!$L$10,IF(D635="S. americanus",F635*[1]Sheet1!$C$6+E635*[1]Sheet1!$D$6+[1]Sheet1!$L$6,IF(AND(OR(D635="T. domingensis",D635="T. latifolia"),E635&gt;0),F635*[1]Sheet1!$C$4+E635*[1]Sheet1!$D$4+H635*[1]Sheet1!$J$4+I635*[1]Sheet1!$K$4+[1]Sheet1!$L$4,IF(AND(OR(D635="T. domingensis",D635="T. latifolia"),J635&gt;0),J635*[1]Sheet1!$G$5+K635*[1]Sheet1!$H$5+L635*[1]Sheet1!$I$5+[1]Sheet1!$L$5,0)))))))</f>
        <v>8.6559264298290355</v>
      </c>
      <c r="P635">
        <f t="shared" si="32"/>
        <v>8.6559264298290355</v>
      </c>
      <c r="S635">
        <f t="shared" si="34"/>
        <v>1.4526712160000002</v>
      </c>
    </row>
    <row r="636" spans="1:19">
      <c r="A636" s="7">
        <v>42445</v>
      </c>
      <c r="B636" s="8" t="s">
        <v>24</v>
      </c>
      <c r="C636">
        <v>30</v>
      </c>
      <c r="D636" s="8" t="s">
        <v>63</v>
      </c>
      <c r="E636">
        <v>50</v>
      </c>
      <c r="F636">
        <v>0.67</v>
      </c>
      <c r="N636">
        <f t="shared" si="33"/>
        <v>5.8760822958333332</v>
      </c>
      <c r="O636">
        <f>IF(AND(OR(D636="S. acutus",D636="S. californicus",D636="S. tabernaemontani"),G636=0),E636*[1]Sheet1!$D$7+[1]Sheet1!$L$7,IF(AND(OR(D636="S. acutus",D636="S. tabernaemontani"),G636&gt;0),E636*[1]Sheet1!$D$8+N636*[1]Sheet1!$E$8,IF(AND(D636="S. californicus",G636&gt;0),E636*[1]Sheet1!$D$9+N636*[1]Sheet1!$E$9,IF(D636="S. maritimus",F636*[1]Sheet1!$C$10+E636*[1]Sheet1!$D$10+G636*[1]Sheet1!$F$10+[1]Sheet1!$L$10,IF(D636="S. americanus",F636*[1]Sheet1!$C$6+E636*[1]Sheet1!$D$6+[1]Sheet1!$L$6,IF(AND(OR(D636="T. domingensis",D636="T. latifolia"),E636&gt;0),F636*[1]Sheet1!$C$4+E636*[1]Sheet1!$D$4+H636*[1]Sheet1!$J$4+I636*[1]Sheet1!$K$4+[1]Sheet1!$L$4,IF(AND(OR(D636="T. domingensis",D636="T. latifolia"),J636&gt;0),J636*[1]Sheet1!$G$5+K636*[1]Sheet1!$H$5+L636*[1]Sheet1!$I$5+[1]Sheet1!$L$5,0)))))))</f>
        <v>-1.0853469999999996</v>
      </c>
      <c r="P636" t="str">
        <f t="shared" si="32"/>
        <v>0</v>
      </c>
      <c r="S636">
        <f t="shared" si="34"/>
        <v>0.35256493775000003</v>
      </c>
    </row>
    <row r="637" spans="1:19">
      <c r="A637" s="7">
        <v>42445</v>
      </c>
      <c r="B637" s="8" t="s">
        <v>24</v>
      </c>
      <c r="C637">
        <v>30</v>
      </c>
      <c r="D637" s="8" t="s">
        <v>63</v>
      </c>
      <c r="E637">
        <v>95</v>
      </c>
      <c r="F637">
        <v>0.67</v>
      </c>
      <c r="N637">
        <f t="shared" si="33"/>
        <v>11.164556362083333</v>
      </c>
      <c r="O637">
        <f>IF(AND(OR(D637="S. acutus",D637="S. californicus",D637="S. tabernaemontani"),G637=0),E637*[1]Sheet1!$D$7+[1]Sheet1!$L$7,IF(AND(OR(D637="S. acutus",D637="S. tabernaemontani"),G637&gt;0),E637*[1]Sheet1!$D$8+N637*[1]Sheet1!$E$8,IF(AND(D637="S. californicus",G637&gt;0),E637*[1]Sheet1!$D$9+N637*[1]Sheet1!$E$9,IF(D637="S. maritimus",F637*[1]Sheet1!$C$10+E637*[1]Sheet1!$D$10+G637*[1]Sheet1!$F$10+[1]Sheet1!$L$10,IF(D637="S. americanus",F637*[1]Sheet1!$C$6+E637*[1]Sheet1!$D$6+[1]Sheet1!$L$6,IF(AND(OR(D637="T. domingensis",D637="T. latifolia"),E637&gt;0),F637*[1]Sheet1!$C$4+E637*[1]Sheet1!$D$4+H637*[1]Sheet1!$J$4+I637*[1]Sheet1!$K$4+[1]Sheet1!$L$4,IF(AND(OR(D637="T. domingensis",D637="T. latifolia"),J637&gt;0),J637*[1]Sheet1!$G$5+K637*[1]Sheet1!$H$5+L637*[1]Sheet1!$I$5+[1]Sheet1!$L$5,0)))))))</f>
        <v>2.0693780000000004</v>
      </c>
      <c r="P637">
        <f t="shared" si="32"/>
        <v>2.0693780000000004</v>
      </c>
      <c r="S637">
        <f t="shared" si="34"/>
        <v>0.35256493775000003</v>
      </c>
    </row>
    <row r="638" spans="1:19">
      <c r="A638" s="7">
        <v>42445</v>
      </c>
      <c r="B638" s="8" t="s">
        <v>24</v>
      </c>
      <c r="C638">
        <v>30</v>
      </c>
      <c r="D638" s="8" t="s">
        <v>63</v>
      </c>
      <c r="E638">
        <v>158</v>
      </c>
      <c r="F638">
        <v>1.1599999999999999</v>
      </c>
      <c r="G638">
        <v>4</v>
      </c>
      <c r="N638">
        <f t="shared" si="33"/>
        <v>55.659759469333324</v>
      </c>
      <c r="O638">
        <f>IF(AND(OR(D638="S. acutus",D638="S. californicus",D638="S. tabernaemontani"),G638=0),E638*[1]Sheet1!$D$7+[1]Sheet1!$L$7,IF(AND(OR(D638="S. acutus",D638="S. tabernaemontani"),G638&gt;0),E638*[1]Sheet1!$D$8+N638*[1]Sheet1!$E$8,IF(AND(D638="S. californicus",G638&gt;0),E638*[1]Sheet1!$D$9+N638*[1]Sheet1!$E$9,IF(D638="S. maritimus",F638*[1]Sheet1!$C$10+E638*[1]Sheet1!$D$10+G638*[1]Sheet1!$F$10+[1]Sheet1!$L$10,IF(D638="S. americanus",F638*[1]Sheet1!$C$6+E638*[1]Sheet1!$D$6+[1]Sheet1!$L$6,IF(AND(OR(D638="T. domingensis",D638="T. latifolia"),E638&gt;0),F638*[1]Sheet1!$C$4+E638*[1]Sheet1!$D$4+H638*[1]Sheet1!$J$4+I638*[1]Sheet1!$K$4+[1]Sheet1!$L$4,IF(AND(OR(D638="T. domingensis",D638="T. latifolia"),J638&gt;0),J638*[1]Sheet1!$G$5+K638*[1]Sheet1!$H$5+L638*[1]Sheet1!$I$5+[1]Sheet1!$L$5,0)))))))</f>
        <v>7.8764161486960553</v>
      </c>
      <c r="P638">
        <f t="shared" si="32"/>
        <v>7.8764161486960553</v>
      </c>
      <c r="S638">
        <f t="shared" si="34"/>
        <v>1.0568308759999998</v>
      </c>
    </row>
    <row r="639" spans="1:19">
      <c r="A639" s="7">
        <v>42445</v>
      </c>
      <c r="B639" s="8" t="s">
        <v>24</v>
      </c>
      <c r="C639">
        <v>30</v>
      </c>
      <c r="D639" s="8" t="s">
        <v>63</v>
      </c>
      <c r="E639">
        <v>106</v>
      </c>
      <c r="F639">
        <v>0.64</v>
      </c>
      <c r="N639">
        <f t="shared" si="33"/>
        <v>11.366691498666667</v>
      </c>
      <c r="O639">
        <f>IF(AND(OR(D639="S. acutus",D639="S. californicus",D639="S. tabernaemontani"),G639=0),E639*[1]Sheet1!$D$7+[1]Sheet1!$L$7,IF(AND(OR(D639="S. acutus",D639="S. tabernaemontani"),G639&gt;0),E639*[1]Sheet1!$D$8+N639*[1]Sheet1!$E$8,IF(AND(D639="S. californicus",G639&gt;0),E639*[1]Sheet1!$D$9+N639*[1]Sheet1!$E$9,IF(D639="S. maritimus",F639*[1]Sheet1!$C$10+E639*[1]Sheet1!$D$10+G639*[1]Sheet1!$F$10+[1]Sheet1!$L$10,IF(D639="S. americanus",F639*[1]Sheet1!$C$6+E639*[1]Sheet1!$D$6+[1]Sheet1!$L$6,IF(AND(OR(D639="T. domingensis",D639="T. latifolia"),E639&gt;0),F639*[1]Sheet1!$C$4+E639*[1]Sheet1!$D$4+H639*[1]Sheet1!$J$4+I639*[1]Sheet1!$K$4+[1]Sheet1!$L$4,IF(AND(OR(D639="T. domingensis",D639="T. latifolia"),J639&gt;0),J639*[1]Sheet1!$G$5+K639*[1]Sheet1!$H$5+L639*[1]Sheet1!$I$5+[1]Sheet1!$L$5,0)))))))</f>
        <v>2.8405330000000006</v>
      </c>
      <c r="P639">
        <f t="shared" si="32"/>
        <v>2.8405330000000006</v>
      </c>
      <c r="S639">
        <f t="shared" si="34"/>
        <v>0.321698816</v>
      </c>
    </row>
    <row r="640" spans="1:19">
      <c r="A640" s="7">
        <v>42445</v>
      </c>
      <c r="B640" s="8" t="s">
        <v>24</v>
      </c>
      <c r="C640">
        <v>30</v>
      </c>
      <c r="D640" s="8" t="s">
        <v>63</v>
      </c>
      <c r="E640">
        <v>195</v>
      </c>
      <c r="F640">
        <v>1.21</v>
      </c>
      <c r="N640">
        <f t="shared" si="33"/>
        <v>74.743531183749994</v>
      </c>
      <c r="O640">
        <f>IF(AND(OR(D640="S. acutus",D640="S. californicus",D640="S. tabernaemontani"),G640=0),E640*[1]Sheet1!$D$7+[1]Sheet1!$L$7,IF(AND(OR(D640="S. acutus",D640="S. tabernaemontani"),G640&gt;0),E640*[1]Sheet1!$D$8+N640*[1]Sheet1!$E$8,IF(AND(D640="S. californicus",G640&gt;0),E640*[1]Sheet1!$D$9+N640*[1]Sheet1!$E$9,IF(D640="S. maritimus",F640*[1]Sheet1!$C$10+E640*[1]Sheet1!$D$10+G640*[1]Sheet1!$F$10+[1]Sheet1!$L$10,IF(D640="S. americanus",F640*[1]Sheet1!$C$6+E640*[1]Sheet1!$D$6+[1]Sheet1!$L$6,IF(AND(OR(D640="T. domingensis",D640="T. latifolia"),E640&gt;0),F640*[1]Sheet1!$C$4+E640*[1]Sheet1!$D$4+H640*[1]Sheet1!$J$4+I640*[1]Sheet1!$K$4+[1]Sheet1!$L$4,IF(AND(OR(D640="T. domingensis",D640="T. latifolia"),J640&gt;0),J640*[1]Sheet1!$G$5+K640*[1]Sheet1!$H$5+L640*[1]Sheet1!$I$5+[1]Sheet1!$L$5,0)))))))</f>
        <v>9.0798780000000008</v>
      </c>
      <c r="P640">
        <f t="shared" si="32"/>
        <v>9.0798780000000008</v>
      </c>
      <c r="S640">
        <f t="shared" si="34"/>
        <v>1.1499004797499999</v>
      </c>
    </row>
    <row r="641" spans="1:19">
      <c r="A641" s="7">
        <v>42445</v>
      </c>
      <c r="B641" s="8" t="s">
        <v>24</v>
      </c>
      <c r="C641">
        <v>30</v>
      </c>
      <c r="D641" s="8" t="s">
        <v>63</v>
      </c>
      <c r="E641">
        <v>212</v>
      </c>
      <c r="F641">
        <v>1.46</v>
      </c>
      <c r="G641">
        <v>4</v>
      </c>
      <c r="N641">
        <f t="shared" si="33"/>
        <v>118.30683397733331</v>
      </c>
      <c r="O641">
        <f>IF(AND(OR(D641="S. acutus",D641="S. californicus",D641="S. tabernaemontani"),G641=0),E641*[1]Sheet1!$D$7+[1]Sheet1!$L$7,IF(AND(OR(D641="S. acutus",D641="S. tabernaemontani"),G641&gt;0),E641*[1]Sheet1!$D$8+N641*[1]Sheet1!$E$8,IF(AND(D641="S. californicus",G641&gt;0),E641*[1]Sheet1!$D$9+N641*[1]Sheet1!$E$9,IF(D641="S. maritimus",F641*[1]Sheet1!$C$10+E641*[1]Sheet1!$D$10+G641*[1]Sheet1!$F$10+[1]Sheet1!$L$10,IF(D641="S. americanus",F641*[1]Sheet1!$C$6+E641*[1]Sheet1!$D$6+[1]Sheet1!$L$6,IF(AND(OR(D641="T. domingensis",D641="T. latifolia"),E641&gt;0),F641*[1]Sheet1!$C$4+E641*[1]Sheet1!$D$4+H641*[1]Sheet1!$J$4+I641*[1]Sheet1!$K$4+[1]Sheet1!$L$4,IF(AND(OR(D641="T. domingensis",D641="T. latifolia"),J641&gt;0),J641*[1]Sheet1!$G$5+K641*[1]Sheet1!$H$5+L641*[1]Sheet1!$I$5+[1]Sheet1!$L$5,0)))))))</f>
        <v>11.973091730220712</v>
      </c>
      <c r="P641">
        <f t="shared" si="32"/>
        <v>11.973091730220712</v>
      </c>
      <c r="S641">
        <f t="shared" si="34"/>
        <v>1.6741533109999998</v>
      </c>
    </row>
    <row r="642" spans="1:19">
      <c r="A642" s="7">
        <v>42445</v>
      </c>
      <c r="B642" s="8" t="s">
        <v>24</v>
      </c>
      <c r="C642">
        <v>30</v>
      </c>
      <c r="D642" s="8" t="s">
        <v>63</v>
      </c>
      <c r="E642">
        <v>162</v>
      </c>
      <c r="F642">
        <v>1.24</v>
      </c>
      <c r="G642">
        <v>4</v>
      </c>
      <c r="N642">
        <f t="shared" si="33"/>
        <v>65.211868584000001</v>
      </c>
      <c r="O642">
        <f>IF(AND(OR(D642="S. acutus",D642="S. californicus",D642="S. tabernaemontani"),G642=0),E642*[1]Sheet1!$D$7+[1]Sheet1!$L$7,IF(AND(OR(D642="S. acutus",D642="S. tabernaemontani"),G642&gt;0),E642*[1]Sheet1!$D$8+N642*[1]Sheet1!$E$8,IF(AND(D642="S. californicus",G642&gt;0),E642*[1]Sheet1!$D$9+N642*[1]Sheet1!$E$9,IF(D642="S. maritimus",F642*[1]Sheet1!$C$10+E642*[1]Sheet1!$D$10+G642*[1]Sheet1!$F$10+[1]Sheet1!$L$10,IF(D642="S. americanus",F642*[1]Sheet1!$C$6+E642*[1]Sheet1!$D$6+[1]Sheet1!$L$6,IF(AND(OR(D642="T. domingensis",D642="T. latifolia"),E642&gt;0),F642*[1]Sheet1!$C$4+E642*[1]Sheet1!$D$4+H642*[1]Sheet1!$J$4+I642*[1]Sheet1!$K$4+[1]Sheet1!$L$4,IF(AND(OR(D642="T. domingensis",D642="T. latifolia"),J642&gt;0),J642*[1]Sheet1!$G$5+K642*[1]Sheet1!$H$5+L642*[1]Sheet1!$I$5+[1]Sheet1!$L$5,0)))))))</f>
        <v>8.3380310590865268</v>
      </c>
      <c r="P642">
        <f t="shared" si="32"/>
        <v>8.3380310590865268</v>
      </c>
      <c r="S642">
        <f t="shared" si="34"/>
        <v>1.207627196</v>
      </c>
    </row>
    <row r="643" spans="1:19">
      <c r="A643" s="7">
        <v>42445</v>
      </c>
      <c r="B643" s="8" t="s">
        <v>24</v>
      </c>
      <c r="C643">
        <v>30</v>
      </c>
      <c r="D643" s="8" t="s">
        <v>63</v>
      </c>
      <c r="E643">
        <v>205</v>
      </c>
      <c r="F643">
        <v>1.93</v>
      </c>
      <c r="G643">
        <v>5</v>
      </c>
      <c r="N643">
        <f t="shared" si="33"/>
        <v>199.91102176291665</v>
      </c>
      <c r="O643">
        <f>IF(AND(OR(D643="S. acutus",D643="S. californicus",D643="S. tabernaemontani"),G643=0),E643*[1]Sheet1!$D$7+[1]Sheet1!$L$7,IF(AND(OR(D643="S. acutus",D643="S. tabernaemontani"),G643&gt;0),E643*[1]Sheet1!$D$8+N643*[1]Sheet1!$E$8,IF(AND(D643="S. californicus",G643&gt;0),E643*[1]Sheet1!$D$9+N643*[1]Sheet1!$E$9,IF(D643="S. maritimus",F643*[1]Sheet1!$C$10+E643*[1]Sheet1!$D$10+G643*[1]Sheet1!$F$10+[1]Sheet1!$L$10,IF(D643="S. americanus",F643*[1]Sheet1!$C$6+E643*[1]Sheet1!$D$6+[1]Sheet1!$L$6,IF(AND(OR(D643="T. domingensis",D643="T. latifolia"),E643&gt;0),F643*[1]Sheet1!$C$4+E643*[1]Sheet1!$D$4+H643*[1]Sheet1!$J$4+I643*[1]Sheet1!$K$4+[1]Sheet1!$L$4,IF(AND(OR(D643="T. domingensis",D643="T. latifolia"),J643&gt;0),J643*[1]Sheet1!$G$5+K643*[1]Sheet1!$H$5+L643*[1]Sheet1!$I$5+[1]Sheet1!$L$5,0)))))))</f>
        <v>14.331270320685503</v>
      </c>
      <c r="P643">
        <f t="shared" si="32"/>
        <v>14.331270320685503</v>
      </c>
      <c r="S643">
        <f t="shared" si="34"/>
        <v>2.92552714775</v>
      </c>
    </row>
    <row r="644" spans="1:19">
      <c r="A644" s="7">
        <v>42445</v>
      </c>
      <c r="B644" s="8" t="s">
        <v>24</v>
      </c>
      <c r="C644">
        <v>30</v>
      </c>
      <c r="D644" s="8" t="s">
        <v>63</v>
      </c>
      <c r="E644">
        <v>94</v>
      </c>
      <c r="F644">
        <v>1.9</v>
      </c>
      <c r="G644">
        <v>2</v>
      </c>
      <c r="N644">
        <f t="shared" ref="N644:N665" si="35">IF(OR(D644="S. acutus", D644="S. tabernaemontani", D644="S. californicus"),(1/3)*(3.14159)*((F644/2)^2)*E644,"NA")</f>
        <v>88.838929216666656</v>
      </c>
      <c r="O644">
        <f>IF(AND(OR(D644="S. acutus",D644="S. californicus",D644="S. tabernaemontani"),G644=0),E644*[1]Sheet1!$D$7+[1]Sheet1!$L$7,IF(AND(OR(D644="S. acutus",D644="S. tabernaemontani"),G644&gt;0),E644*[1]Sheet1!$D$8+N644*[1]Sheet1!$E$8,IF(AND(D644="S. californicus",G644&gt;0),E644*[1]Sheet1!$D$9+N644*[1]Sheet1!$E$9,IF(D644="S. maritimus",F644*[1]Sheet1!$C$10+E644*[1]Sheet1!$D$10+G644*[1]Sheet1!$F$10+[1]Sheet1!$L$10,IF(D644="S. americanus",F644*[1]Sheet1!$C$6+E644*[1]Sheet1!$D$6+[1]Sheet1!$L$6,IF(AND(OR(D644="T. domingensis",D644="T. latifolia"),E644&gt;0),F644*[1]Sheet1!$C$4+E644*[1]Sheet1!$D$4+H644*[1]Sheet1!$J$4+I644*[1]Sheet1!$K$4+[1]Sheet1!$L$4,IF(AND(OR(D644="T. domingensis",D644="T. latifolia"),J644&gt;0),J644*[1]Sheet1!$G$5+K644*[1]Sheet1!$H$5+L644*[1]Sheet1!$I$5+[1]Sheet1!$L$5,0)))))))</f>
        <v>6.4803608758129609</v>
      </c>
      <c r="P644">
        <f t="shared" si="32"/>
        <v>6.4803608758129609</v>
      </c>
      <c r="S644">
        <f t="shared" si="34"/>
        <v>2.835284975</v>
      </c>
    </row>
    <row r="645" spans="1:19">
      <c r="A645" s="7">
        <v>42445</v>
      </c>
      <c r="B645" s="8" t="s">
        <v>24</v>
      </c>
      <c r="C645">
        <v>30</v>
      </c>
      <c r="D645" s="8" t="s">
        <v>63</v>
      </c>
      <c r="E645">
        <v>187</v>
      </c>
      <c r="F645">
        <v>1.89</v>
      </c>
      <c r="G645">
        <v>7</v>
      </c>
      <c r="N645">
        <f t="shared" si="35"/>
        <v>174.87731420774998</v>
      </c>
      <c r="O645">
        <f>IF(AND(OR(D645="S. acutus",D645="S. californicus",D645="S. tabernaemontani"),G645=0),E645*[1]Sheet1!$D$7+[1]Sheet1!$L$7,IF(AND(OR(D645="S. acutus",D645="S. tabernaemontani"),G645&gt;0),E645*[1]Sheet1!$D$8+N645*[1]Sheet1!$E$8,IF(AND(D645="S. californicus",G645&gt;0),E645*[1]Sheet1!$D$9+N645*[1]Sheet1!$E$9,IF(D645="S. maritimus",F645*[1]Sheet1!$C$10+E645*[1]Sheet1!$D$10+G645*[1]Sheet1!$F$10+[1]Sheet1!$L$10,IF(D645="S. americanus",F645*[1]Sheet1!$C$6+E645*[1]Sheet1!$D$6+[1]Sheet1!$L$6,IF(AND(OR(D645="T. domingensis",D645="T. latifolia"),E645&gt;0),F645*[1]Sheet1!$C$4+E645*[1]Sheet1!$D$4+H645*[1]Sheet1!$J$4+I645*[1]Sheet1!$K$4+[1]Sheet1!$L$4,IF(AND(OR(D645="T. domingensis",D645="T. latifolia"),J645&gt;0),J645*[1]Sheet1!$G$5+K645*[1]Sheet1!$H$5+L645*[1]Sheet1!$I$5+[1]Sheet1!$L$5,0)))))))</f>
        <v>12.832034607072337</v>
      </c>
      <c r="P645">
        <f t="shared" si="32"/>
        <v>12.832034607072337</v>
      </c>
      <c r="S645">
        <f t="shared" ref="S645:S712" si="36">3.14159*((F645/2)^2)</f>
        <v>2.8055184097499999</v>
      </c>
    </row>
    <row r="646" spans="1:19">
      <c r="A646" s="7">
        <v>42445</v>
      </c>
      <c r="B646" s="8" t="s">
        <v>24</v>
      </c>
      <c r="C646">
        <v>30</v>
      </c>
      <c r="D646" s="8" t="s">
        <v>63</v>
      </c>
      <c r="E646">
        <v>155</v>
      </c>
      <c r="F646">
        <v>1.1399999999999999</v>
      </c>
      <c r="G646">
        <v>3</v>
      </c>
      <c r="N646">
        <f t="shared" si="35"/>
        <v>52.736300534999984</v>
      </c>
      <c r="O646">
        <f>IF(AND(OR(D646="S. acutus",D646="S. californicus",D646="S. tabernaemontani"),G646=0),E646*[1]Sheet1!$D$7+[1]Sheet1!$L$7,IF(AND(OR(D646="S. acutus",D646="S. tabernaemontani"),G646&gt;0),E646*[1]Sheet1!$D$8+N646*[1]Sheet1!$E$8,IF(AND(D646="S. californicus",G646&gt;0),E646*[1]Sheet1!$D$9+N646*[1]Sheet1!$E$9,IF(D646="S. maritimus",F646*[1]Sheet1!$C$10+E646*[1]Sheet1!$D$10+G646*[1]Sheet1!$F$10+[1]Sheet1!$L$10,IF(D646="S. americanus",F646*[1]Sheet1!$C$6+E646*[1]Sheet1!$D$6+[1]Sheet1!$L$6,IF(AND(OR(D646="T. domingensis",D646="T. latifolia"),E646&gt;0),F646*[1]Sheet1!$C$4+E646*[1]Sheet1!$D$4+H646*[1]Sheet1!$J$4+I646*[1]Sheet1!$K$4+[1]Sheet1!$L$4,IF(AND(OR(D646="T. domingensis",D646="T. latifolia"),J646&gt;0),J646*[1]Sheet1!$G$5+K646*[1]Sheet1!$H$5+L646*[1]Sheet1!$I$5+[1]Sheet1!$L$5,0)))))))</f>
        <v>7.6667568398974808</v>
      </c>
      <c r="P646">
        <f t="shared" si="32"/>
        <v>7.6667568398974808</v>
      </c>
      <c r="S646">
        <f t="shared" si="36"/>
        <v>1.0207025909999998</v>
      </c>
    </row>
    <row r="647" spans="1:19">
      <c r="A647" s="7">
        <v>42445</v>
      </c>
      <c r="B647" s="8" t="s">
        <v>24</v>
      </c>
      <c r="C647">
        <v>30</v>
      </c>
      <c r="D647" s="8" t="s">
        <v>63</v>
      </c>
      <c r="E647">
        <v>67</v>
      </c>
      <c r="F647">
        <v>0.66</v>
      </c>
      <c r="N647">
        <f t="shared" si="35"/>
        <v>7.6406610390000003</v>
      </c>
      <c r="O647">
        <f>IF(AND(OR(D647="S. acutus",D647="S. californicus",D647="S. tabernaemontani"),G647=0),E647*[1]Sheet1!$D$7+[1]Sheet1!$L$7,IF(AND(OR(D647="S. acutus",D647="S. tabernaemontani"),G647&gt;0),E647*[1]Sheet1!$D$8+N647*[1]Sheet1!$E$8,IF(AND(D647="S. californicus",G647&gt;0),E647*[1]Sheet1!$D$9+N647*[1]Sheet1!$E$9,IF(D647="S. maritimus",F647*[1]Sheet1!$C$10+E647*[1]Sheet1!$D$10+G647*[1]Sheet1!$F$10+[1]Sheet1!$L$10,IF(D647="S. americanus",F647*[1]Sheet1!$C$6+E647*[1]Sheet1!$D$6+[1]Sheet1!$L$6,IF(AND(OR(D647="T. domingensis",D647="T. latifolia"),E647&gt;0),F647*[1]Sheet1!$C$4+E647*[1]Sheet1!$D$4+H647*[1]Sheet1!$J$4+I647*[1]Sheet1!$K$4+[1]Sheet1!$L$4,IF(AND(OR(D647="T. domingensis",D647="T. latifolia"),J647&gt;0),J647*[1]Sheet1!$G$5+K647*[1]Sheet1!$H$5+L647*[1]Sheet1!$I$5+[1]Sheet1!$L$5,0)))))))</f>
        <v>0.10643799999999981</v>
      </c>
      <c r="P647">
        <f t="shared" si="32"/>
        <v>0.10643799999999981</v>
      </c>
      <c r="S647">
        <f t="shared" si="36"/>
        <v>0.34211915100000001</v>
      </c>
    </row>
    <row r="648" spans="1:19">
      <c r="A648" s="7">
        <v>42445</v>
      </c>
      <c r="B648" s="8" t="s">
        <v>24</v>
      </c>
      <c r="C648">
        <v>30</v>
      </c>
      <c r="D648" s="8" t="s">
        <v>63</v>
      </c>
      <c r="E648">
        <v>152</v>
      </c>
      <c r="F648">
        <v>1.37</v>
      </c>
      <c r="N648">
        <f t="shared" si="35"/>
        <v>74.688370099333341</v>
      </c>
      <c r="O648">
        <f>IF(AND(OR(D648="S. acutus",D648="S. californicus",D648="S. tabernaemontani"),G648=0),E648*[1]Sheet1!$D$7+[1]Sheet1!$L$7,IF(AND(OR(D648="S. acutus",D648="S. tabernaemontani"),G648&gt;0),E648*[1]Sheet1!$D$8+N648*[1]Sheet1!$E$8,IF(AND(D648="S. californicus",G648&gt;0),E648*[1]Sheet1!$D$9+N648*[1]Sheet1!$E$9,IF(D648="S. maritimus",F648*[1]Sheet1!$C$10+E648*[1]Sheet1!$D$10+G648*[1]Sheet1!$F$10+[1]Sheet1!$L$10,IF(D648="S. americanus",F648*[1]Sheet1!$C$6+E648*[1]Sheet1!$D$6+[1]Sheet1!$L$6,IF(AND(OR(D648="T. domingensis",D648="T. latifolia"),E648&gt;0),F648*[1]Sheet1!$C$4+E648*[1]Sheet1!$D$4+H648*[1]Sheet1!$J$4+I648*[1]Sheet1!$K$4+[1]Sheet1!$L$4,IF(AND(OR(D648="T. domingensis",D648="T. latifolia"),J648&gt;0),J648*[1]Sheet1!$G$5+K648*[1]Sheet1!$H$5+L648*[1]Sheet1!$I$5+[1]Sheet1!$L$5,0)))))))</f>
        <v>6.0653630000000005</v>
      </c>
      <c r="P648">
        <f t="shared" si="32"/>
        <v>6.0653630000000005</v>
      </c>
      <c r="S648">
        <f t="shared" si="36"/>
        <v>1.4741125677500002</v>
      </c>
    </row>
    <row r="649" spans="1:19">
      <c r="A649" s="7">
        <v>42445</v>
      </c>
      <c r="B649" s="8" t="s">
        <v>24</v>
      </c>
      <c r="C649">
        <v>30</v>
      </c>
      <c r="D649" s="8" t="s">
        <v>63</v>
      </c>
      <c r="E649">
        <v>177</v>
      </c>
      <c r="F649">
        <v>1.23</v>
      </c>
      <c r="N649">
        <f t="shared" si="35"/>
        <v>70.105444787249994</v>
      </c>
      <c r="O649">
        <f>IF(AND(OR(D649="S. acutus",D649="S. californicus",D649="S. tabernaemontani"),G649=0),E649*[1]Sheet1!$D$7+[1]Sheet1!$L$7,IF(AND(OR(D649="S. acutus",D649="S. tabernaemontani"),G649&gt;0),E649*[1]Sheet1!$D$8+N649*[1]Sheet1!$E$8,IF(AND(D649="S. californicus",G649&gt;0),E649*[1]Sheet1!$D$9+N649*[1]Sheet1!$E$9,IF(D649="S. maritimus",F649*[1]Sheet1!$C$10+E649*[1]Sheet1!$D$10+G649*[1]Sheet1!$F$10+[1]Sheet1!$L$10,IF(D649="S. americanus",F649*[1]Sheet1!$C$6+E649*[1]Sheet1!$D$6+[1]Sheet1!$L$6,IF(AND(OR(D649="T. domingensis",D649="T. latifolia"),E649&gt;0),F649*[1]Sheet1!$C$4+E649*[1]Sheet1!$D$4+H649*[1]Sheet1!$J$4+I649*[1]Sheet1!$K$4+[1]Sheet1!$L$4,IF(AND(OR(D649="T. domingensis",D649="T. latifolia"),J649&gt;0),J649*[1]Sheet1!$G$5+K649*[1]Sheet1!$H$5+L649*[1]Sheet1!$I$5+[1]Sheet1!$L$5,0)))))))</f>
        <v>7.8179880000000006</v>
      </c>
      <c r="P649">
        <f t="shared" ref="P649:P712" si="37">IF(O649&lt;0,"0",O649)</f>
        <v>7.8179880000000006</v>
      </c>
      <c r="S649">
        <f t="shared" si="36"/>
        <v>1.1882278777499999</v>
      </c>
    </row>
    <row r="650" spans="1:19">
      <c r="A650" s="7">
        <v>42445</v>
      </c>
      <c r="B650" s="8" t="s">
        <v>24</v>
      </c>
      <c r="C650">
        <v>30</v>
      </c>
      <c r="D650" s="8" t="s">
        <v>63</v>
      </c>
      <c r="E650">
        <v>93</v>
      </c>
      <c r="F650">
        <v>0.74</v>
      </c>
      <c r="N650">
        <f t="shared" si="35"/>
        <v>13.332593800999998</v>
      </c>
      <c r="O650">
        <f>IF(AND(OR(D650="S. acutus",D650="S. californicus",D650="S. tabernaemontani"),G650=0),E650*[1]Sheet1!$D$7+[1]Sheet1!$L$7,IF(AND(OR(D650="S. acutus",D650="S. tabernaemontani"),G650&gt;0),E650*[1]Sheet1!$D$8+N650*[1]Sheet1!$E$8,IF(AND(D650="S. californicus",G650&gt;0),E650*[1]Sheet1!$D$9+N650*[1]Sheet1!$E$9,IF(D650="S. maritimus",F650*[1]Sheet1!$C$10+E650*[1]Sheet1!$D$10+G650*[1]Sheet1!$F$10+[1]Sheet1!$L$10,IF(D650="S. americanus",F650*[1]Sheet1!$C$6+E650*[1]Sheet1!$D$6+[1]Sheet1!$L$6,IF(AND(OR(D650="T. domingensis",D650="T. latifolia"),E650&gt;0),F650*[1]Sheet1!$C$4+E650*[1]Sheet1!$D$4+H650*[1]Sheet1!$J$4+I650*[1]Sheet1!$K$4+[1]Sheet1!$L$4,IF(AND(OR(D650="T. domingensis",D650="T. latifolia"),J650&gt;0),J650*[1]Sheet1!$G$5+K650*[1]Sheet1!$H$5+L650*[1]Sheet1!$I$5+[1]Sheet1!$L$5,0)))))))</f>
        <v>1.9291680000000007</v>
      </c>
      <c r="P650">
        <f t="shared" si="37"/>
        <v>1.9291680000000007</v>
      </c>
      <c r="S650">
        <f t="shared" si="36"/>
        <v>0.43008367099999995</v>
      </c>
    </row>
    <row r="651" spans="1:19">
      <c r="A651" s="7">
        <v>42445</v>
      </c>
      <c r="B651" s="8" t="s">
        <v>24</v>
      </c>
      <c r="C651">
        <v>30</v>
      </c>
      <c r="D651" s="8" t="s">
        <v>63</v>
      </c>
      <c r="E651">
        <v>220</v>
      </c>
      <c r="F651">
        <v>1.55</v>
      </c>
      <c r="N651">
        <f t="shared" si="35"/>
        <v>138.37394954166666</v>
      </c>
      <c r="O651">
        <f>IF(AND(OR(D651="S. acutus",D651="S. californicus",D651="S. tabernaemontani"),G651=0),E651*[1]Sheet1!$D$7+[1]Sheet1!$L$7,IF(AND(OR(D651="S. acutus",D651="S. tabernaemontani"),G651&gt;0),E651*[1]Sheet1!$D$8+N651*[1]Sheet1!$E$8,IF(AND(D651="S. californicus",G651&gt;0),E651*[1]Sheet1!$D$9+N651*[1]Sheet1!$E$9,IF(D651="S. maritimus",F651*[1]Sheet1!$C$10+E651*[1]Sheet1!$D$10+G651*[1]Sheet1!$F$10+[1]Sheet1!$L$10,IF(D651="S. americanus",F651*[1]Sheet1!$C$6+E651*[1]Sheet1!$D$6+[1]Sheet1!$L$6,IF(AND(OR(D651="T. domingensis",D651="T. latifolia"),E651&gt;0),F651*[1]Sheet1!$C$4+E651*[1]Sheet1!$D$4+H651*[1]Sheet1!$J$4+I651*[1]Sheet1!$K$4+[1]Sheet1!$L$4,IF(AND(OR(D651="T. domingensis",D651="T. latifolia"),J651&gt;0),J651*[1]Sheet1!$G$5+K651*[1]Sheet1!$H$5+L651*[1]Sheet1!$I$5+[1]Sheet1!$L$5,0)))))))</f>
        <v>10.832502999999999</v>
      </c>
      <c r="P651">
        <f t="shared" si="37"/>
        <v>10.832502999999999</v>
      </c>
      <c r="S651">
        <f t="shared" si="36"/>
        <v>1.8869174937500002</v>
      </c>
    </row>
    <row r="652" spans="1:19">
      <c r="A652" s="7">
        <v>42445</v>
      </c>
      <c r="B652" s="8" t="s">
        <v>24</v>
      </c>
      <c r="C652">
        <v>30</v>
      </c>
      <c r="D652" s="8" t="s">
        <v>63</v>
      </c>
      <c r="E652">
        <v>149</v>
      </c>
      <c r="F652">
        <v>1.18</v>
      </c>
      <c r="N652">
        <f t="shared" si="35"/>
        <v>54.314844790333325</v>
      </c>
      <c r="O652">
        <f>IF(AND(OR(D652="S. acutus",D652="S. californicus",D652="S. tabernaemontani"),G652=0),E652*[1]Sheet1!$D$7+[1]Sheet1!$L$7,IF(AND(OR(D652="S. acutus",D652="S. tabernaemontani"),G652&gt;0),E652*[1]Sheet1!$D$8+N652*[1]Sheet1!$E$8,IF(AND(D652="S. californicus",G652&gt;0),E652*[1]Sheet1!$D$9+N652*[1]Sheet1!$E$9,IF(D652="S. maritimus",F652*[1]Sheet1!$C$10+E652*[1]Sheet1!$D$10+G652*[1]Sheet1!$F$10+[1]Sheet1!$L$10,IF(D652="S. americanus",F652*[1]Sheet1!$C$6+E652*[1]Sheet1!$D$6+[1]Sheet1!$L$6,IF(AND(OR(D652="T. domingensis",D652="T. latifolia"),E652&gt;0),F652*[1]Sheet1!$C$4+E652*[1]Sheet1!$D$4+H652*[1]Sheet1!$J$4+I652*[1]Sheet1!$K$4+[1]Sheet1!$L$4,IF(AND(OR(D652="T. domingensis",D652="T. latifolia"),J652&gt;0),J652*[1]Sheet1!$G$5+K652*[1]Sheet1!$H$5+L652*[1]Sheet1!$I$5+[1]Sheet1!$L$5,0)))))))</f>
        <v>5.8550480000000009</v>
      </c>
      <c r="P652">
        <f t="shared" si="37"/>
        <v>5.8550480000000009</v>
      </c>
      <c r="S652">
        <f t="shared" si="36"/>
        <v>1.0935874789999998</v>
      </c>
    </row>
    <row r="653" spans="1:19">
      <c r="A653" s="7">
        <v>42445</v>
      </c>
      <c r="B653" s="8" t="s">
        <v>24</v>
      </c>
      <c r="C653">
        <v>30</v>
      </c>
      <c r="D653" s="8" t="s">
        <v>63</v>
      </c>
      <c r="E653">
        <v>85</v>
      </c>
      <c r="F653">
        <v>0.61</v>
      </c>
      <c r="G653">
        <v>1</v>
      </c>
      <c r="N653">
        <f t="shared" si="35"/>
        <v>8.2803149429166645</v>
      </c>
      <c r="O653">
        <f>IF(AND(OR(D653="S. acutus",D653="S. californicus",D653="S. tabernaemontani"),G653=0),E653*[1]Sheet1!$D$7+[1]Sheet1!$L$7,IF(AND(OR(D653="S. acutus",D653="S. tabernaemontani"),G653&gt;0),E653*[1]Sheet1!$D$8+N653*[1]Sheet1!$E$8,IF(AND(D653="S. californicus",G653&gt;0),E653*[1]Sheet1!$D$9+N653*[1]Sheet1!$E$9,IF(D653="S. maritimus",F653*[1]Sheet1!$C$10+E653*[1]Sheet1!$D$10+G653*[1]Sheet1!$F$10+[1]Sheet1!$L$10,IF(D653="S. americanus",F653*[1]Sheet1!$C$6+E653*[1]Sheet1!$D$6+[1]Sheet1!$L$6,IF(AND(OR(D653="T. domingensis",D653="T. latifolia"),E653&gt;0),F653*[1]Sheet1!$C$4+E653*[1]Sheet1!$D$4+H653*[1]Sheet1!$J$4+I653*[1]Sheet1!$K$4+[1]Sheet1!$L$4,IF(AND(OR(D653="T. domingensis",D653="T. latifolia"),J653&gt;0),J653*[1]Sheet1!$G$5+K653*[1]Sheet1!$H$5+L653*[1]Sheet1!$I$5+[1]Sheet1!$L$5,0)))))))</f>
        <v>3.5397370934453658</v>
      </c>
      <c r="P653">
        <f t="shared" si="37"/>
        <v>3.5397370934453658</v>
      </c>
      <c r="S653">
        <f t="shared" si="36"/>
        <v>0.29224640974999999</v>
      </c>
    </row>
    <row r="654" spans="1:19">
      <c r="A654" s="7">
        <v>42445</v>
      </c>
      <c r="B654" s="8" t="s">
        <v>24</v>
      </c>
      <c r="C654">
        <v>30</v>
      </c>
      <c r="D654" s="8" t="s">
        <v>63</v>
      </c>
      <c r="E654">
        <v>162</v>
      </c>
      <c r="F654">
        <v>0.95</v>
      </c>
      <c r="N654">
        <f t="shared" si="35"/>
        <v>38.276347162499995</v>
      </c>
      <c r="O654">
        <f>IF(AND(OR(D654="S. acutus",D654="S. californicus",D654="S. tabernaemontani"),G654=0),E654*[1]Sheet1!$D$7+[1]Sheet1!$L$7,IF(AND(OR(D654="S. acutus",D654="S. tabernaemontani"),G654&gt;0),E654*[1]Sheet1!$D$8+N654*[1]Sheet1!$E$8,IF(AND(D654="S. californicus",G654&gt;0),E654*[1]Sheet1!$D$9+N654*[1]Sheet1!$E$9,IF(D654="S. maritimus",F654*[1]Sheet1!$C$10+E654*[1]Sheet1!$D$10+G654*[1]Sheet1!$F$10+[1]Sheet1!$L$10,IF(D654="S. americanus",F654*[1]Sheet1!$C$6+E654*[1]Sheet1!$D$6+[1]Sheet1!$L$6,IF(AND(OR(D654="T. domingensis",D654="T. latifolia"),E654&gt;0),F654*[1]Sheet1!$C$4+E654*[1]Sheet1!$D$4+H654*[1]Sheet1!$J$4+I654*[1]Sheet1!$K$4+[1]Sheet1!$L$4,IF(AND(OR(D654="T. domingensis",D654="T. latifolia"),J654&gt;0),J654*[1]Sheet1!$G$5+K654*[1]Sheet1!$H$5+L654*[1]Sheet1!$I$5+[1]Sheet1!$L$5,0)))))))</f>
        <v>6.7664130000000009</v>
      </c>
      <c r="P654">
        <f t="shared" si="37"/>
        <v>6.7664130000000009</v>
      </c>
      <c r="S654">
        <f t="shared" si="36"/>
        <v>0.70882124375</v>
      </c>
    </row>
    <row r="655" spans="1:19">
      <c r="A655" s="7">
        <v>42445</v>
      </c>
      <c r="B655" s="8" t="s">
        <v>24</v>
      </c>
      <c r="C655">
        <v>30</v>
      </c>
      <c r="D655" s="8" t="s">
        <v>63</v>
      </c>
      <c r="E655">
        <v>147</v>
      </c>
      <c r="F655">
        <v>0.99</v>
      </c>
      <c r="G655">
        <v>3</v>
      </c>
      <c r="N655">
        <f t="shared" si="35"/>
        <v>37.718636397749997</v>
      </c>
      <c r="O655">
        <f>IF(AND(OR(D655="S. acutus",D655="S. californicus",D655="S. tabernaemontani"),G655=0),E655*[1]Sheet1!$D$7+[1]Sheet1!$L$7,IF(AND(OR(D655="S. acutus",D655="S. tabernaemontani"),G655&gt;0),E655*[1]Sheet1!$D$8+N655*[1]Sheet1!$E$8,IF(AND(D655="S. californicus",G655&gt;0),E655*[1]Sheet1!$D$9+N655*[1]Sheet1!$E$9,IF(D655="S. maritimus",F655*[1]Sheet1!$C$10+E655*[1]Sheet1!$D$10+G655*[1]Sheet1!$F$10+[1]Sheet1!$L$10,IF(D655="S. americanus",F655*[1]Sheet1!$C$6+E655*[1]Sheet1!$D$6+[1]Sheet1!$L$6,IF(AND(OR(D655="T. domingensis",D655="T. latifolia"),E655&gt;0),F655*[1]Sheet1!$C$4+E655*[1]Sheet1!$D$4+H655*[1]Sheet1!$J$4+I655*[1]Sheet1!$K$4+[1]Sheet1!$L$4,IF(AND(OR(D655="T. domingensis",D655="T. latifolia"),J655&gt;0),J655*[1]Sheet1!$G$5+K655*[1]Sheet1!$H$5+L655*[1]Sheet1!$I$5+[1]Sheet1!$L$5,0)))))))</f>
        <v>6.8751177387803084</v>
      </c>
      <c r="P655">
        <f t="shared" si="37"/>
        <v>6.8751177387803084</v>
      </c>
      <c r="S655">
        <f t="shared" si="36"/>
        <v>0.76976808975</v>
      </c>
    </row>
    <row r="656" spans="1:19">
      <c r="A656" s="7">
        <v>42445</v>
      </c>
      <c r="B656" s="8" t="s">
        <v>24</v>
      </c>
      <c r="C656">
        <v>30</v>
      </c>
      <c r="D656" s="8" t="s">
        <v>63</v>
      </c>
      <c r="E656">
        <v>65</v>
      </c>
      <c r="F656">
        <v>0.53</v>
      </c>
      <c r="N656">
        <f t="shared" si="35"/>
        <v>4.7800600845833339</v>
      </c>
      <c r="O656">
        <f>IF(AND(OR(D656="S. acutus",D656="S. californicus",D656="S. tabernaemontani"),G656=0),E656*[1]Sheet1!$D$7+[1]Sheet1!$L$7,IF(AND(OR(D656="S. acutus",D656="S. tabernaemontani"),G656&gt;0),E656*[1]Sheet1!$D$8+N656*[1]Sheet1!$E$8,IF(AND(D656="S. californicus",G656&gt;0),E656*[1]Sheet1!$D$9+N656*[1]Sheet1!$E$9,IF(D656="S. maritimus",F656*[1]Sheet1!$C$10+E656*[1]Sheet1!$D$10+G656*[1]Sheet1!$F$10+[1]Sheet1!$L$10,IF(D656="S. americanus",F656*[1]Sheet1!$C$6+E656*[1]Sheet1!$D$6+[1]Sheet1!$L$6,IF(AND(OR(D656="T. domingensis",D656="T. latifolia"),E656&gt;0),F656*[1]Sheet1!$C$4+E656*[1]Sheet1!$D$4+H656*[1]Sheet1!$J$4+I656*[1]Sheet1!$K$4+[1]Sheet1!$L$4,IF(AND(OR(D656="T. domingensis",D656="T. latifolia"),J656&gt;0),J656*[1]Sheet1!$G$5+K656*[1]Sheet1!$H$5+L656*[1]Sheet1!$I$5+[1]Sheet1!$L$5,0)))))))</f>
        <v>-3.3771999999999913E-2</v>
      </c>
      <c r="P656" t="str">
        <f t="shared" si="37"/>
        <v>0</v>
      </c>
      <c r="S656">
        <f t="shared" si="36"/>
        <v>0.22061815775000002</v>
      </c>
    </row>
    <row r="657" spans="1:19">
      <c r="A657" s="7">
        <v>42445</v>
      </c>
      <c r="B657" s="8" t="s">
        <v>24</v>
      </c>
      <c r="C657">
        <v>30</v>
      </c>
      <c r="D657" s="8" t="s">
        <v>63</v>
      </c>
      <c r="E657">
        <v>121</v>
      </c>
      <c r="F657">
        <v>0.77</v>
      </c>
      <c r="G657">
        <v>1</v>
      </c>
      <c r="N657">
        <f t="shared" si="35"/>
        <v>18.781707835916663</v>
      </c>
      <c r="O657">
        <f>IF(AND(OR(D657="S. acutus",D657="S. californicus",D657="S. tabernaemontani"),G657=0),E657*[1]Sheet1!$D$7+[1]Sheet1!$L$7,IF(AND(OR(D657="S. acutus",D657="S. tabernaemontani"),G657&gt;0),E657*[1]Sheet1!$D$8+N657*[1]Sheet1!$E$8,IF(AND(D657="S. californicus",G657&gt;0),E657*[1]Sheet1!$D$9+N657*[1]Sheet1!$E$9,IF(D657="S. maritimus",F657*[1]Sheet1!$C$10+E657*[1]Sheet1!$D$10+G657*[1]Sheet1!$F$10+[1]Sheet1!$L$10,IF(D657="S. americanus",F657*[1]Sheet1!$C$6+E657*[1]Sheet1!$D$6+[1]Sheet1!$L$6,IF(AND(OR(D657="T. domingensis",D657="T. latifolia"),E657&gt;0),F657*[1]Sheet1!$C$4+E657*[1]Sheet1!$D$4+H657*[1]Sheet1!$J$4+I657*[1]Sheet1!$K$4+[1]Sheet1!$L$4,IF(AND(OR(D657="T. domingensis",D657="T. latifolia"),J657&gt;0),J657*[1]Sheet1!$G$5+K657*[1]Sheet1!$H$5+L657*[1]Sheet1!$I$5+[1]Sheet1!$L$5,0)))))))</f>
        <v>5.2641469958535696</v>
      </c>
      <c r="P657">
        <f t="shared" si="37"/>
        <v>5.2641469958535696</v>
      </c>
      <c r="S657">
        <f t="shared" si="36"/>
        <v>0.46566217774999996</v>
      </c>
    </row>
    <row r="658" spans="1:19">
      <c r="A658" s="7">
        <v>42445</v>
      </c>
      <c r="B658" s="8" t="s">
        <v>24</v>
      </c>
      <c r="C658">
        <v>30</v>
      </c>
      <c r="D658" s="8" t="s">
        <v>63</v>
      </c>
      <c r="E658">
        <v>100</v>
      </c>
      <c r="F658">
        <v>0.47</v>
      </c>
      <c r="N658">
        <f t="shared" si="35"/>
        <v>5.7831435916666658</v>
      </c>
      <c r="O658">
        <f>IF(AND(OR(D658="S. acutus",D658="S. californicus",D658="S. tabernaemontani"),G658=0),E658*[1]Sheet1!$D$7+[1]Sheet1!$L$7,IF(AND(OR(D658="S. acutus",D658="S. tabernaemontani"),G658&gt;0),E658*[1]Sheet1!$D$8+N658*[1]Sheet1!$E$8,IF(AND(D658="S. californicus",G658&gt;0),E658*[1]Sheet1!$D$9+N658*[1]Sheet1!$E$9,IF(D658="S. maritimus",F658*[1]Sheet1!$C$10+E658*[1]Sheet1!$D$10+G658*[1]Sheet1!$F$10+[1]Sheet1!$L$10,IF(D658="S. americanus",F658*[1]Sheet1!$C$6+E658*[1]Sheet1!$D$6+[1]Sheet1!$L$6,IF(AND(OR(D658="T. domingensis",D658="T. latifolia"),E658&gt;0),F658*[1]Sheet1!$C$4+E658*[1]Sheet1!$D$4+H658*[1]Sheet1!$J$4+I658*[1]Sheet1!$K$4+[1]Sheet1!$L$4,IF(AND(OR(D658="T. domingensis",D658="T. latifolia"),J658&gt;0),J658*[1]Sheet1!$G$5+K658*[1]Sheet1!$H$5+L658*[1]Sheet1!$I$5+[1]Sheet1!$L$5,0)))))))</f>
        <v>2.4199030000000006</v>
      </c>
      <c r="P658">
        <f t="shared" si="37"/>
        <v>2.4199030000000006</v>
      </c>
      <c r="S658">
        <f t="shared" si="36"/>
        <v>0.17349430774999999</v>
      </c>
    </row>
    <row r="659" spans="1:19">
      <c r="A659" s="7">
        <v>42445</v>
      </c>
      <c r="B659" s="8" t="s">
        <v>24</v>
      </c>
      <c r="C659">
        <v>30</v>
      </c>
      <c r="D659" s="8" t="s">
        <v>63</v>
      </c>
      <c r="E659">
        <v>61</v>
      </c>
      <c r="F659">
        <v>0.72</v>
      </c>
      <c r="N659">
        <f t="shared" si="35"/>
        <v>8.2787179679999987</v>
      </c>
      <c r="O659">
        <f>IF(AND(OR(D659="S. acutus",D659="S. californicus",D659="S. tabernaemontani"),G659=0),E659*[1]Sheet1!$D$7+[1]Sheet1!$L$7,IF(AND(OR(D659="S. acutus",D659="S. tabernaemontani"),G659&gt;0),E659*[1]Sheet1!$D$8+N659*[1]Sheet1!$E$8,IF(AND(D659="S. californicus",G659&gt;0),E659*[1]Sheet1!$D$9+N659*[1]Sheet1!$E$9,IF(D659="S. maritimus",F659*[1]Sheet1!$C$10+E659*[1]Sheet1!$D$10+G659*[1]Sheet1!$F$10+[1]Sheet1!$L$10,IF(D659="S. americanus",F659*[1]Sheet1!$C$6+E659*[1]Sheet1!$D$6+[1]Sheet1!$L$6,IF(AND(OR(D659="T. domingensis",D659="T. latifolia"),E659&gt;0),F659*[1]Sheet1!$C$4+E659*[1]Sheet1!$D$4+H659*[1]Sheet1!$J$4+I659*[1]Sheet1!$K$4+[1]Sheet1!$L$4,IF(AND(OR(D659="T. domingensis",D659="T. latifolia"),J659&gt;0),J659*[1]Sheet1!$G$5+K659*[1]Sheet1!$H$5+L659*[1]Sheet1!$I$5+[1]Sheet1!$L$5,0)))))))</f>
        <v>-0.31419199999999936</v>
      </c>
      <c r="P659" t="str">
        <f t="shared" si="37"/>
        <v>0</v>
      </c>
      <c r="S659">
        <f t="shared" si="36"/>
        <v>0.40715006399999998</v>
      </c>
    </row>
    <row r="660" spans="1:19">
      <c r="A660" s="7">
        <v>42445</v>
      </c>
      <c r="B660" s="8" t="s">
        <v>24</v>
      </c>
      <c r="C660">
        <v>30</v>
      </c>
      <c r="D660" s="8" t="s">
        <v>63</v>
      </c>
      <c r="E660">
        <v>67</v>
      </c>
      <c r="F660">
        <v>0.66</v>
      </c>
      <c r="N660">
        <f t="shared" si="35"/>
        <v>7.6406610390000003</v>
      </c>
      <c r="O660">
        <f>IF(AND(OR(D660="S. acutus",D660="S. californicus",D660="S. tabernaemontani"),G660=0),E660*[1]Sheet1!$D$7+[1]Sheet1!$L$7,IF(AND(OR(D660="S. acutus",D660="S. tabernaemontani"),G660&gt;0),E660*[1]Sheet1!$D$8+N660*[1]Sheet1!$E$8,IF(AND(D660="S. californicus",G660&gt;0),E660*[1]Sheet1!$D$9+N660*[1]Sheet1!$E$9,IF(D660="S. maritimus",F660*[1]Sheet1!$C$10+E660*[1]Sheet1!$D$10+G660*[1]Sheet1!$F$10+[1]Sheet1!$L$10,IF(D660="S. americanus",F660*[1]Sheet1!$C$6+E660*[1]Sheet1!$D$6+[1]Sheet1!$L$6,IF(AND(OR(D660="T. domingensis",D660="T. latifolia"),E660&gt;0),F660*[1]Sheet1!$C$4+E660*[1]Sheet1!$D$4+H660*[1]Sheet1!$J$4+I660*[1]Sheet1!$K$4+[1]Sheet1!$L$4,IF(AND(OR(D660="T. domingensis",D660="T. latifolia"),J660&gt;0),J660*[1]Sheet1!$G$5+K660*[1]Sheet1!$H$5+L660*[1]Sheet1!$I$5+[1]Sheet1!$L$5,0)))))))</f>
        <v>0.10643799999999981</v>
      </c>
      <c r="P660">
        <f t="shared" si="37"/>
        <v>0.10643799999999981</v>
      </c>
      <c r="S660">
        <f t="shared" si="36"/>
        <v>0.34211915100000001</v>
      </c>
    </row>
    <row r="661" spans="1:19">
      <c r="A661" s="7">
        <v>42445</v>
      </c>
      <c r="B661" s="8" t="s">
        <v>24</v>
      </c>
      <c r="C661">
        <v>30</v>
      </c>
      <c r="D661" s="8" t="s">
        <v>63</v>
      </c>
      <c r="E661">
        <v>178</v>
      </c>
      <c r="F661">
        <v>1.27</v>
      </c>
      <c r="N661">
        <f t="shared" si="35"/>
        <v>75.161545913166663</v>
      </c>
      <c r="O661">
        <f>IF(AND(OR(D661="S. acutus",D661="S. californicus",D661="S. tabernaemontani"),G661=0),E661*[1]Sheet1!$D$7+[1]Sheet1!$L$7,IF(AND(OR(D661="S. acutus",D661="S. tabernaemontani"),G661&gt;0),E661*[1]Sheet1!$D$8+N661*[1]Sheet1!$E$8,IF(AND(D661="S. californicus",G661&gt;0),E661*[1]Sheet1!$D$9+N661*[1]Sheet1!$E$9,IF(D661="S. maritimus",F661*[1]Sheet1!$C$10+E661*[1]Sheet1!$D$10+G661*[1]Sheet1!$F$10+[1]Sheet1!$L$10,IF(D661="S. americanus",F661*[1]Sheet1!$C$6+E661*[1]Sheet1!$D$6+[1]Sheet1!$L$6,IF(AND(OR(D661="T. domingensis",D661="T. latifolia"),E661&gt;0),F661*[1]Sheet1!$C$4+E661*[1]Sheet1!$D$4+H661*[1]Sheet1!$J$4+I661*[1]Sheet1!$K$4+[1]Sheet1!$L$4,IF(AND(OR(D661="T. domingensis",D661="T. latifolia"),J661&gt;0),J661*[1]Sheet1!$G$5+K661*[1]Sheet1!$H$5+L661*[1]Sheet1!$I$5+[1]Sheet1!$L$5,0)))))))</f>
        <v>7.8880930000000005</v>
      </c>
      <c r="P661">
        <f t="shared" si="37"/>
        <v>7.8880930000000005</v>
      </c>
      <c r="S661">
        <f t="shared" si="36"/>
        <v>1.26676762775</v>
      </c>
    </row>
    <row r="662" spans="1:19">
      <c r="A662" s="7">
        <v>42445</v>
      </c>
      <c r="B662" s="8" t="s">
        <v>24</v>
      </c>
      <c r="C662">
        <v>30</v>
      </c>
      <c r="D662" s="8" t="s">
        <v>63</v>
      </c>
      <c r="E662">
        <v>200</v>
      </c>
      <c r="F662">
        <v>1.21</v>
      </c>
      <c r="N662">
        <f t="shared" si="35"/>
        <v>76.660031983333326</v>
      </c>
      <c r="P662">
        <f t="shared" si="37"/>
        <v>0</v>
      </c>
      <c r="S662">
        <f t="shared" si="36"/>
        <v>1.1499004797499999</v>
      </c>
    </row>
    <row r="663" spans="1:19">
      <c r="A663" s="7">
        <v>42445</v>
      </c>
      <c r="B663" s="8" t="s">
        <v>24</v>
      </c>
      <c r="C663">
        <v>30</v>
      </c>
      <c r="D663" s="8" t="s">
        <v>63</v>
      </c>
      <c r="E663">
        <v>221</v>
      </c>
      <c r="F663">
        <v>1.4</v>
      </c>
      <c r="N663">
        <f t="shared" si="35"/>
        <v>113.4009270333333</v>
      </c>
      <c r="O663">
        <f>IF(AND(OR(D663="S. acutus",D663="S. californicus",D663="S. tabernaemontani"),G663=0),E663*[1]Sheet1!$D$7+[1]Sheet1!$L$7,IF(AND(OR(D663="S. acutus",D663="S. tabernaemontani"),G663&gt;0),E663*[1]Sheet1!$D$8+N663*[1]Sheet1!$E$8,IF(AND(D663="S. californicus",G663&gt;0),E663*[1]Sheet1!$D$9+N663*[1]Sheet1!$E$9,IF(D663="S. maritimus",F663*[1]Sheet1!$C$10+E663*[1]Sheet1!$D$10+G663*[1]Sheet1!$F$10+[1]Sheet1!$L$10,IF(D663="S. americanus",F663*[1]Sheet1!$C$6+E663*[1]Sheet1!$D$6+[1]Sheet1!$L$6,IF(AND(OR(D663="T. domingensis",D663="T. latifolia"),E663&gt;0),F663*[1]Sheet1!$C$4+E663*[1]Sheet1!$D$4+H663*[1]Sheet1!$J$4+I663*[1]Sheet1!$K$4+[1]Sheet1!$L$4,IF(AND(OR(D663="T. domingensis",D663="T. latifolia"),J663&gt;0),J663*[1]Sheet1!$G$5+K663*[1]Sheet1!$H$5+L663*[1]Sheet1!$I$5+[1]Sheet1!$L$5,0)))))))</f>
        <v>10.902608000000001</v>
      </c>
      <c r="P663">
        <f t="shared" si="37"/>
        <v>10.902608000000001</v>
      </c>
      <c r="S663">
        <f t="shared" si="36"/>
        <v>1.5393790999999997</v>
      </c>
    </row>
    <row r="664" spans="1:19">
      <c r="A664" s="7">
        <v>42445</v>
      </c>
      <c r="B664" s="8" t="s">
        <v>24</v>
      </c>
      <c r="C664">
        <v>30</v>
      </c>
      <c r="D664" s="8" t="s">
        <v>63</v>
      </c>
      <c r="E664">
        <v>54</v>
      </c>
      <c r="F664">
        <v>0.94</v>
      </c>
      <c r="G664">
        <v>1</v>
      </c>
      <c r="N664">
        <f t="shared" si="35"/>
        <v>12.491590157999999</v>
      </c>
      <c r="O664">
        <f>IF(AND(OR(D664="S. acutus",D664="S. californicus",D664="S. tabernaemontani"),G664=0),E664*[1]Sheet1!$D$7+[1]Sheet1!$L$7,IF(AND(OR(D664="S. acutus",D664="S. tabernaemontani"),G664&gt;0),E664*[1]Sheet1!$D$8+N664*[1]Sheet1!$E$8,IF(AND(D664="S. californicus",G664&gt;0),E664*[1]Sheet1!$D$9+N664*[1]Sheet1!$E$9,IF(D664="S. maritimus",F664*[1]Sheet1!$C$10+E664*[1]Sheet1!$D$10+G664*[1]Sheet1!$F$10+[1]Sheet1!$L$10,IF(D664="S. americanus",F664*[1]Sheet1!$C$6+E664*[1]Sheet1!$D$6+[1]Sheet1!$L$6,IF(AND(OR(D664="T. domingensis",D664="T. latifolia"),E664&gt;0),F664*[1]Sheet1!$C$4+E664*[1]Sheet1!$D$4+H664*[1]Sheet1!$J$4+I664*[1]Sheet1!$K$4+[1]Sheet1!$L$4,IF(AND(OR(D664="T. domingensis",D664="T. latifolia"),J664&gt;0),J664*[1]Sheet1!$G$5+K664*[1]Sheet1!$H$5+L664*[1]Sheet1!$I$5+[1]Sheet1!$L$5,0)))))))</f>
        <v>2.4816238455187425</v>
      </c>
      <c r="P664">
        <f t="shared" si="37"/>
        <v>2.4816238455187425</v>
      </c>
      <c r="S664">
        <f t="shared" si="36"/>
        <v>0.69397723099999997</v>
      </c>
    </row>
    <row r="665" spans="1:19">
      <c r="A665" s="7">
        <v>42445</v>
      </c>
      <c r="B665" s="8" t="s">
        <v>24</v>
      </c>
      <c r="C665">
        <v>28</v>
      </c>
      <c r="D665" s="8" t="s">
        <v>63</v>
      </c>
      <c r="E665">
        <v>123</v>
      </c>
      <c r="F665">
        <v>0.86</v>
      </c>
      <c r="G665">
        <v>4</v>
      </c>
      <c r="N665">
        <f t="shared" si="35"/>
        <v>23.816079630999994</v>
      </c>
      <c r="O665">
        <f>IF(AND(OR(D665="S. acutus",D665="S. californicus",D665="S. tabernaemontani"),G665=0),E665*[1]Sheet1!$D$7+[1]Sheet1!$L$7,IF(AND(OR(D665="S. acutus",D665="S. tabernaemontani"),G665&gt;0),E665*[1]Sheet1!$D$8+N665*[1]Sheet1!$E$8,IF(AND(D665="S. californicus",G665&gt;0),E665*[1]Sheet1!$D$9+N665*[1]Sheet1!$E$9,IF(D665="S. maritimus",F665*[1]Sheet1!$C$10+E665*[1]Sheet1!$D$10+G665*[1]Sheet1!$F$10+[1]Sheet1!$L$10,IF(D665="S. americanus",F665*[1]Sheet1!$C$6+E665*[1]Sheet1!$D$6+[1]Sheet1!$L$6,IF(AND(OR(D665="T. domingensis",D665="T. latifolia"),E665&gt;0),F665*[1]Sheet1!$C$4+E665*[1]Sheet1!$D$4+H665*[1]Sheet1!$J$4+I665*[1]Sheet1!$K$4+[1]Sheet1!$L$4,IF(AND(OR(D665="T. domingensis",D665="T. latifolia"),J665&gt;0),J665*[1]Sheet1!$G$5+K665*[1]Sheet1!$H$5+L665*[1]Sheet1!$I$5+[1]Sheet1!$L$5,0)))))))</f>
        <v>5.503272498589868</v>
      </c>
      <c r="P665">
        <f t="shared" si="37"/>
        <v>5.503272498589868</v>
      </c>
      <c r="S665">
        <f t="shared" si="36"/>
        <v>0.58087999099999987</v>
      </c>
    </row>
    <row r="666" spans="1:19">
      <c r="A666" s="7">
        <v>42445</v>
      </c>
      <c r="B666" s="8" t="s">
        <v>24</v>
      </c>
      <c r="C666">
        <v>28</v>
      </c>
      <c r="D666" s="8" t="s">
        <v>63</v>
      </c>
      <c r="E666">
        <v>162</v>
      </c>
      <c r="F666">
        <v>1.34</v>
      </c>
      <c r="N666">
        <f t="shared" ref="N666:N729" si="38">IF(OR(D666="S. acutus", D666="S. tabernaemontani", D666="S. californicus"),(1/3)*(3.14159)*((F666/2)^2)*E666,"NA")</f>
        <v>76.154026553999998</v>
      </c>
      <c r="O666">
        <f>IF(AND(OR(D666="S. acutus",D666="S. californicus",D666="S. tabernaemontani"),G666=0),E666*[1]Sheet1!$D$7+[1]Sheet1!$L$7,IF(AND(OR(D666="S. acutus",D666="S. tabernaemontani"),G666&gt;0),E666*[1]Sheet1!$D$8+N666*[1]Sheet1!$E$8,IF(AND(D666="S. californicus",G666&gt;0),E666*[1]Sheet1!$D$9+N666*[1]Sheet1!$E$9,IF(D666="S. maritimus",F666*[1]Sheet1!$C$10+E666*[1]Sheet1!$D$10+G666*[1]Sheet1!$F$10+[1]Sheet1!$L$10,IF(D666="S. americanus",F666*[1]Sheet1!$C$6+E666*[1]Sheet1!$D$6+[1]Sheet1!$L$6,IF(AND(OR(D666="T. domingensis",D666="T. latifolia"),E666&gt;0),F666*[1]Sheet1!$C$4+E666*[1]Sheet1!$D$4+H666*[1]Sheet1!$J$4+I666*[1]Sheet1!$K$4+[1]Sheet1!$L$4,IF(AND(OR(D666="T. domingensis",D666="T. latifolia"),J666&gt;0),J666*[1]Sheet1!$G$5+K666*[1]Sheet1!$H$5+L666*[1]Sheet1!$I$5+[1]Sheet1!$L$5,0)))))))</f>
        <v>6.7664130000000009</v>
      </c>
      <c r="P666">
        <f t="shared" si="37"/>
        <v>6.7664130000000009</v>
      </c>
      <c r="S666">
        <f t="shared" si="36"/>
        <v>1.4102597510000001</v>
      </c>
    </row>
    <row r="667" spans="1:19">
      <c r="A667" s="7">
        <v>42445</v>
      </c>
      <c r="B667" s="8" t="s">
        <v>24</v>
      </c>
      <c r="C667">
        <v>28</v>
      </c>
      <c r="D667" s="8" t="s">
        <v>63</v>
      </c>
      <c r="E667">
        <v>124</v>
      </c>
      <c r="F667">
        <v>1.04</v>
      </c>
      <c r="N667">
        <f t="shared" si="38"/>
        <v>35.112085354666661</v>
      </c>
      <c r="O667">
        <f>IF(AND(OR(D667="S. acutus",D667="S. californicus",D667="S. tabernaemontani"),G667=0),E667*[1]Sheet1!$D$7+[1]Sheet1!$L$7,IF(AND(OR(D667="S. acutus",D667="S. tabernaemontani"),G667&gt;0),E667*[1]Sheet1!$D$8+N667*[1]Sheet1!$E$8,IF(AND(D667="S. californicus",G667&gt;0),E667*[1]Sheet1!$D$9+N667*[1]Sheet1!$E$9,IF(D667="S. maritimus",F667*[1]Sheet1!$C$10+E667*[1]Sheet1!$D$10+G667*[1]Sheet1!$F$10+[1]Sheet1!$L$10,IF(D667="S. americanus",F667*[1]Sheet1!$C$6+E667*[1]Sheet1!$D$6+[1]Sheet1!$L$6,IF(AND(OR(D667="T. domingensis",D667="T. latifolia"),E667&gt;0),F667*[1]Sheet1!$C$4+E667*[1]Sheet1!$D$4+H667*[1]Sheet1!$J$4+I667*[1]Sheet1!$K$4+[1]Sheet1!$L$4,IF(AND(OR(D667="T. domingensis",D667="T. latifolia"),J667&gt;0),J667*[1]Sheet1!$G$5+K667*[1]Sheet1!$H$5+L667*[1]Sheet1!$I$5+[1]Sheet1!$L$5,0)))))))</f>
        <v>4.1024230000000008</v>
      </c>
      <c r="P667">
        <f t="shared" si="37"/>
        <v>4.1024230000000008</v>
      </c>
      <c r="S667">
        <f t="shared" si="36"/>
        <v>0.84948593600000011</v>
      </c>
    </row>
    <row r="668" spans="1:19">
      <c r="A668" s="7">
        <v>42445</v>
      </c>
      <c r="B668" s="8" t="s">
        <v>24</v>
      </c>
      <c r="C668">
        <v>28</v>
      </c>
      <c r="D668" s="8" t="s">
        <v>63</v>
      </c>
      <c r="E668">
        <v>165</v>
      </c>
      <c r="F668">
        <v>0.49</v>
      </c>
      <c r="N668">
        <f t="shared" si="38"/>
        <v>10.371566686249999</v>
      </c>
      <c r="O668">
        <f>IF(AND(OR(D668="S. acutus",D668="S. californicus",D668="S. tabernaemontani"),G668=0),E668*[1]Sheet1!$D$7+[1]Sheet1!$L$7,IF(AND(OR(D668="S. acutus",D668="S. tabernaemontani"),G668&gt;0),E668*[1]Sheet1!$D$8+N668*[1]Sheet1!$E$8,IF(AND(D668="S. californicus",G668&gt;0),E668*[1]Sheet1!$D$9+N668*[1]Sheet1!$E$9,IF(D668="S. maritimus",F668*[1]Sheet1!$C$10+E668*[1]Sheet1!$D$10+G668*[1]Sheet1!$F$10+[1]Sheet1!$L$10,IF(D668="S. americanus",F668*[1]Sheet1!$C$6+E668*[1]Sheet1!$D$6+[1]Sheet1!$L$6,IF(AND(OR(D668="T. domingensis",D668="T. latifolia"),E668&gt;0),F668*[1]Sheet1!$C$4+E668*[1]Sheet1!$D$4+H668*[1]Sheet1!$J$4+I668*[1]Sheet1!$K$4+[1]Sheet1!$L$4,IF(AND(OR(D668="T. domingensis",D668="T. latifolia"),J668&gt;0),J668*[1]Sheet1!$G$5+K668*[1]Sheet1!$H$5+L668*[1]Sheet1!$I$5+[1]Sheet1!$L$5,0)))))))</f>
        <v>6.9767280000000005</v>
      </c>
      <c r="P668">
        <f t="shared" si="37"/>
        <v>6.9767280000000005</v>
      </c>
      <c r="S668">
        <f t="shared" si="36"/>
        <v>0.18857393974999997</v>
      </c>
    </row>
    <row r="669" spans="1:19">
      <c r="A669" s="7">
        <v>42445</v>
      </c>
      <c r="B669" s="8" t="s">
        <v>24</v>
      </c>
      <c r="C669">
        <v>28</v>
      </c>
      <c r="D669" s="8" t="s">
        <v>63</v>
      </c>
      <c r="E669">
        <v>57</v>
      </c>
      <c r="F669">
        <v>0.51</v>
      </c>
      <c r="N669">
        <f t="shared" si="38"/>
        <v>3.8813559052499991</v>
      </c>
      <c r="O669">
        <f>IF(AND(OR(D669="S. acutus",D669="S. californicus",D669="S. tabernaemontani"),G669=0),E669*[1]Sheet1!$D$7+[1]Sheet1!$L$7,IF(AND(OR(D669="S. acutus",D669="S. tabernaemontani"),G669&gt;0),E669*[1]Sheet1!$D$8+N669*[1]Sheet1!$E$8,IF(AND(D669="S. californicus",G669&gt;0),E669*[1]Sheet1!$D$9+N669*[1]Sheet1!$E$9,IF(D669="S. maritimus",F669*[1]Sheet1!$C$10+E669*[1]Sheet1!$D$10+G669*[1]Sheet1!$F$10+[1]Sheet1!$L$10,IF(D669="S. americanus",F669*[1]Sheet1!$C$6+E669*[1]Sheet1!$D$6+[1]Sheet1!$L$6,IF(AND(OR(D669="T. domingensis",D669="T. latifolia"),E669&gt;0),F669*[1]Sheet1!$C$4+E669*[1]Sheet1!$D$4+H669*[1]Sheet1!$J$4+I669*[1]Sheet1!$K$4+[1]Sheet1!$L$4,IF(AND(OR(D669="T. domingensis",D669="T. latifolia"),J669&gt;0),J669*[1]Sheet1!$G$5+K669*[1]Sheet1!$H$5+L669*[1]Sheet1!$I$5+[1]Sheet1!$L$5,0)))))))</f>
        <v>-0.5946119999999997</v>
      </c>
      <c r="P669" t="str">
        <f t="shared" si="37"/>
        <v>0</v>
      </c>
      <c r="S669">
        <f t="shared" si="36"/>
        <v>0.20428188975</v>
      </c>
    </row>
    <row r="670" spans="1:19">
      <c r="A670" s="7">
        <v>42445</v>
      </c>
      <c r="B670" s="8" t="s">
        <v>24</v>
      </c>
      <c r="C670">
        <v>28</v>
      </c>
      <c r="D670" s="8" t="s">
        <v>63</v>
      </c>
      <c r="E670">
        <v>82</v>
      </c>
      <c r="F670">
        <v>0.56999999999999995</v>
      </c>
      <c r="N670">
        <f t="shared" si="38"/>
        <v>6.9748010384999981</v>
      </c>
      <c r="O670">
        <f>IF(AND(OR(D670="S. acutus",D670="S. californicus",D670="S. tabernaemontani"),G670=0),E670*[1]Sheet1!$D$7+[1]Sheet1!$L$7,IF(AND(OR(D670="S. acutus",D670="S. tabernaemontani"),G670&gt;0),E670*[1]Sheet1!$D$8+N670*[1]Sheet1!$E$8,IF(AND(D670="S. californicus",G670&gt;0),E670*[1]Sheet1!$D$9+N670*[1]Sheet1!$E$9,IF(D670="S. maritimus",F670*[1]Sheet1!$C$10+E670*[1]Sheet1!$D$10+G670*[1]Sheet1!$F$10+[1]Sheet1!$L$10,IF(D670="S. americanus",F670*[1]Sheet1!$C$6+E670*[1]Sheet1!$D$6+[1]Sheet1!$L$6,IF(AND(OR(D670="T. domingensis",D670="T. latifolia"),E670&gt;0),F670*[1]Sheet1!$C$4+E670*[1]Sheet1!$D$4+H670*[1]Sheet1!$J$4+I670*[1]Sheet1!$K$4+[1]Sheet1!$L$4,IF(AND(OR(D670="T. domingensis",D670="T. latifolia"),J670&gt;0),J670*[1]Sheet1!$G$5+K670*[1]Sheet1!$H$5+L670*[1]Sheet1!$I$5+[1]Sheet1!$L$5,0)))))))</f>
        <v>1.1580130000000004</v>
      </c>
      <c r="P670">
        <f t="shared" si="37"/>
        <v>1.1580130000000004</v>
      </c>
      <c r="S670">
        <f t="shared" si="36"/>
        <v>0.25517564774999996</v>
      </c>
    </row>
    <row r="671" spans="1:19">
      <c r="A671" s="7">
        <v>42445</v>
      </c>
      <c r="B671" s="8" t="s">
        <v>24</v>
      </c>
      <c r="C671">
        <v>28</v>
      </c>
      <c r="D671" s="8" t="s">
        <v>63</v>
      </c>
      <c r="E671">
        <v>28</v>
      </c>
      <c r="F671">
        <v>0.48</v>
      </c>
      <c r="N671">
        <f t="shared" si="38"/>
        <v>1.6889187839999997</v>
      </c>
      <c r="O671">
        <f>IF(AND(OR(D671="S. acutus",D671="S. californicus",D671="S. tabernaemontani"),G671=0),E671*[1]Sheet1!$D$7+[1]Sheet1!$L$7,IF(AND(OR(D671="S. acutus",D671="S. tabernaemontani"),G671&gt;0),E671*[1]Sheet1!$D$8+N671*[1]Sheet1!$E$8,IF(AND(D671="S. californicus",G671&gt;0),E671*[1]Sheet1!$D$9+N671*[1]Sheet1!$E$9,IF(D671="S. maritimus",F671*[1]Sheet1!$C$10+E671*[1]Sheet1!$D$10+G671*[1]Sheet1!$F$10+[1]Sheet1!$L$10,IF(D671="S. americanus",F671*[1]Sheet1!$C$6+E671*[1]Sheet1!$D$6+[1]Sheet1!$L$6,IF(AND(OR(D671="T. domingensis",D671="T. latifolia"),E671&gt;0),F671*[1]Sheet1!$C$4+E671*[1]Sheet1!$D$4+H671*[1]Sheet1!$J$4+I671*[1]Sheet1!$K$4+[1]Sheet1!$L$4,IF(AND(OR(D671="T. domingensis",D671="T. latifolia"),J671&gt;0),J671*[1]Sheet1!$G$5+K671*[1]Sheet1!$H$5+L671*[1]Sheet1!$I$5+[1]Sheet1!$L$5,0)))))))</f>
        <v>-2.6276569999999997</v>
      </c>
      <c r="P671" t="str">
        <f t="shared" si="37"/>
        <v>0</v>
      </c>
      <c r="S671">
        <f t="shared" si="36"/>
        <v>0.18095558399999997</v>
      </c>
    </row>
    <row r="672" spans="1:19">
      <c r="A672" s="7">
        <v>42445</v>
      </c>
      <c r="B672" s="8" t="s">
        <v>24</v>
      </c>
      <c r="C672">
        <v>28</v>
      </c>
      <c r="D672" s="8" t="s">
        <v>63</v>
      </c>
      <c r="E672">
        <v>141</v>
      </c>
      <c r="F672">
        <v>0.73</v>
      </c>
      <c r="N672">
        <f t="shared" si="38"/>
        <v>19.671301404249995</v>
      </c>
      <c r="O672">
        <f>IF(AND(OR(D672="S. acutus",D672="S. californicus",D672="S. tabernaemontani"),G672=0),E672*[1]Sheet1!$D$7+[1]Sheet1!$L$7,IF(AND(OR(D672="S. acutus",D672="S. tabernaemontani"),G672&gt;0),E672*[1]Sheet1!$D$8+N672*[1]Sheet1!$E$8,IF(AND(D672="S. californicus",G672&gt;0),E672*[1]Sheet1!$D$9+N672*[1]Sheet1!$E$9,IF(D672="S. maritimus",F672*[1]Sheet1!$C$10+E672*[1]Sheet1!$D$10+G672*[1]Sheet1!$F$10+[1]Sheet1!$L$10,IF(D672="S. americanus",F672*[1]Sheet1!$C$6+E672*[1]Sheet1!$D$6+[1]Sheet1!$L$6,IF(AND(OR(D672="T. domingensis",D672="T. latifolia"),E672&gt;0),F672*[1]Sheet1!$C$4+E672*[1]Sheet1!$D$4+H672*[1]Sheet1!$J$4+I672*[1]Sheet1!$K$4+[1]Sheet1!$L$4,IF(AND(OR(D672="T. domingensis",D672="T. latifolia"),J672&gt;0),J672*[1]Sheet1!$G$5+K672*[1]Sheet1!$H$5+L672*[1]Sheet1!$I$5+[1]Sheet1!$L$5,0)))))))</f>
        <v>5.2942080000000002</v>
      </c>
      <c r="P672">
        <f t="shared" si="37"/>
        <v>5.2942080000000002</v>
      </c>
      <c r="S672">
        <f t="shared" si="36"/>
        <v>0.41853832774999994</v>
      </c>
    </row>
    <row r="673" spans="1:19">
      <c r="A673" s="7">
        <v>42445</v>
      </c>
      <c r="B673" s="8" t="s">
        <v>24</v>
      </c>
      <c r="C673">
        <v>28</v>
      </c>
      <c r="D673" s="8" t="s">
        <v>63</v>
      </c>
      <c r="E673">
        <v>122</v>
      </c>
      <c r="F673">
        <v>0.93</v>
      </c>
      <c r="N673">
        <f t="shared" si="38"/>
        <v>27.624472108500001</v>
      </c>
      <c r="O673">
        <f>IF(AND(OR(D673="S. acutus",D673="S. californicus",D673="S. tabernaemontani"),G673=0),E673*[1]Sheet1!$D$7+[1]Sheet1!$L$7,IF(AND(OR(D673="S. acutus",D673="S. tabernaemontani"),G673&gt;0),E673*[1]Sheet1!$D$8+N673*[1]Sheet1!$E$8,IF(AND(D673="S. californicus",G673&gt;0),E673*[1]Sheet1!$D$9+N673*[1]Sheet1!$E$9,IF(D673="S. maritimus",F673*[1]Sheet1!$C$10+E673*[1]Sheet1!$D$10+G673*[1]Sheet1!$F$10+[1]Sheet1!$L$10,IF(D673="S. americanus",F673*[1]Sheet1!$C$6+E673*[1]Sheet1!$D$6+[1]Sheet1!$L$6,IF(AND(OR(D673="T. domingensis",D673="T. latifolia"),E673&gt;0),F673*[1]Sheet1!$C$4+E673*[1]Sheet1!$D$4+H673*[1]Sheet1!$J$4+I673*[1]Sheet1!$K$4+[1]Sheet1!$L$4,IF(AND(OR(D673="T. domingensis",D673="T. latifolia"),J673&gt;0),J673*[1]Sheet1!$G$5+K673*[1]Sheet1!$H$5+L673*[1]Sheet1!$I$5+[1]Sheet1!$L$5,0)))))))</f>
        <v>3.9622130000000011</v>
      </c>
      <c r="P673">
        <f t="shared" si="37"/>
        <v>3.9622130000000011</v>
      </c>
      <c r="S673">
        <f t="shared" si="36"/>
        <v>0.67929029775000005</v>
      </c>
    </row>
    <row r="674" spans="1:19">
      <c r="A674" s="7">
        <v>42445</v>
      </c>
      <c r="B674" s="8" t="s">
        <v>24</v>
      </c>
      <c r="C674">
        <v>28</v>
      </c>
      <c r="D674" s="8" t="s">
        <v>63</v>
      </c>
      <c r="E674">
        <v>193</v>
      </c>
      <c r="F674">
        <v>1.24</v>
      </c>
      <c r="N674">
        <f t="shared" si="38"/>
        <v>77.690682942666655</v>
      </c>
      <c r="O674">
        <f>IF(AND(OR(D674="S. acutus",D674="S. californicus",D674="S. tabernaemontani"),G674=0),E674*[1]Sheet1!$D$7+[1]Sheet1!$L$7,IF(AND(OR(D674="S. acutus",D674="S. tabernaemontani"),G674&gt;0),E674*[1]Sheet1!$D$8+N674*[1]Sheet1!$E$8,IF(AND(D674="S. californicus",G674&gt;0),E674*[1]Sheet1!$D$9+N674*[1]Sheet1!$E$9,IF(D674="S. maritimus",F674*[1]Sheet1!$C$10+E674*[1]Sheet1!$D$10+G674*[1]Sheet1!$F$10+[1]Sheet1!$L$10,IF(D674="S. americanus",F674*[1]Sheet1!$C$6+E674*[1]Sheet1!$D$6+[1]Sheet1!$L$6,IF(AND(OR(D674="T. domingensis",D674="T. latifolia"),E674&gt;0),F674*[1]Sheet1!$C$4+E674*[1]Sheet1!$D$4+H674*[1]Sheet1!$J$4+I674*[1]Sheet1!$K$4+[1]Sheet1!$L$4,IF(AND(OR(D674="T. domingensis",D674="T. latifolia"),J674&gt;0),J674*[1]Sheet1!$G$5+K674*[1]Sheet1!$H$5+L674*[1]Sheet1!$I$5+[1]Sheet1!$L$5,0)))))))</f>
        <v>8.9396680000000011</v>
      </c>
      <c r="P674">
        <f t="shared" si="37"/>
        <v>8.9396680000000011</v>
      </c>
      <c r="S674">
        <f t="shared" si="36"/>
        <v>1.207627196</v>
      </c>
    </row>
    <row r="675" spans="1:19">
      <c r="A675" s="7">
        <v>42445</v>
      </c>
      <c r="B675" s="8" t="s">
        <v>24</v>
      </c>
      <c r="C675">
        <v>28</v>
      </c>
      <c r="D675" s="8" t="s">
        <v>63</v>
      </c>
      <c r="E675">
        <v>116</v>
      </c>
      <c r="F675">
        <v>0.82</v>
      </c>
      <c r="N675">
        <f t="shared" si="38"/>
        <v>20.41991612133333</v>
      </c>
      <c r="O675">
        <f>IF(AND(OR(D675="S. acutus",D675="S. californicus",D675="S. tabernaemontani"),G675=0),E675*[1]Sheet1!$D$7+[1]Sheet1!$L$7,IF(AND(OR(D675="S. acutus",D675="S. tabernaemontani"),G675&gt;0),E675*[1]Sheet1!$D$8+N675*[1]Sheet1!$E$8,IF(AND(D675="S. californicus",G675&gt;0),E675*[1]Sheet1!$D$9+N675*[1]Sheet1!$E$9,IF(D675="S. maritimus",F675*[1]Sheet1!$C$10+E675*[1]Sheet1!$D$10+G675*[1]Sheet1!$F$10+[1]Sheet1!$L$10,IF(D675="S. americanus",F675*[1]Sheet1!$C$6+E675*[1]Sheet1!$D$6+[1]Sheet1!$L$6,IF(AND(OR(D675="T. domingensis",D675="T. latifolia"),E675&gt;0),F675*[1]Sheet1!$C$4+E675*[1]Sheet1!$D$4+H675*[1]Sheet1!$J$4+I675*[1]Sheet1!$K$4+[1]Sheet1!$L$4,IF(AND(OR(D675="T. domingensis",D675="T. latifolia"),J675&gt;0),J675*[1]Sheet1!$G$5+K675*[1]Sheet1!$H$5+L675*[1]Sheet1!$I$5+[1]Sheet1!$L$5,0)))))))</f>
        <v>3.5415830000000001</v>
      </c>
      <c r="P675">
        <f t="shared" si="37"/>
        <v>3.5415830000000001</v>
      </c>
      <c r="S675">
        <f t="shared" si="36"/>
        <v>0.52810127899999992</v>
      </c>
    </row>
    <row r="676" spans="1:19">
      <c r="A676" s="7">
        <v>42445</v>
      </c>
      <c r="B676" s="8" t="s">
        <v>24</v>
      </c>
      <c r="C676">
        <v>28</v>
      </c>
      <c r="D676" s="8" t="s">
        <v>63</v>
      </c>
      <c r="E676">
        <v>177</v>
      </c>
      <c r="F676">
        <v>0.98</v>
      </c>
      <c r="N676">
        <f t="shared" si="38"/>
        <v>44.503449780999993</v>
      </c>
      <c r="O676">
        <f>IF(AND(OR(D676="S. acutus",D676="S. californicus",D676="S. tabernaemontani"),G676=0),E676*[1]Sheet1!$D$7+[1]Sheet1!$L$7,IF(AND(OR(D676="S. acutus",D676="S. tabernaemontani"),G676&gt;0),E676*[1]Sheet1!$D$8+N676*[1]Sheet1!$E$8,IF(AND(D676="S. californicus",G676&gt;0),E676*[1]Sheet1!$D$9+N676*[1]Sheet1!$E$9,IF(D676="S. maritimus",F676*[1]Sheet1!$C$10+E676*[1]Sheet1!$D$10+G676*[1]Sheet1!$F$10+[1]Sheet1!$L$10,IF(D676="S. americanus",F676*[1]Sheet1!$C$6+E676*[1]Sheet1!$D$6+[1]Sheet1!$L$6,IF(AND(OR(D676="T. domingensis",D676="T. latifolia"),E676&gt;0),F676*[1]Sheet1!$C$4+E676*[1]Sheet1!$D$4+H676*[1]Sheet1!$J$4+I676*[1]Sheet1!$K$4+[1]Sheet1!$L$4,IF(AND(OR(D676="T. domingensis",D676="T. latifolia"),J676&gt;0),J676*[1]Sheet1!$G$5+K676*[1]Sheet1!$H$5+L676*[1]Sheet1!$I$5+[1]Sheet1!$L$5,0)))))))</f>
        <v>7.8179880000000006</v>
      </c>
      <c r="P676">
        <f t="shared" si="37"/>
        <v>7.8179880000000006</v>
      </c>
      <c r="S676">
        <f t="shared" si="36"/>
        <v>0.7542957589999999</v>
      </c>
    </row>
    <row r="677" spans="1:19">
      <c r="A677" s="7">
        <v>42445</v>
      </c>
      <c r="B677" s="8" t="s">
        <v>24</v>
      </c>
      <c r="C677">
        <v>28</v>
      </c>
      <c r="D677" s="8" t="s">
        <v>63</v>
      </c>
      <c r="E677">
        <v>62</v>
      </c>
      <c r="F677">
        <v>0.48</v>
      </c>
      <c r="N677">
        <f t="shared" si="38"/>
        <v>3.7397487359999992</v>
      </c>
      <c r="O677">
        <f>IF(AND(OR(D677="S. acutus",D677="S. californicus",D677="S. tabernaemontani"),G677=0),E677*[1]Sheet1!$D$7+[1]Sheet1!$L$7,IF(AND(OR(D677="S. acutus",D677="S. tabernaemontani"),G677&gt;0),E677*[1]Sheet1!$D$8+N677*[1]Sheet1!$E$8,IF(AND(D677="S. californicus",G677&gt;0),E677*[1]Sheet1!$D$9+N677*[1]Sheet1!$E$9,IF(D677="S. maritimus",F677*[1]Sheet1!$C$10+E677*[1]Sheet1!$D$10+G677*[1]Sheet1!$F$10+[1]Sheet1!$L$10,IF(D677="S. americanus",F677*[1]Sheet1!$C$6+E677*[1]Sheet1!$D$6+[1]Sheet1!$L$6,IF(AND(OR(D677="T. domingensis",D677="T. latifolia"),E677&gt;0),F677*[1]Sheet1!$C$4+E677*[1]Sheet1!$D$4+H677*[1]Sheet1!$J$4+I677*[1]Sheet1!$K$4+[1]Sheet1!$L$4,IF(AND(OR(D677="T. domingensis",D677="T. latifolia"),J677&gt;0),J677*[1]Sheet1!$G$5+K677*[1]Sheet1!$H$5+L677*[1]Sheet1!$I$5+[1]Sheet1!$L$5,0)))))))</f>
        <v>-0.2440869999999995</v>
      </c>
      <c r="P677" t="str">
        <f t="shared" si="37"/>
        <v>0</v>
      </c>
      <c r="S677">
        <f t="shared" si="36"/>
        <v>0.18095558399999997</v>
      </c>
    </row>
    <row r="678" spans="1:19">
      <c r="A678" s="7">
        <v>42445</v>
      </c>
      <c r="B678" s="8" t="s">
        <v>24</v>
      </c>
      <c r="C678">
        <v>28</v>
      </c>
      <c r="D678" s="8" t="s">
        <v>63</v>
      </c>
      <c r="E678">
        <v>180</v>
      </c>
      <c r="F678">
        <v>1</v>
      </c>
      <c r="N678">
        <f t="shared" si="38"/>
        <v>47.123849999999997</v>
      </c>
      <c r="O678">
        <f>IF(AND(OR(D678="S. acutus",D678="S. californicus",D678="S. tabernaemontani"),G678=0),E678*[1]Sheet1!$D$7+[1]Sheet1!$L$7,IF(AND(OR(D678="S. acutus",D678="S. tabernaemontani"),G678&gt;0),E678*[1]Sheet1!$D$8+N678*[1]Sheet1!$E$8,IF(AND(D678="S. californicus",G678&gt;0),E678*[1]Sheet1!$D$9+N678*[1]Sheet1!$E$9,IF(D678="S. maritimus",F678*[1]Sheet1!$C$10+E678*[1]Sheet1!$D$10+G678*[1]Sheet1!$F$10+[1]Sheet1!$L$10,IF(D678="S. americanus",F678*[1]Sheet1!$C$6+E678*[1]Sheet1!$D$6+[1]Sheet1!$L$6,IF(AND(OR(D678="T. domingensis",D678="T. latifolia"),E678&gt;0),F678*[1]Sheet1!$C$4+E678*[1]Sheet1!$D$4+H678*[1]Sheet1!$J$4+I678*[1]Sheet1!$K$4+[1]Sheet1!$L$4,IF(AND(OR(D678="T. domingensis",D678="T. latifolia"),J678&gt;0),J678*[1]Sheet1!$G$5+K678*[1]Sheet1!$H$5+L678*[1]Sheet1!$I$5+[1]Sheet1!$L$5,0)))))))</f>
        <v>8.0283030000000011</v>
      </c>
      <c r="P678">
        <f t="shared" si="37"/>
        <v>8.0283030000000011</v>
      </c>
      <c r="S678">
        <f t="shared" si="36"/>
        <v>0.78539749999999997</v>
      </c>
    </row>
    <row r="679" spans="1:19">
      <c r="A679" s="7">
        <v>42445</v>
      </c>
      <c r="B679" s="8" t="s">
        <v>24</v>
      </c>
      <c r="C679">
        <v>28</v>
      </c>
      <c r="D679" s="8" t="s">
        <v>63</v>
      </c>
      <c r="E679">
        <v>164</v>
      </c>
      <c r="F679">
        <v>1.02</v>
      </c>
      <c r="G679">
        <v>6</v>
      </c>
      <c r="N679">
        <f t="shared" si="38"/>
        <v>44.669639891999992</v>
      </c>
      <c r="O679">
        <f>IF(AND(OR(D679="S. acutus",D679="S. californicus",D679="S. tabernaemontani"),G679=0),E679*[1]Sheet1!$D$7+[1]Sheet1!$L$7,IF(AND(OR(D679="S. acutus",D679="S. tabernaemontani"),G679&gt;0),E679*[1]Sheet1!$D$8+N679*[1]Sheet1!$E$8,IF(AND(D679="S. californicus",G679&gt;0),E679*[1]Sheet1!$D$9+N679*[1]Sheet1!$E$9,IF(D679="S. maritimus",F679*[1]Sheet1!$C$10+E679*[1]Sheet1!$D$10+G679*[1]Sheet1!$F$10+[1]Sheet1!$L$10,IF(D679="S. americanus",F679*[1]Sheet1!$C$6+E679*[1]Sheet1!$D$6+[1]Sheet1!$L$6,IF(AND(OR(D679="T. domingensis",D679="T. latifolia"),E679&gt;0),F679*[1]Sheet1!$C$4+E679*[1]Sheet1!$D$4+H679*[1]Sheet1!$J$4+I679*[1]Sheet1!$K$4+[1]Sheet1!$L$4,IF(AND(OR(D679="T. domingensis",D679="T. latifolia"),J679&gt;0),J679*[1]Sheet1!$G$5+K679*[1]Sheet1!$H$5+L679*[1]Sheet1!$I$5+[1]Sheet1!$L$5,0)))))))</f>
        <v>7.7535670071983027</v>
      </c>
      <c r="P679">
        <f t="shared" si="37"/>
        <v>7.7535670071983027</v>
      </c>
      <c r="S679">
        <f t="shared" si="36"/>
        <v>0.817127559</v>
      </c>
    </row>
    <row r="680" spans="1:19">
      <c r="A680" s="7">
        <v>42445</v>
      </c>
      <c r="B680" s="8" t="s">
        <v>24</v>
      </c>
      <c r="C680">
        <v>28</v>
      </c>
      <c r="D680" s="8" t="s">
        <v>63</v>
      </c>
      <c r="E680">
        <v>71</v>
      </c>
      <c r="F680">
        <v>0.44</v>
      </c>
      <c r="N680">
        <f t="shared" si="38"/>
        <v>3.5985866253333327</v>
      </c>
      <c r="O680">
        <f>IF(AND(OR(D680="S. acutus",D680="S. californicus",D680="S. tabernaemontani"),G680=0),E680*[1]Sheet1!$D$7+[1]Sheet1!$L$7,IF(AND(OR(D680="S. acutus",D680="S. tabernaemontani"),G680&gt;0),E680*[1]Sheet1!$D$8+N680*[1]Sheet1!$E$8,IF(AND(D680="S. californicus",G680&gt;0),E680*[1]Sheet1!$D$9+N680*[1]Sheet1!$E$9,IF(D680="S. maritimus",F680*[1]Sheet1!$C$10+E680*[1]Sheet1!$D$10+G680*[1]Sheet1!$F$10+[1]Sheet1!$L$10,IF(D680="S. americanus",F680*[1]Sheet1!$C$6+E680*[1]Sheet1!$D$6+[1]Sheet1!$L$6,IF(AND(OR(D680="T. domingensis",D680="T. latifolia"),E680&gt;0),F680*[1]Sheet1!$C$4+E680*[1]Sheet1!$D$4+H680*[1]Sheet1!$J$4+I680*[1]Sheet1!$K$4+[1]Sheet1!$L$4,IF(AND(OR(D680="T. domingensis",D680="T. latifolia"),J680&gt;0),J680*[1]Sheet1!$G$5+K680*[1]Sheet1!$H$5+L680*[1]Sheet1!$I$5+[1]Sheet1!$L$5,0)))))))</f>
        <v>0.38685800000000015</v>
      </c>
      <c r="P680">
        <f t="shared" si="37"/>
        <v>0.38685800000000015</v>
      </c>
      <c r="S680">
        <f t="shared" si="36"/>
        <v>0.15205295599999999</v>
      </c>
    </row>
    <row r="681" spans="1:19">
      <c r="A681" s="7">
        <v>42445</v>
      </c>
      <c r="B681" s="8" t="s">
        <v>24</v>
      </c>
      <c r="C681">
        <v>28</v>
      </c>
      <c r="D681" s="8" t="s">
        <v>63</v>
      </c>
      <c r="E681">
        <v>148</v>
      </c>
      <c r="F681">
        <v>0.96</v>
      </c>
      <c r="N681">
        <f t="shared" si="38"/>
        <v>35.70856857599999</v>
      </c>
      <c r="O681">
        <f>IF(AND(OR(D681="S. acutus",D681="S. californicus",D681="S. tabernaemontani"),G681=0),E681*[1]Sheet1!$D$7+[1]Sheet1!$L$7,IF(AND(OR(D681="S. acutus",D681="S. tabernaemontani"),G681&gt;0),E681*[1]Sheet1!$D$8+N681*[1]Sheet1!$E$8,IF(AND(D681="S. californicus",G681&gt;0),E681*[1]Sheet1!$D$9+N681*[1]Sheet1!$E$9,IF(D681="S. maritimus",F681*[1]Sheet1!$C$10+E681*[1]Sheet1!$D$10+G681*[1]Sheet1!$F$10+[1]Sheet1!$L$10,IF(D681="S. americanus",F681*[1]Sheet1!$C$6+E681*[1]Sheet1!$D$6+[1]Sheet1!$L$6,IF(AND(OR(D681="T. domingensis",D681="T. latifolia"),E681&gt;0),F681*[1]Sheet1!$C$4+E681*[1]Sheet1!$D$4+H681*[1]Sheet1!$J$4+I681*[1]Sheet1!$K$4+[1]Sheet1!$L$4,IF(AND(OR(D681="T. domingensis",D681="T. latifolia"),J681&gt;0),J681*[1]Sheet1!$G$5+K681*[1]Sheet1!$H$5+L681*[1]Sheet1!$I$5+[1]Sheet1!$L$5,0)))))))</f>
        <v>5.7849430000000011</v>
      </c>
      <c r="P681">
        <f t="shared" si="37"/>
        <v>5.7849430000000011</v>
      </c>
      <c r="S681">
        <f t="shared" si="36"/>
        <v>0.7238223359999999</v>
      </c>
    </row>
    <row r="682" spans="1:19">
      <c r="A682" s="7">
        <v>42445</v>
      </c>
      <c r="B682" s="8" t="s">
        <v>24</v>
      </c>
      <c r="C682">
        <v>28</v>
      </c>
      <c r="D682" s="8" t="s">
        <v>63</v>
      </c>
      <c r="E682">
        <v>35</v>
      </c>
      <c r="F682">
        <v>0.44</v>
      </c>
      <c r="N682">
        <f t="shared" si="38"/>
        <v>1.773951153333333</v>
      </c>
      <c r="O682">
        <f>IF(AND(OR(D682="S. acutus",D682="S. californicus",D682="S. tabernaemontani"),G682=0),E682*[1]Sheet1!$D$7+[1]Sheet1!$L$7,IF(AND(OR(D682="S. acutus",D682="S. tabernaemontani"),G682&gt;0),E682*[1]Sheet1!$D$8+N682*[1]Sheet1!$E$8,IF(AND(D682="S. californicus",G682&gt;0),E682*[1]Sheet1!$D$9+N682*[1]Sheet1!$E$9,IF(D682="S. maritimus",F682*[1]Sheet1!$C$10+E682*[1]Sheet1!$D$10+G682*[1]Sheet1!$F$10+[1]Sheet1!$L$10,IF(D682="S. americanus",F682*[1]Sheet1!$C$6+E682*[1]Sheet1!$D$6+[1]Sheet1!$L$6,IF(AND(OR(D682="T. domingensis",D682="T. latifolia"),E682&gt;0),F682*[1]Sheet1!$C$4+E682*[1]Sheet1!$D$4+H682*[1]Sheet1!$J$4+I682*[1]Sheet1!$K$4+[1]Sheet1!$L$4,IF(AND(OR(D682="T. domingensis",D682="T. latifolia"),J682&gt;0),J682*[1]Sheet1!$G$5+K682*[1]Sheet1!$H$5+L682*[1]Sheet1!$I$5+[1]Sheet1!$L$5,0)))))))</f>
        <v>-2.1369219999999998</v>
      </c>
      <c r="P682" t="str">
        <f t="shared" si="37"/>
        <v>0</v>
      </c>
      <c r="S682">
        <f t="shared" si="36"/>
        <v>0.15205295599999999</v>
      </c>
    </row>
    <row r="683" spans="1:19">
      <c r="A683" s="7">
        <v>42445</v>
      </c>
      <c r="B683" s="8" t="s">
        <v>24</v>
      </c>
      <c r="C683">
        <v>28</v>
      </c>
      <c r="D683" s="8" t="s">
        <v>63</v>
      </c>
      <c r="E683">
        <v>110</v>
      </c>
      <c r="F683">
        <v>0.96</v>
      </c>
      <c r="G683">
        <v>7</v>
      </c>
      <c r="N683">
        <f t="shared" si="38"/>
        <v>26.540152319999994</v>
      </c>
      <c r="O683">
        <f>IF(AND(OR(D683="S. acutus",D683="S. californicus",D683="S. tabernaemontani"),G683=0),E683*[1]Sheet1!$D$7+[1]Sheet1!$L$7,IF(AND(OR(D683="S. acutus",D683="S. tabernaemontani"),G683&gt;0),E683*[1]Sheet1!$D$8+N683*[1]Sheet1!$E$8,IF(AND(D683="S. californicus",G683&gt;0),E683*[1]Sheet1!$D$9+N683*[1]Sheet1!$E$9,IF(D683="S. maritimus",F683*[1]Sheet1!$C$10+E683*[1]Sheet1!$D$10+G683*[1]Sheet1!$F$10+[1]Sheet1!$L$10,IF(D683="S. americanus",F683*[1]Sheet1!$C$6+E683*[1]Sheet1!$D$6+[1]Sheet1!$L$6,IF(AND(OR(D683="T. domingensis",D683="T. latifolia"),E683&gt;0),F683*[1]Sheet1!$C$4+E683*[1]Sheet1!$D$4+H683*[1]Sheet1!$J$4+I683*[1]Sheet1!$K$4+[1]Sheet1!$L$4,IF(AND(OR(D683="T. domingensis",D683="T. latifolia"),J683&gt;0),J683*[1]Sheet1!$G$5+K683*[1]Sheet1!$H$5+L683*[1]Sheet1!$I$5+[1]Sheet1!$L$5,0)))))))</f>
        <v>5.090397790841088</v>
      </c>
      <c r="P683">
        <f t="shared" si="37"/>
        <v>5.090397790841088</v>
      </c>
      <c r="S683">
        <f t="shared" si="36"/>
        <v>0.7238223359999999</v>
      </c>
    </row>
    <row r="684" spans="1:19">
      <c r="A684" s="7">
        <v>42445</v>
      </c>
      <c r="B684" s="8" t="s">
        <v>24</v>
      </c>
      <c r="C684">
        <v>28</v>
      </c>
      <c r="D684" s="8" t="s">
        <v>63</v>
      </c>
      <c r="E684">
        <v>175</v>
      </c>
      <c r="F684">
        <v>0.96</v>
      </c>
      <c r="N684">
        <f t="shared" si="38"/>
        <v>42.222969599999992</v>
      </c>
      <c r="O684">
        <f>IF(AND(OR(D684="S. acutus",D684="S. californicus",D684="S. tabernaemontani"),G684=0),E684*[1]Sheet1!$D$7+[1]Sheet1!$L$7,IF(AND(OR(D684="S. acutus",D684="S. tabernaemontani"),G684&gt;0),E684*[1]Sheet1!$D$8+N684*[1]Sheet1!$E$8,IF(AND(D684="S. californicus",G684&gt;0),E684*[1]Sheet1!$D$9+N684*[1]Sheet1!$E$9,IF(D684="S. maritimus",F684*[1]Sheet1!$C$10+E684*[1]Sheet1!$D$10+G684*[1]Sheet1!$F$10+[1]Sheet1!$L$10,IF(D684="S. americanus",F684*[1]Sheet1!$C$6+E684*[1]Sheet1!$D$6+[1]Sheet1!$L$6,IF(AND(OR(D684="T. domingensis",D684="T. latifolia"),E684&gt;0),F684*[1]Sheet1!$C$4+E684*[1]Sheet1!$D$4+H684*[1]Sheet1!$J$4+I684*[1]Sheet1!$K$4+[1]Sheet1!$L$4,IF(AND(OR(D684="T. domingensis",D684="T. latifolia"),J684&gt;0),J684*[1]Sheet1!$G$5+K684*[1]Sheet1!$H$5+L684*[1]Sheet1!$I$5+[1]Sheet1!$L$5,0)))))))</f>
        <v>7.6777780000000009</v>
      </c>
      <c r="P684">
        <f t="shared" si="37"/>
        <v>7.6777780000000009</v>
      </c>
      <c r="S684">
        <f t="shared" si="36"/>
        <v>0.7238223359999999</v>
      </c>
    </row>
    <row r="685" spans="1:19">
      <c r="A685" s="7">
        <v>42445</v>
      </c>
      <c r="B685" s="8" t="s">
        <v>24</v>
      </c>
      <c r="C685">
        <v>28</v>
      </c>
      <c r="D685" s="8" t="s">
        <v>63</v>
      </c>
      <c r="E685">
        <v>25</v>
      </c>
      <c r="F685">
        <v>0.53</v>
      </c>
      <c r="N685">
        <f t="shared" si="38"/>
        <v>1.8384846479166668</v>
      </c>
      <c r="O685">
        <f>IF(AND(OR(D685="S. acutus",D685="S. californicus",D685="S. tabernaemontani"),G685=0),E685*[1]Sheet1!$D$7+[1]Sheet1!$L$7,IF(AND(OR(D685="S. acutus",D685="S. tabernaemontani"),G685&gt;0),E685*[1]Sheet1!$D$8+N685*[1]Sheet1!$E$8,IF(AND(D685="S. californicus",G685&gt;0),E685*[1]Sheet1!$D$9+N685*[1]Sheet1!$E$9,IF(D685="S. maritimus",F685*[1]Sheet1!$C$10+E685*[1]Sheet1!$D$10+G685*[1]Sheet1!$F$10+[1]Sheet1!$L$10,IF(D685="S. americanus",F685*[1]Sheet1!$C$6+E685*[1]Sheet1!$D$6+[1]Sheet1!$L$6,IF(AND(OR(D685="T. domingensis",D685="T. latifolia"),E685&gt;0),F685*[1]Sheet1!$C$4+E685*[1]Sheet1!$D$4+H685*[1]Sheet1!$J$4+I685*[1]Sheet1!$K$4+[1]Sheet1!$L$4,IF(AND(OR(D685="T. domingensis",D685="T. latifolia"),J685&gt;0),J685*[1]Sheet1!$G$5+K685*[1]Sheet1!$H$5+L685*[1]Sheet1!$I$5+[1]Sheet1!$L$5,0)))))))</f>
        <v>-2.8379719999999997</v>
      </c>
      <c r="P685" t="str">
        <f t="shared" si="37"/>
        <v>0</v>
      </c>
      <c r="S685">
        <f t="shared" si="36"/>
        <v>0.22061815775000002</v>
      </c>
    </row>
    <row r="686" spans="1:19">
      <c r="A686" s="7">
        <v>42445</v>
      </c>
      <c r="B686" s="8" t="s">
        <v>24</v>
      </c>
      <c r="C686">
        <v>28</v>
      </c>
      <c r="D686" s="8" t="s">
        <v>63</v>
      </c>
      <c r="E686">
        <v>171</v>
      </c>
      <c r="F686">
        <v>1.52</v>
      </c>
      <c r="N686">
        <f t="shared" si="38"/>
        <v>103.43119588799999</v>
      </c>
      <c r="O686">
        <f>IF(AND(OR(D686="S. acutus",D686="S. californicus",D686="S. tabernaemontani"),G686=0),E686*[1]Sheet1!$D$7+[1]Sheet1!$L$7,IF(AND(OR(D686="S. acutus",D686="S. tabernaemontani"),G686&gt;0),E686*[1]Sheet1!$D$8+N686*[1]Sheet1!$E$8,IF(AND(D686="S. californicus",G686&gt;0),E686*[1]Sheet1!$D$9+N686*[1]Sheet1!$E$9,IF(D686="S. maritimus",F686*[1]Sheet1!$C$10+E686*[1]Sheet1!$D$10+G686*[1]Sheet1!$F$10+[1]Sheet1!$L$10,IF(D686="S. americanus",F686*[1]Sheet1!$C$6+E686*[1]Sheet1!$D$6+[1]Sheet1!$L$6,IF(AND(OR(D686="T. domingensis",D686="T. latifolia"),E686&gt;0),F686*[1]Sheet1!$C$4+E686*[1]Sheet1!$D$4+H686*[1]Sheet1!$J$4+I686*[1]Sheet1!$K$4+[1]Sheet1!$L$4,IF(AND(OR(D686="T. domingensis",D686="T. latifolia"),J686&gt;0),J686*[1]Sheet1!$G$5+K686*[1]Sheet1!$H$5+L686*[1]Sheet1!$I$5+[1]Sheet1!$L$5,0)))))))</f>
        <v>7.3973579999999997</v>
      </c>
      <c r="P686">
        <f t="shared" si="37"/>
        <v>7.3973579999999997</v>
      </c>
      <c r="S686">
        <f t="shared" si="36"/>
        <v>1.8145823839999999</v>
      </c>
    </row>
    <row r="687" spans="1:19">
      <c r="A687" s="7">
        <v>42445</v>
      </c>
      <c r="B687" s="8" t="s">
        <v>24</v>
      </c>
      <c r="C687">
        <v>28</v>
      </c>
      <c r="D687" s="8" t="s">
        <v>63</v>
      </c>
      <c r="E687">
        <v>30</v>
      </c>
      <c r="F687">
        <v>0.49</v>
      </c>
      <c r="N687">
        <f t="shared" si="38"/>
        <v>1.8857393974999996</v>
      </c>
      <c r="O687">
        <f>IF(AND(OR(D687="S. acutus",D687="S. californicus",D687="S. tabernaemontani"),G687=0),E687*[1]Sheet1!$D$7+[1]Sheet1!$L$7,IF(AND(OR(D687="S. acutus",D687="S. tabernaemontani"),G687&gt;0),E687*[1]Sheet1!$D$8+N687*[1]Sheet1!$E$8,IF(AND(D687="S. californicus",G687&gt;0),E687*[1]Sheet1!$D$9+N687*[1]Sheet1!$E$9,IF(D687="S. maritimus",F687*[1]Sheet1!$C$10+E687*[1]Sheet1!$D$10+G687*[1]Sheet1!$F$10+[1]Sheet1!$L$10,IF(D687="S. americanus",F687*[1]Sheet1!$C$6+E687*[1]Sheet1!$D$6+[1]Sheet1!$L$6,IF(AND(OR(D687="T. domingensis",D687="T. latifolia"),E687&gt;0),F687*[1]Sheet1!$C$4+E687*[1]Sheet1!$D$4+H687*[1]Sheet1!$J$4+I687*[1]Sheet1!$K$4+[1]Sheet1!$L$4,IF(AND(OR(D687="T. domingensis",D687="T. latifolia"),J687&gt;0),J687*[1]Sheet1!$G$5+K687*[1]Sheet1!$H$5+L687*[1]Sheet1!$I$5+[1]Sheet1!$L$5,0)))))))</f>
        <v>-2.487447</v>
      </c>
      <c r="P687" t="str">
        <f t="shared" si="37"/>
        <v>0</v>
      </c>
      <c r="S687">
        <f t="shared" si="36"/>
        <v>0.18857393974999997</v>
      </c>
    </row>
    <row r="688" spans="1:19">
      <c r="A688" s="7">
        <v>42445</v>
      </c>
      <c r="B688" s="8" t="s">
        <v>24</v>
      </c>
      <c r="C688">
        <v>28</v>
      </c>
      <c r="D688" s="8" t="s">
        <v>63</v>
      </c>
      <c r="E688">
        <v>158</v>
      </c>
      <c r="F688">
        <v>0.99</v>
      </c>
      <c r="N688">
        <f t="shared" si="38"/>
        <v>40.541119393499997</v>
      </c>
      <c r="O688">
        <f>IF(AND(OR(D688="S. acutus",D688="S. californicus",D688="S. tabernaemontani"),G688=0),E688*[1]Sheet1!$D$7+[1]Sheet1!$L$7,IF(AND(OR(D688="S. acutus",D688="S. tabernaemontani"),G688&gt;0),E688*[1]Sheet1!$D$8+N688*[1]Sheet1!$E$8,IF(AND(D688="S. californicus",G688&gt;0),E688*[1]Sheet1!$D$9+N688*[1]Sheet1!$E$9,IF(D688="S. maritimus",F688*[1]Sheet1!$C$10+E688*[1]Sheet1!$D$10+G688*[1]Sheet1!$F$10+[1]Sheet1!$L$10,IF(D688="S. americanus",F688*[1]Sheet1!$C$6+E688*[1]Sheet1!$D$6+[1]Sheet1!$L$6,IF(AND(OR(D688="T. domingensis",D688="T. latifolia"),E688&gt;0),F688*[1]Sheet1!$C$4+E688*[1]Sheet1!$D$4+H688*[1]Sheet1!$J$4+I688*[1]Sheet1!$K$4+[1]Sheet1!$L$4,IF(AND(OR(D688="T. domingensis",D688="T. latifolia"),J688&gt;0),J688*[1]Sheet1!$G$5+K688*[1]Sheet1!$H$5+L688*[1]Sheet1!$I$5+[1]Sheet1!$L$5,0)))))))</f>
        <v>6.4859929999999997</v>
      </c>
      <c r="P688">
        <f t="shared" si="37"/>
        <v>6.4859929999999997</v>
      </c>
      <c r="S688">
        <f t="shared" si="36"/>
        <v>0.76976808975</v>
      </c>
    </row>
    <row r="689" spans="1:19">
      <c r="A689" s="7">
        <v>42445</v>
      </c>
      <c r="B689" s="8" t="s">
        <v>24</v>
      </c>
      <c r="C689">
        <v>28</v>
      </c>
      <c r="D689" s="8" t="s">
        <v>63</v>
      </c>
      <c r="E689">
        <v>174</v>
      </c>
      <c r="F689">
        <v>0.79</v>
      </c>
      <c r="N689">
        <f t="shared" si="38"/>
        <v>28.429661625500003</v>
      </c>
      <c r="O689">
        <f>IF(AND(OR(D689="S. acutus",D689="S. californicus",D689="S. tabernaemontani"),G689=0),E689*[1]Sheet1!$D$7+[1]Sheet1!$L$7,IF(AND(OR(D689="S. acutus",D689="S. tabernaemontani"),G689&gt;0),E689*[1]Sheet1!$D$8+N689*[1]Sheet1!$E$8,IF(AND(D689="S. californicus",G689&gt;0),E689*[1]Sheet1!$D$9+N689*[1]Sheet1!$E$9,IF(D689="S. maritimus",F689*[1]Sheet1!$C$10+E689*[1]Sheet1!$D$10+G689*[1]Sheet1!$F$10+[1]Sheet1!$L$10,IF(D689="S. americanus",F689*[1]Sheet1!$C$6+E689*[1]Sheet1!$D$6+[1]Sheet1!$L$6,IF(AND(OR(D689="T. domingensis",D689="T. latifolia"),E689&gt;0),F689*[1]Sheet1!$C$4+E689*[1]Sheet1!$D$4+H689*[1]Sheet1!$J$4+I689*[1]Sheet1!$K$4+[1]Sheet1!$L$4,IF(AND(OR(D689="T. domingensis",D689="T. latifolia"),J689&gt;0),J689*[1]Sheet1!$G$5+K689*[1]Sheet1!$H$5+L689*[1]Sheet1!$I$5+[1]Sheet1!$L$5,0)))))))</f>
        <v>7.607673000000001</v>
      </c>
      <c r="P689">
        <f t="shared" si="37"/>
        <v>7.607673000000001</v>
      </c>
      <c r="S689">
        <f t="shared" si="36"/>
        <v>0.49016657975000005</v>
      </c>
    </row>
    <row r="690" spans="1:19">
      <c r="A690" s="7">
        <v>42445</v>
      </c>
      <c r="B690" s="8" t="s">
        <v>24</v>
      </c>
      <c r="C690">
        <v>28</v>
      </c>
      <c r="D690" s="8" t="s">
        <v>63</v>
      </c>
      <c r="E690">
        <v>92</v>
      </c>
      <c r="F690">
        <v>0.56999999999999995</v>
      </c>
      <c r="N690">
        <f t="shared" si="38"/>
        <v>7.8253865309999977</v>
      </c>
      <c r="O690">
        <f>IF(AND(OR(D690="S. acutus",D690="S. californicus",D690="S. tabernaemontani"),G690=0),E690*[1]Sheet1!$D$7+[1]Sheet1!$L$7,IF(AND(OR(D690="S. acutus",D690="S. tabernaemontani"),G690&gt;0),E690*[1]Sheet1!$D$8+N690*[1]Sheet1!$E$8,IF(AND(D690="S. californicus",G690&gt;0),E690*[1]Sheet1!$D$9+N690*[1]Sheet1!$E$9,IF(D690="S. maritimus",F690*[1]Sheet1!$C$10+E690*[1]Sheet1!$D$10+G690*[1]Sheet1!$F$10+[1]Sheet1!$L$10,IF(D690="S. americanus",F690*[1]Sheet1!$C$6+E690*[1]Sheet1!$D$6+[1]Sheet1!$L$6,IF(AND(OR(D690="T. domingensis",D690="T. latifolia"),E690&gt;0),F690*[1]Sheet1!$C$4+E690*[1]Sheet1!$D$4+H690*[1]Sheet1!$J$4+I690*[1]Sheet1!$K$4+[1]Sheet1!$L$4,IF(AND(OR(D690="T. domingensis",D690="T. latifolia"),J690&gt;0),J690*[1]Sheet1!$G$5+K690*[1]Sheet1!$H$5+L690*[1]Sheet1!$I$5+[1]Sheet1!$L$5,0)))))))</f>
        <v>1.8590629999999999</v>
      </c>
      <c r="P690">
        <f t="shared" si="37"/>
        <v>1.8590629999999999</v>
      </c>
      <c r="S690">
        <f t="shared" si="36"/>
        <v>0.25517564774999996</v>
      </c>
    </row>
    <row r="691" spans="1:19">
      <c r="A691" s="7">
        <v>42445</v>
      </c>
      <c r="B691" s="8" t="s">
        <v>24</v>
      </c>
      <c r="C691">
        <v>28</v>
      </c>
      <c r="D691" s="8" t="s">
        <v>63</v>
      </c>
      <c r="E691">
        <v>111</v>
      </c>
      <c r="F691">
        <v>1.4</v>
      </c>
      <c r="N691">
        <f t="shared" si="38"/>
        <v>56.957026699999986</v>
      </c>
      <c r="O691">
        <f>IF(AND(OR(D691="S. acutus",D691="S. californicus",D691="S. tabernaemontani"),G691=0),E691*[1]Sheet1!$D$7+[1]Sheet1!$L$7,IF(AND(OR(D691="S. acutus",D691="S. tabernaemontani"),G691&gt;0),E691*[1]Sheet1!$D$8+N691*[1]Sheet1!$E$8,IF(AND(D691="S. californicus",G691&gt;0),E691*[1]Sheet1!$D$9+N691*[1]Sheet1!$E$9,IF(D691="S. maritimus",F691*[1]Sheet1!$C$10+E691*[1]Sheet1!$D$10+G691*[1]Sheet1!$F$10+[1]Sheet1!$L$10,IF(D691="S. americanus",F691*[1]Sheet1!$C$6+E691*[1]Sheet1!$D$6+[1]Sheet1!$L$6,IF(AND(OR(D691="T. domingensis",D691="T. latifolia"),E691&gt;0),F691*[1]Sheet1!$C$4+E691*[1]Sheet1!$D$4+H691*[1]Sheet1!$J$4+I691*[1]Sheet1!$K$4+[1]Sheet1!$L$4,IF(AND(OR(D691="T. domingensis",D691="T. latifolia"),J691&gt;0),J691*[1]Sheet1!$G$5+K691*[1]Sheet1!$H$5+L691*[1]Sheet1!$I$5+[1]Sheet1!$L$5,0)))))))</f>
        <v>3.191058</v>
      </c>
      <c r="P691">
        <f t="shared" si="37"/>
        <v>3.191058</v>
      </c>
      <c r="S691">
        <f t="shared" si="36"/>
        <v>1.5393790999999997</v>
      </c>
    </row>
    <row r="692" spans="1:19">
      <c r="A692" s="7">
        <v>42445</v>
      </c>
      <c r="B692" s="8" t="s">
        <v>24</v>
      </c>
      <c r="C692">
        <v>28</v>
      </c>
      <c r="D692" s="8" t="s">
        <v>63</v>
      </c>
      <c r="E692">
        <v>181</v>
      </c>
      <c r="F692">
        <v>0.89</v>
      </c>
      <c r="N692">
        <f t="shared" si="38"/>
        <v>37.534172704916664</v>
      </c>
      <c r="O692">
        <f>IF(AND(OR(D692="S. acutus",D692="S. californicus",D692="S. tabernaemontani"),G692=0),E692*[1]Sheet1!$D$7+[1]Sheet1!$L$7,IF(AND(OR(D692="S. acutus",D692="S. tabernaemontani"),G692&gt;0),E692*[1]Sheet1!$D$8+N692*[1]Sheet1!$E$8,IF(AND(D692="S. californicus",G692&gt;0),E692*[1]Sheet1!$D$9+N692*[1]Sheet1!$E$9,IF(D692="S. maritimus",F692*[1]Sheet1!$C$10+E692*[1]Sheet1!$D$10+G692*[1]Sheet1!$F$10+[1]Sheet1!$L$10,IF(D692="S. americanus",F692*[1]Sheet1!$C$6+E692*[1]Sheet1!$D$6+[1]Sheet1!$L$6,IF(AND(OR(D692="T. domingensis",D692="T. latifolia"),E692&gt;0),F692*[1]Sheet1!$C$4+E692*[1]Sheet1!$D$4+H692*[1]Sheet1!$J$4+I692*[1]Sheet1!$K$4+[1]Sheet1!$L$4,IF(AND(OR(D692="T. domingensis",D692="T. latifolia"),J692&gt;0),J692*[1]Sheet1!$G$5+K692*[1]Sheet1!$H$5+L692*[1]Sheet1!$I$5+[1]Sheet1!$L$5,0)))))))</f>
        <v>8.0984079999999992</v>
      </c>
      <c r="P692">
        <f t="shared" si="37"/>
        <v>8.0984079999999992</v>
      </c>
      <c r="S692">
        <f t="shared" si="36"/>
        <v>0.62211335975000004</v>
      </c>
    </row>
    <row r="693" spans="1:19">
      <c r="A693" s="7">
        <v>42445</v>
      </c>
      <c r="B693" s="8" t="s">
        <v>24</v>
      </c>
      <c r="C693">
        <v>28</v>
      </c>
      <c r="D693" s="8" t="s">
        <v>63</v>
      </c>
      <c r="E693">
        <v>62</v>
      </c>
      <c r="F693">
        <v>0.69</v>
      </c>
      <c r="N693">
        <f t="shared" si="38"/>
        <v>7.7278401614999979</v>
      </c>
      <c r="O693">
        <f>IF(AND(OR(D693="S. acutus",D693="S. californicus",D693="S. tabernaemontani"),G693=0),E693*[1]Sheet1!$D$7+[1]Sheet1!$L$7,IF(AND(OR(D693="S. acutus",D693="S. tabernaemontani"),G693&gt;0),E693*[1]Sheet1!$D$8+N693*[1]Sheet1!$E$8,IF(AND(D693="S. californicus",G693&gt;0),E693*[1]Sheet1!$D$9+N693*[1]Sheet1!$E$9,IF(D693="S. maritimus",F693*[1]Sheet1!$C$10+E693*[1]Sheet1!$D$10+G693*[1]Sheet1!$F$10+[1]Sheet1!$L$10,IF(D693="S. americanus",F693*[1]Sheet1!$C$6+E693*[1]Sheet1!$D$6+[1]Sheet1!$L$6,IF(AND(OR(D693="T. domingensis",D693="T. latifolia"),E693&gt;0),F693*[1]Sheet1!$C$4+E693*[1]Sheet1!$D$4+H693*[1]Sheet1!$J$4+I693*[1]Sheet1!$K$4+[1]Sheet1!$L$4,IF(AND(OR(D693="T. domingensis",D693="T. latifolia"),J693&gt;0),J693*[1]Sheet1!$G$5+K693*[1]Sheet1!$H$5+L693*[1]Sheet1!$I$5+[1]Sheet1!$L$5,0)))))))</f>
        <v>-0.2440869999999995</v>
      </c>
      <c r="P693" t="str">
        <f t="shared" si="37"/>
        <v>0</v>
      </c>
      <c r="S693">
        <f t="shared" si="36"/>
        <v>0.37392774974999993</v>
      </c>
    </row>
    <row r="694" spans="1:19">
      <c r="A694" s="7">
        <v>42445</v>
      </c>
      <c r="B694" s="8" t="s">
        <v>24</v>
      </c>
      <c r="C694">
        <v>28</v>
      </c>
      <c r="D694" s="8" t="s">
        <v>63</v>
      </c>
      <c r="E694">
        <v>30</v>
      </c>
      <c r="F694">
        <v>0.72</v>
      </c>
      <c r="N694">
        <f t="shared" si="38"/>
        <v>4.0715006399999991</v>
      </c>
      <c r="O694">
        <f>IF(AND(OR(D694="S. acutus",D694="S. californicus",D694="S. tabernaemontani"),G694=0),E694*[1]Sheet1!$D$7+[1]Sheet1!$L$7,IF(AND(OR(D694="S. acutus",D694="S. tabernaemontani"),G694&gt;0),E694*[1]Sheet1!$D$8+N694*[1]Sheet1!$E$8,IF(AND(D694="S. californicus",G694&gt;0),E694*[1]Sheet1!$D$9+N694*[1]Sheet1!$E$9,IF(D694="S. maritimus",F694*[1]Sheet1!$C$10+E694*[1]Sheet1!$D$10+G694*[1]Sheet1!$F$10+[1]Sheet1!$L$10,IF(D694="S. americanus",F694*[1]Sheet1!$C$6+E694*[1]Sheet1!$D$6+[1]Sheet1!$L$6,IF(AND(OR(D694="T. domingensis",D694="T. latifolia"),E694&gt;0),F694*[1]Sheet1!$C$4+E694*[1]Sheet1!$D$4+H694*[1]Sheet1!$J$4+I694*[1]Sheet1!$K$4+[1]Sheet1!$L$4,IF(AND(OR(D694="T. domingensis",D694="T. latifolia"),J694&gt;0),J694*[1]Sheet1!$G$5+K694*[1]Sheet1!$H$5+L694*[1]Sheet1!$I$5+[1]Sheet1!$L$5,0)))))))</f>
        <v>-2.487447</v>
      </c>
      <c r="P694" t="str">
        <f t="shared" si="37"/>
        <v>0</v>
      </c>
      <c r="S694">
        <f t="shared" si="36"/>
        <v>0.40715006399999998</v>
      </c>
    </row>
    <row r="695" spans="1:19">
      <c r="A695" s="7">
        <v>42445</v>
      </c>
      <c r="B695" s="8" t="s">
        <v>24</v>
      </c>
      <c r="C695">
        <v>28</v>
      </c>
      <c r="D695" s="8" t="s">
        <v>63</v>
      </c>
      <c r="E695">
        <v>125</v>
      </c>
      <c r="F695">
        <v>0.81</v>
      </c>
      <c r="N695">
        <f t="shared" si="38"/>
        <v>21.470804156250001</v>
      </c>
      <c r="O695">
        <f>IF(AND(OR(D695="S. acutus",D695="S. californicus",D695="S. tabernaemontani"),G695=0),E695*[1]Sheet1!$D$7+[1]Sheet1!$L$7,IF(AND(OR(D695="S. acutus",D695="S. tabernaemontani"),G695&gt;0),E695*[1]Sheet1!$D$8+N695*[1]Sheet1!$E$8,IF(AND(D695="S. californicus",G695&gt;0),E695*[1]Sheet1!$D$9+N695*[1]Sheet1!$E$9,IF(D695="S. maritimus",F695*[1]Sheet1!$C$10+E695*[1]Sheet1!$D$10+G695*[1]Sheet1!$F$10+[1]Sheet1!$L$10,IF(D695="S. americanus",F695*[1]Sheet1!$C$6+E695*[1]Sheet1!$D$6+[1]Sheet1!$L$6,IF(AND(OR(D695="T. domingensis",D695="T. latifolia"),E695&gt;0),F695*[1]Sheet1!$C$4+E695*[1]Sheet1!$D$4+H695*[1]Sheet1!$J$4+I695*[1]Sheet1!$K$4+[1]Sheet1!$L$4,IF(AND(OR(D695="T. domingensis",D695="T. latifolia"),J695&gt;0),J695*[1]Sheet1!$G$5+K695*[1]Sheet1!$H$5+L695*[1]Sheet1!$I$5+[1]Sheet1!$L$5,0)))))))</f>
        <v>4.1725280000000007</v>
      </c>
      <c r="P695">
        <f t="shared" si="37"/>
        <v>4.1725280000000007</v>
      </c>
      <c r="S695">
        <f t="shared" si="36"/>
        <v>0.51529929975000011</v>
      </c>
    </row>
    <row r="696" spans="1:19">
      <c r="A696" s="7">
        <v>42445</v>
      </c>
      <c r="B696" s="8" t="s">
        <v>24</v>
      </c>
      <c r="C696">
        <v>28</v>
      </c>
      <c r="D696" s="8" t="s">
        <v>63</v>
      </c>
      <c r="E696">
        <v>186</v>
      </c>
      <c r="F696">
        <v>1.1399999999999999</v>
      </c>
      <c r="N696">
        <f t="shared" si="38"/>
        <v>63.283560641999983</v>
      </c>
      <c r="O696">
        <f>IF(AND(OR(D696="S. acutus",D696="S. californicus",D696="S. tabernaemontani"),G696=0),E696*[1]Sheet1!$D$7+[1]Sheet1!$L$7,IF(AND(OR(D696="S. acutus",D696="S. tabernaemontani"),G696&gt;0),E696*[1]Sheet1!$D$8+N696*[1]Sheet1!$E$8,IF(AND(D696="S. californicus",G696&gt;0),E696*[1]Sheet1!$D$9+N696*[1]Sheet1!$E$9,IF(D696="S. maritimus",F696*[1]Sheet1!$C$10+E696*[1]Sheet1!$D$10+G696*[1]Sheet1!$F$10+[1]Sheet1!$L$10,IF(D696="S. americanus",F696*[1]Sheet1!$C$6+E696*[1]Sheet1!$D$6+[1]Sheet1!$L$6,IF(AND(OR(D696="T. domingensis",D696="T. latifolia"),E696&gt;0),F696*[1]Sheet1!$C$4+E696*[1]Sheet1!$D$4+H696*[1]Sheet1!$J$4+I696*[1]Sheet1!$K$4+[1]Sheet1!$L$4,IF(AND(OR(D696="T. domingensis",D696="T. latifolia"),J696&gt;0),J696*[1]Sheet1!$G$5+K696*[1]Sheet1!$H$5+L696*[1]Sheet1!$I$5+[1]Sheet1!$L$5,0)))))))</f>
        <v>8.4489330000000002</v>
      </c>
      <c r="P696">
        <f t="shared" si="37"/>
        <v>8.4489330000000002</v>
      </c>
      <c r="S696">
        <f t="shared" si="36"/>
        <v>1.0207025909999998</v>
      </c>
    </row>
    <row r="697" spans="1:19">
      <c r="A697" s="7">
        <v>42445</v>
      </c>
      <c r="B697" s="8" t="s">
        <v>24</v>
      </c>
      <c r="C697">
        <v>28</v>
      </c>
      <c r="D697" s="8" t="s">
        <v>63</v>
      </c>
      <c r="E697">
        <v>90</v>
      </c>
      <c r="F697">
        <v>0.68</v>
      </c>
      <c r="N697">
        <f t="shared" si="38"/>
        <v>10.89503412</v>
      </c>
      <c r="O697">
        <f>IF(AND(OR(D697="S. acutus",D697="S. californicus",D697="S. tabernaemontani"),G697=0),E697*[1]Sheet1!$D$7+[1]Sheet1!$L$7,IF(AND(OR(D697="S. acutus",D697="S. tabernaemontani"),G697&gt;0),E697*[1]Sheet1!$D$8+N697*[1]Sheet1!$E$8,IF(AND(D697="S. californicus",G697&gt;0),E697*[1]Sheet1!$D$9+N697*[1]Sheet1!$E$9,IF(D697="S. maritimus",F697*[1]Sheet1!$C$10+E697*[1]Sheet1!$D$10+G697*[1]Sheet1!$F$10+[1]Sheet1!$L$10,IF(D697="S. americanus",F697*[1]Sheet1!$C$6+E697*[1]Sheet1!$D$6+[1]Sheet1!$L$6,IF(AND(OR(D697="T. domingensis",D697="T. latifolia"),E697&gt;0),F697*[1]Sheet1!$C$4+E697*[1]Sheet1!$D$4+H697*[1]Sheet1!$J$4+I697*[1]Sheet1!$K$4+[1]Sheet1!$L$4,IF(AND(OR(D697="T. domingensis",D697="T. latifolia"),J697&gt;0),J697*[1]Sheet1!$G$5+K697*[1]Sheet1!$H$5+L697*[1]Sheet1!$I$5+[1]Sheet1!$L$5,0)))))))</f>
        <v>1.7188530000000002</v>
      </c>
      <c r="P697">
        <f t="shared" si="37"/>
        <v>1.7188530000000002</v>
      </c>
      <c r="S697">
        <f t="shared" si="36"/>
        <v>0.36316780400000004</v>
      </c>
    </row>
    <row r="698" spans="1:19">
      <c r="A698" s="7">
        <v>42445</v>
      </c>
      <c r="B698" s="8" t="s">
        <v>24</v>
      </c>
      <c r="C698">
        <v>28</v>
      </c>
      <c r="D698" s="8" t="s">
        <v>63</v>
      </c>
      <c r="E698">
        <v>189</v>
      </c>
      <c r="F698">
        <v>1.23</v>
      </c>
      <c r="G698">
        <v>1</v>
      </c>
      <c r="N698">
        <f t="shared" si="38"/>
        <v>74.858356298249987</v>
      </c>
      <c r="O698">
        <f>IF(AND(OR(D698="S. acutus",D698="S. californicus",D698="S. tabernaemontani"),G698=0),E698*[1]Sheet1!$D$7+[1]Sheet1!$L$7,IF(AND(OR(D698="S. acutus",D698="S. tabernaemontani"),G698&gt;0),E698*[1]Sheet1!$D$8+N698*[1]Sheet1!$E$8,IF(AND(D698="S. californicus",G698&gt;0),E698*[1]Sheet1!$D$9+N698*[1]Sheet1!$E$9,IF(D698="S. maritimus",F698*[1]Sheet1!$C$10+E698*[1]Sheet1!$D$10+G698*[1]Sheet1!$F$10+[1]Sheet1!$L$10,IF(D698="S. americanus",F698*[1]Sheet1!$C$6+E698*[1]Sheet1!$D$6+[1]Sheet1!$L$6,IF(AND(OR(D698="T. domingensis",D698="T. latifolia"),E698&gt;0),F698*[1]Sheet1!$C$4+E698*[1]Sheet1!$D$4+H698*[1]Sheet1!$J$4+I698*[1]Sheet1!$K$4+[1]Sheet1!$L$4,IF(AND(OR(D698="T. domingensis",D698="T. latifolia"),J698&gt;0),J698*[1]Sheet1!$G$5+K698*[1]Sheet1!$H$5+L698*[1]Sheet1!$I$5+[1]Sheet1!$L$5,0)))))))</f>
        <v>9.688348345324318</v>
      </c>
      <c r="P698">
        <f t="shared" si="37"/>
        <v>9.688348345324318</v>
      </c>
      <c r="S698">
        <f t="shared" si="36"/>
        <v>1.1882278777499999</v>
      </c>
    </row>
    <row r="699" spans="1:19">
      <c r="A699" s="7">
        <v>42445</v>
      </c>
      <c r="B699" s="8" t="s">
        <v>24</v>
      </c>
      <c r="C699">
        <v>28</v>
      </c>
      <c r="D699" s="8" t="s">
        <v>63</v>
      </c>
      <c r="E699">
        <v>195</v>
      </c>
      <c r="F699">
        <v>1.67</v>
      </c>
      <c r="G699">
        <v>4</v>
      </c>
      <c r="N699">
        <f t="shared" si="38"/>
        <v>142.37568070374999</v>
      </c>
      <c r="O699">
        <f>IF(AND(OR(D699="S. acutus",D699="S. californicus",D699="S. tabernaemontani"),G699=0),E699*[1]Sheet1!$D$7+[1]Sheet1!$L$7,IF(AND(OR(D699="S. acutus",D699="S. tabernaemontani"),G699&gt;0),E699*[1]Sheet1!$D$8+N699*[1]Sheet1!$E$8,IF(AND(D699="S. californicus",G699&gt;0),E699*[1]Sheet1!$D$9+N699*[1]Sheet1!$E$9,IF(D699="S. maritimus",F699*[1]Sheet1!$C$10+E699*[1]Sheet1!$D$10+G699*[1]Sheet1!$F$10+[1]Sheet1!$L$10,IF(D699="S. americanus",F699*[1]Sheet1!$C$6+E699*[1]Sheet1!$D$6+[1]Sheet1!$L$6,IF(AND(OR(D699="T. domingensis",D699="T. latifolia"),E699&gt;0),F699*[1]Sheet1!$C$4+E699*[1]Sheet1!$D$4+H699*[1]Sheet1!$J$4+I699*[1]Sheet1!$K$4+[1]Sheet1!$L$4,IF(AND(OR(D699="T. domingensis",D699="T. latifolia"),J699&gt;0),J699*[1]Sheet1!$G$5+K699*[1]Sheet1!$H$5+L699*[1]Sheet1!$I$5+[1]Sheet1!$L$5,0)))))))</f>
        <v>12.093509556773384</v>
      </c>
      <c r="P699">
        <f t="shared" si="37"/>
        <v>12.093509556773384</v>
      </c>
      <c r="S699">
        <f t="shared" si="36"/>
        <v>2.1903950877499998</v>
      </c>
    </row>
    <row r="700" spans="1:19">
      <c r="A700" s="7">
        <v>42445</v>
      </c>
      <c r="B700" s="8" t="s">
        <v>24</v>
      </c>
      <c r="C700">
        <v>28</v>
      </c>
      <c r="D700" s="8" t="s">
        <v>63</v>
      </c>
      <c r="E700">
        <v>194</v>
      </c>
      <c r="F700">
        <v>1.04</v>
      </c>
      <c r="N700">
        <f t="shared" si="38"/>
        <v>54.933423861333331</v>
      </c>
      <c r="O700">
        <f>IF(AND(OR(D700="S. acutus",D700="S. californicus",D700="S. tabernaemontani"),G700=0),E700*[1]Sheet1!$D$7+[1]Sheet1!$L$7,IF(AND(OR(D700="S. acutus",D700="S. tabernaemontani"),G700&gt;0),E700*[1]Sheet1!$D$8+N700*[1]Sheet1!$E$8,IF(AND(D700="S. californicus",G700&gt;0),E700*[1]Sheet1!$D$9+N700*[1]Sheet1!$E$9,IF(D700="S. maritimus",F700*[1]Sheet1!$C$10+E700*[1]Sheet1!$D$10+G700*[1]Sheet1!$F$10+[1]Sheet1!$L$10,IF(D700="S. americanus",F700*[1]Sheet1!$C$6+E700*[1]Sheet1!$D$6+[1]Sheet1!$L$6,IF(AND(OR(D700="T. domingensis",D700="T. latifolia"),E700&gt;0),F700*[1]Sheet1!$C$4+E700*[1]Sheet1!$D$4+H700*[1]Sheet1!$J$4+I700*[1]Sheet1!$K$4+[1]Sheet1!$L$4,IF(AND(OR(D700="T. domingensis",D700="T. latifolia"),J700&gt;0),J700*[1]Sheet1!$G$5+K700*[1]Sheet1!$H$5+L700*[1]Sheet1!$I$5+[1]Sheet1!$L$5,0)))))))</f>
        <v>9.0097729999999991</v>
      </c>
      <c r="P700">
        <f t="shared" si="37"/>
        <v>9.0097729999999991</v>
      </c>
      <c r="S700">
        <f t="shared" si="36"/>
        <v>0.84948593600000011</v>
      </c>
    </row>
    <row r="701" spans="1:19">
      <c r="A701" s="7">
        <v>42445</v>
      </c>
      <c r="B701" s="8" t="s">
        <v>24</v>
      </c>
      <c r="C701">
        <v>28</v>
      </c>
      <c r="D701" s="8" t="s">
        <v>63</v>
      </c>
      <c r="E701">
        <v>200</v>
      </c>
      <c r="F701">
        <v>1.1399999999999999</v>
      </c>
      <c r="N701">
        <f t="shared" si="38"/>
        <v>68.046839399999982</v>
      </c>
      <c r="O701">
        <f>IF(AND(OR(D701="S. acutus",D701="S. californicus",D701="S. tabernaemontani"),G701=0),E701*[1]Sheet1!$D$7+[1]Sheet1!$L$7,IF(AND(OR(D701="S. acutus",D701="S. tabernaemontani"),G701&gt;0),E701*[1]Sheet1!$D$8+N701*[1]Sheet1!$E$8,IF(AND(D701="S. californicus",G701&gt;0),E701*[1]Sheet1!$D$9+N701*[1]Sheet1!$E$9,IF(D701="S. maritimus",F701*[1]Sheet1!$C$10+E701*[1]Sheet1!$D$10+G701*[1]Sheet1!$F$10+[1]Sheet1!$L$10,IF(D701="S. americanus",F701*[1]Sheet1!$C$6+E701*[1]Sheet1!$D$6+[1]Sheet1!$L$6,IF(AND(OR(D701="T. domingensis",D701="T. latifolia"),E701&gt;0),F701*[1]Sheet1!$C$4+E701*[1]Sheet1!$D$4+H701*[1]Sheet1!$J$4+I701*[1]Sheet1!$K$4+[1]Sheet1!$L$4,IF(AND(OR(D701="T. domingensis",D701="T. latifolia"),J701&gt;0),J701*[1]Sheet1!$G$5+K701*[1]Sheet1!$H$5+L701*[1]Sheet1!$I$5+[1]Sheet1!$L$5,0)))))))</f>
        <v>9.4304030000000019</v>
      </c>
      <c r="P701">
        <f t="shared" si="37"/>
        <v>9.4304030000000019</v>
      </c>
      <c r="S701">
        <f t="shared" si="36"/>
        <v>1.0207025909999998</v>
      </c>
    </row>
    <row r="702" spans="1:19">
      <c r="A702" s="7">
        <v>42445</v>
      </c>
      <c r="B702" s="8" t="s">
        <v>24</v>
      </c>
      <c r="C702">
        <v>28</v>
      </c>
      <c r="D702" s="8" t="s">
        <v>63</v>
      </c>
      <c r="E702">
        <v>196</v>
      </c>
      <c r="F702">
        <v>0.65</v>
      </c>
      <c r="N702">
        <f t="shared" si="38"/>
        <v>21.679588991666666</v>
      </c>
      <c r="O702">
        <f>IF(AND(OR(D702="S. acutus",D702="S. californicus",D702="S. tabernaemontani"),G702=0),E702*[1]Sheet1!$D$7+[1]Sheet1!$L$7,IF(AND(OR(D702="S. acutus",D702="S. tabernaemontani"),G702&gt;0),E702*[1]Sheet1!$D$8+N702*[1]Sheet1!$E$8,IF(AND(D702="S. californicus",G702&gt;0),E702*[1]Sheet1!$D$9+N702*[1]Sheet1!$E$9,IF(D702="S. maritimus",F702*[1]Sheet1!$C$10+E702*[1]Sheet1!$D$10+G702*[1]Sheet1!$F$10+[1]Sheet1!$L$10,IF(D702="S. americanus",F702*[1]Sheet1!$C$6+E702*[1]Sheet1!$D$6+[1]Sheet1!$L$6,IF(AND(OR(D702="T. domingensis",D702="T. latifolia"),E702&gt;0),F702*[1]Sheet1!$C$4+E702*[1]Sheet1!$D$4+H702*[1]Sheet1!$J$4+I702*[1]Sheet1!$K$4+[1]Sheet1!$L$4,IF(AND(OR(D702="T. domingensis",D702="T. latifolia"),J702&gt;0),J702*[1]Sheet1!$G$5+K702*[1]Sheet1!$H$5+L702*[1]Sheet1!$I$5+[1]Sheet1!$L$5,0)))))))</f>
        <v>9.1499829999999989</v>
      </c>
      <c r="P702">
        <f t="shared" si="37"/>
        <v>9.1499829999999989</v>
      </c>
      <c r="S702">
        <f t="shared" si="36"/>
        <v>0.33183044375000004</v>
      </c>
    </row>
    <row r="703" spans="1:19">
      <c r="A703" s="7">
        <v>42445</v>
      </c>
      <c r="B703" s="8" t="s">
        <v>24</v>
      </c>
      <c r="C703">
        <v>28</v>
      </c>
      <c r="D703" s="8" t="s">
        <v>63</v>
      </c>
      <c r="E703">
        <v>160</v>
      </c>
      <c r="F703">
        <v>0.82</v>
      </c>
      <c r="N703">
        <f t="shared" si="38"/>
        <v>28.165401546666658</v>
      </c>
      <c r="O703">
        <f>IF(AND(OR(D703="S. acutus",D703="S. californicus",D703="S. tabernaemontani"),G703=0),E703*[1]Sheet1!$D$7+[1]Sheet1!$L$7,IF(AND(OR(D703="S. acutus",D703="S. tabernaemontani"),G703&gt;0),E703*[1]Sheet1!$D$8+N703*[1]Sheet1!$E$8,IF(AND(D703="S. californicus",G703&gt;0),E703*[1]Sheet1!$D$9+N703*[1]Sheet1!$E$9,IF(D703="S. maritimus",F703*[1]Sheet1!$C$10+E703*[1]Sheet1!$D$10+G703*[1]Sheet1!$F$10+[1]Sheet1!$L$10,IF(D703="S. americanus",F703*[1]Sheet1!$C$6+E703*[1]Sheet1!$D$6+[1]Sheet1!$L$6,IF(AND(OR(D703="T. domingensis",D703="T. latifolia"),E703&gt;0),F703*[1]Sheet1!$C$4+E703*[1]Sheet1!$D$4+H703*[1]Sheet1!$J$4+I703*[1]Sheet1!$K$4+[1]Sheet1!$L$4,IF(AND(OR(D703="T. domingensis",D703="T. latifolia"),J703&gt;0),J703*[1]Sheet1!$G$5+K703*[1]Sheet1!$H$5+L703*[1]Sheet1!$I$5+[1]Sheet1!$L$5,0)))))))</f>
        <v>6.6262029999999994</v>
      </c>
      <c r="P703">
        <f t="shared" si="37"/>
        <v>6.6262029999999994</v>
      </c>
      <c r="S703">
        <f t="shared" si="36"/>
        <v>0.52810127899999992</v>
      </c>
    </row>
    <row r="704" spans="1:19">
      <c r="A704" s="7">
        <v>42445</v>
      </c>
      <c r="B704" s="8" t="s">
        <v>24</v>
      </c>
      <c r="C704">
        <v>28</v>
      </c>
      <c r="D704" s="8" t="s">
        <v>63</v>
      </c>
      <c r="E704">
        <v>181</v>
      </c>
      <c r="F704">
        <v>0.83</v>
      </c>
      <c r="N704">
        <f t="shared" si="38"/>
        <v>32.643973710916661</v>
      </c>
      <c r="O704">
        <f>IF(AND(OR(D704="S. acutus",D704="S. californicus",D704="S. tabernaemontani"),G704=0),E704*[1]Sheet1!$D$7+[1]Sheet1!$L$7,IF(AND(OR(D704="S. acutus",D704="S. tabernaemontani"),G704&gt;0),E704*[1]Sheet1!$D$8+N704*[1]Sheet1!$E$8,IF(AND(D704="S. californicus",G704&gt;0),E704*[1]Sheet1!$D$9+N704*[1]Sheet1!$E$9,IF(D704="S. maritimus",F704*[1]Sheet1!$C$10+E704*[1]Sheet1!$D$10+G704*[1]Sheet1!$F$10+[1]Sheet1!$L$10,IF(D704="S. americanus",F704*[1]Sheet1!$C$6+E704*[1]Sheet1!$D$6+[1]Sheet1!$L$6,IF(AND(OR(D704="T. domingensis",D704="T. latifolia"),E704&gt;0),F704*[1]Sheet1!$C$4+E704*[1]Sheet1!$D$4+H704*[1]Sheet1!$J$4+I704*[1]Sheet1!$K$4+[1]Sheet1!$L$4,IF(AND(OR(D704="T. domingensis",D704="T. latifolia"),J704&gt;0),J704*[1]Sheet1!$G$5+K704*[1]Sheet1!$H$5+L704*[1]Sheet1!$I$5+[1]Sheet1!$L$5,0)))))))</f>
        <v>8.0984079999999992</v>
      </c>
      <c r="P704">
        <f t="shared" si="37"/>
        <v>8.0984079999999992</v>
      </c>
      <c r="S704">
        <f t="shared" si="36"/>
        <v>0.54106033774999995</v>
      </c>
    </row>
    <row r="705" spans="1:19">
      <c r="A705" s="7">
        <v>42445</v>
      </c>
      <c r="B705" s="8" t="s">
        <v>24</v>
      </c>
      <c r="C705">
        <v>28</v>
      </c>
      <c r="D705" s="8" t="s">
        <v>63</v>
      </c>
      <c r="E705">
        <v>220</v>
      </c>
      <c r="F705">
        <v>1.04</v>
      </c>
      <c r="N705">
        <f t="shared" si="38"/>
        <v>62.295635306666661</v>
      </c>
      <c r="O705">
        <f>IF(AND(OR(D705="S. acutus",D705="S. californicus",D705="S. tabernaemontani"),G705=0),E705*[1]Sheet1!$D$7+[1]Sheet1!$L$7,IF(AND(OR(D705="S. acutus",D705="S. tabernaemontani"),G705&gt;0),E705*[1]Sheet1!$D$8+N705*[1]Sheet1!$E$8,IF(AND(D705="S. californicus",G705&gt;0),E705*[1]Sheet1!$D$9+N705*[1]Sheet1!$E$9,IF(D705="S. maritimus",F705*[1]Sheet1!$C$10+E705*[1]Sheet1!$D$10+G705*[1]Sheet1!$F$10+[1]Sheet1!$L$10,IF(D705="S. americanus",F705*[1]Sheet1!$C$6+E705*[1]Sheet1!$D$6+[1]Sheet1!$L$6,IF(AND(OR(D705="T. domingensis",D705="T. latifolia"),E705&gt;0),F705*[1]Sheet1!$C$4+E705*[1]Sheet1!$D$4+H705*[1]Sheet1!$J$4+I705*[1]Sheet1!$K$4+[1]Sheet1!$L$4,IF(AND(OR(D705="T. domingensis",D705="T. latifolia"),J705&gt;0),J705*[1]Sheet1!$G$5+K705*[1]Sheet1!$H$5+L705*[1]Sheet1!$I$5+[1]Sheet1!$L$5,0)))))))</f>
        <v>10.832502999999999</v>
      </c>
      <c r="P705">
        <f t="shared" si="37"/>
        <v>10.832502999999999</v>
      </c>
      <c r="S705">
        <f t="shared" si="36"/>
        <v>0.84948593600000011</v>
      </c>
    </row>
    <row r="706" spans="1:19">
      <c r="A706" s="7">
        <v>42445</v>
      </c>
      <c r="B706" s="8" t="s">
        <v>24</v>
      </c>
      <c r="C706">
        <v>28</v>
      </c>
      <c r="D706" s="8" t="s">
        <v>63</v>
      </c>
      <c r="E706">
        <v>149</v>
      </c>
      <c r="F706">
        <v>0.78</v>
      </c>
      <c r="N706">
        <f t="shared" si="38"/>
        <v>23.732513336999997</v>
      </c>
      <c r="O706">
        <f>IF(AND(OR(D706="S. acutus",D706="S. californicus",D706="S. tabernaemontani"),G706=0),E706*[1]Sheet1!$D$7+[1]Sheet1!$L$7,IF(AND(OR(D706="S. acutus",D706="S. tabernaemontani"),G706&gt;0),E706*[1]Sheet1!$D$8+N706*[1]Sheet1!$E$8,IF(AND(D706="S. californicus",G706&gt;0),E706*[1]Sheet1!$D$9+N706*[1]Sheet1!$E$9,IF(D706="S. maritimus",F706*[1]Sheet1!$C$10+E706*[1]Sheet1!$D$10+G706*[1]Sheet1!$F$10+[1]Sheet1!$L$10,IF(D706="S. americanus",F706*[1]Sheet1!$C$6+E706*[1]Sheet1!$D$6+[1]Sheet1!$L$6,IF(AND(OR(D706="T. domingensis",D706="T. latifolia"),E706&gt;0),F706*[1]Sheet1!$C$4+E706*[1]Sheet1!$D$4+H706*[1]Sheet1!$J$4+I706*[1]Sheet1!$K$4+[1]Sheet1!$L$4,IF(AND(OR(D706="T. domingensis",D706="T. latifolia"),J706&gt;0),J706*[1]Sheet1!$G$5+K706*[1]Sheet1!$H$5+L706*[1]Sheet1!$I$5+[1]Sheet1!$L$5,0)))))))</f>
        <v>5.8550480000000009</v>
      </c>
      <c r="P706">
        <f t="shared" si="37"/>
        <v>5.8550480000000009</v>
      </c>
      <c r="S706">
        <f t="shared" si="36"/>
        <v>0.47783583900000004</v>
      </c>
    </row>
    <row r="707" spans="1:19">
      <c r="A707" s="7">
        <v>42445</v>
      </c>
      <c r="B707" s="8" t="s">
        <v>24</v>
      </c>
      <c r="C707">
        <v>28</v>
      </c>
      <c r="D707" s="8" t="s">
        <v>63</v>
      </c>
      <c r="E707">
        <v>142</v>
      </c>
      <c r="F707">
        <v>0.99</v>
      </c>
      <c r="G707">
        <v>3</v>
      </c>
      <c r="N707">
        <f t="shared" si="38"/>
        <v>36.4356895815</v>
      </c>
      <c r="O707">
        <f>IF(AND(OR(D707="S. acutus",D707="S. californicus",D707="S. tabernaemontani"),G707=0),E707*[1]Sheet1!$D$7+[1]Sheet1!$L$7,IF(AND(OR(D707="S. acutus",D707="S. tabernaemontani"),G707&gt;0),E707*[1]Sheet1!$D$8+N707*[1]Sheet1!$E$8,IF(AND(D707="S. californicus",G707&gt;0),E707*[1]Sheet1!$D$9+N707*[1]Sheet1!$E$9,IF(D707="S. maritimus",F707*[1]Sheet1!$C$10+E707*[1]Sheet1!$D$10+G707*[1]Sheet1!$F$10+[1]Sheet1!$L$10,IF(D707="S. americanus",F707*[1]Sheet1!$C$6+E707*[1]Sheet1!$D$6+[1]Sheet1!$L$6,IF(AND(OR(D707="T. domingensis",D707="T. latifolia"),E707&gt;0),F707*[1]Sheet1!$C$4+E707*[1]Sheet1!$D$4+H707*[1]Sheet1!$J$4+I707*[1]Sheet1!$K$4+[1]Sheet1!$L$4,IF(AND(OR(D707="T. domingensis",D707="T. latifolia"),J707&gt;0),J707*[1]Sheet1!$G$5+K707*[1]Sheet1!$H$5+L707*[1]Sheet1!$I$5+[1]Sheet1!$L$5,0)))))))</f>
        <v>6.6412701966449239</v>
      </c>
      <c r="P707">
        <f t="shared" si="37"/>
        <v>6.6412701966449239</v>
      </c>
      <c r="S707">
        <f t="shared" si="36"/>
        <v>0.76976808975</v>
      </c>
    </row>
    <row r="708" spans="1:19">
      <c r="A708" s="7">
        <v>42445</v>
      </c>
      <c r="B708" s="8" t="s">
        <v>24</v>
      </c>
      <c r="C708">
        <v>28</v>
      </c>
      <c r="D708" s="8" t="s">
        <v>63</v>
      </c>
      <c r="E708">
        <v>203</v>
      </c>
      <c r="F708">
        <v>0.86</v>
      </c>
      <c r="N708">
        <f t="shared" si="38"/>
        <v>39.306212724333321</v>
      </c>
      <c r="O708">
        <f>IF(AND(OR(D708="S. acutus",D708="S. californicus",D708="S. tabernaemontani"),G708=0),E708*[1]Sheet1!$D$7+[1]Sheet1!$L$7,IF(AND(OR(D708="S. acutus",D708="S. tabernaemontani"),G708&gt;0),E708*[1]Sheet1!$D$8+N708*[1]Sheet1!$E$8,IF(AND(D708="S. californicus",G708&gt;0),E708*[1]Sheet1!$D$9+N708*[1]Sheet1!$E$9,IF(D708="S. maritimus",F708*[1]Sheet1!$C$10+E708*[1]Sheet1!$D$10+G708*[1]Sheet1!$F$10+[1]Sheet1!$L$10,IF(D708="S. americanus",F708*[1]Sheet1!$C$6+E708*[1]Sheet1!$D$6+[1]Sheet1!$L$6,IF(AND(OR(D708="T. domingensis",D708="T. latifolia"),E708&gt;0),F708*[1]Sheet1!$C$4+E708*[1]Sheet1!$D$4+H708*[1]Sheet1!$J$4+I708*[1]Sheet1!$K$4+[1]Sheet1!$L$4,IF(AND(OR(D708="T. domingensis",D708="T. latifolia"),J708&gt;0),J708*[1]Sheet1!$G$5+K708*[1]Sheet1!$H$5+L708*[1]Sheet1!$I$5+[1]Sheet1!$L$5,0)))))))</f>
        <v>9.6407179999999997</v>
      </c>
      <c r="P708">
        <f t="shared" si="37"/>
        <v>9.6407179999999997</v>
      </c>
      <c r="S708">
        <f t="shared" si="36"/>
        <v>0.58087999099999987</v>
      </c>
    </row>
    <row r="709" spans="1:19">
      <c r="A709" s="7">
        <v>42445</v>
      </c>
      <c r="B709" s="8" t="s">
        <v>24</v>
      </c>
      <c r="C709">
        <v>28</v>
      </c>
      <c r="D709" s="8" t="s">
        <v>63</v>
      </c>
      <c r="E709">
        <v>100</v>
      </c>
      <c r="F709">
        <v>0.84</v>
      </c>
      <c r="N709">
        <f t="shared" si="38"/>
        <v>18.472549199999996</v>
      </c>
      <c r="O709">
        <f>IF(AND(OR(D709="S. acutus",D709="S. californicus",D709="S. tabernaemontani"),G709=0),E709*[1]Sheet1!$D$7+[1]Sheet1!$L$7,IF(AND(OR(D709="S. acutus",D709="S. tabernaemontani"),G709&gt;0),E709*[1]Sheet1!$D$8+N709*[1]Sheet1!$E$8,IF(AND(D709="S. californicus",G709&gt;0),E709*[1]Sheet1!$D$9+N709*[1]Sheet1!$E$9,IF(D709="S. maritimus",F709*[1]Sheet1!$C$10+E709*[1]Sheet1!$D$10+G709*[1]Sheet1!$F$10+[1]Sheet1!$L$10,IF(D709="S. americanus",F709*[1]Sheet1!$C$6+E709*[1]Sheet1!$D$6+[1]Sheet1!$L$6,IF(AND(OR(D709="T. domingensis",D709="T. latifolia"),E709&gt;0),F709*[1]Sheet1!$C$4+E709*[1]Sheet1!$D$4+H709*[1]Sheet1!$J$4+I709*[1]Sheet1!$K$4+[1]Sheet1!$L$4,IF(AND(OR(D709="T. domingensis",D709="T. latifolia"),J709&gt;0),J709*[1]Sheet1!$G$5+K709*[1]Sheet1!$H$5+L709*[1]Sheet1!$I$5+[1]Sheet1!$L$5,0)))))))</f>
        <v>2.4199030000000006</v>
      </c>
      <c r="P709">
        <f t="shared" si="37"/>
        <v>2.4199030000000006</v>
      </c>
      <c r="S709">
        <f t="shared" si="36"/>
        <v>0.55417647599999986</v>
      </c>
    </row>
    <row r="710" spans="1:19">
      <c r="A710" s="7">
        <v>42445</v>
      </c>
      <c r="B710" s="8" t="s">
        <v>24</v>
      </c>
      <c r="C710">
        <v>28</v>
      </c>
      <c r="D710" s="8" t="s">
        <v>63</v>
      </c>
      <c r="E710">
        <v>143</v>
      </c>
      <c r="F710">
        <v>0.63</v>
      </c>
      <c r="N710">
        <f t="shared" si="38"/>
        <v>14.858856762749999</v>
      </c>
      <c r="O710">
        <f>IF(AND(OR(D710="S. acutus",D710="S. californicus",D710="S. tabernaemontani"),G710=0),E710*[1]Sheet1!$D$7+[1]Sheet1!$L$7,IF(AND(OR(D710="S. acutus",D710="S. tabernaemontani"),G710&gt;0),E710*[1]Sheet1!$D$8+N710*[1]Sheet1!$E$8,IF(AND(D710="S. californicus",G710&gt;0),E710*[1]Sheet1!$D$9+N710*[1]Sheet1!$E$9,IF(D710="S. maritimus",F710*[1]Sheet1!$C$10+E710*[1]Sheet1!$D$10+G710*[1]Sheet1!$F$10+[1]Sheet1!$L$10,IF(D710="S. americanus",F710*[1]Sheet1!$C$6+E710*[1]Sheet1!$D$6+[1]Sheet1!$L$6,IF(AND(OR(D710="T. domingensis",D710="T. latifolia"),E710&gt;0),F710*[1]Sheet1!$C$4+E710*[1]Sheet1!$D$4+H710*[1]Sheet1!$J$4+I710*[1]Sheet1!$K$4+[1]Sheet1!$L$4,IF(AND(OR(D710="T. domingensis",D710="T. latifolia"),J710&gt;0),J710*[1]Sheet1!$G$5+K710*[1]Sheet1!$H$5+L710*[1]Sheet1!$I$5+[1]Sheet1!$L$5,0)))))))</f>
        <v>5.434418</v>
      </c>
      <c r="P710">
        <f t="shared" si="37"/>
        <v>5.434418</v>
      </c>
      <c r="S710">
        <f t="shared" si="36"/>
        <v>0.31172426775000001</v>
      </c>
    </row>
    <row r="711" spans="1:19">
      <c r="A711" s="7">
        <v>42445</v>
      </c>
      <c r="B711" s="8" t="s">
        <v>24</v>
      </c>
      <c r="C711">
        <v>28</v>
      </c>
      <c r="D711" s="8" t="s">
        <v>63</v>
      </c>
      <c r="E711">
        <v>220</v>
      </c>
      <c r="F711">
        <v>1.42</v>
      </c>
      <c r="N711">
        <f t="shared" si="38"/>
        <v>116.13620472666666</v>
      </c>
      <c r="O711">
        <f>IF(AND(OR(D711="S. acutus",D711="S. californicus",D711="S. tabernaemontani"),G711=0),E711*[1]Sheet1!$D$7+[1]Sheet1!$L$7,IF(AND(OR(D711="S. acutus",D711="S. tabernaemontani"),G711&gt;0),E711*[1]Sheet1!$D$8+N711*[1]Sheet1!$E$8,IF(AND(D711="S. californicus",G711&gt;0),E711*[1]Sheet1!$D$9+N711*[1]Sheet1!$E$9,IF(D711="S. maritimus",F711*[1]Sheet1!$C$10+E711*[1]Sheet1!$D$10+G711*[1]Sheet1!$F$10+[1]Sheet1!$L$10,IF(D711="S. americanus",F711*[1]Sheet1!$C$6+E711*[1]Sheet1!$D$6+[1]Sheet1!$L$6,IF(AND(OR(D711="T. domingensis",D711="T. latifolia"),E711&gt;0),F711*[1]Sheet1!$C$4+E711*[1]Sheet1!$D$4+H711*[1]Sheet1!$J$4+I711*[1]Sheet1!$K$4+[1]Sheet1!$L$4,IF(AND(OR(D711="T. domingensis",D711="T. latifolia"),J711&gt;0),J711*[1]Sheet1!$G$5+K711*[1]Sheet1!$H$5+L711*[1]Sheet1!$I$5+[1]Sheet1!$L$5,0)))))))</f>
        <v>10.832502999999999</v>
      </c>
      <c r="P711">
        <f t="shared" si="37"/>
        <v>10.832502999999999</v>
      </c>
      <c r="S711">
        <f t="shared" si="36"/>
        <v>1.5836755189999998</v>
      </c>
    </row>
    <row r="712" spans="1:19">
      <c r="A712" s="7">
        <v>42445</v>
      </c>
      <c r="B712" s="8" t="s">
        <v>24</v>
      </c>
      <c r="C712">
        <v>28</v>
      </c>
      <c r="D712" s="8" t="s">
        <v>63</v>
      </c>
      <c r="E712">
        <v>121</v>
      </c>
      <c r="F712">
        <v>0.6</v>
      </c>
      <c r="N712">
        <f t="shared" si="38"/>
        <v>11.4039717</v>
      </c>
      <c r="O712">
        <f>IF(AND(OR(D712="S. acutus",D712="S. californicus",D712="S. tabernaemontani"),G712=0),E712*[1]Sheet1!$D$7+[1]Sheet1!$L$7,IF(AND(OR(D712="S. acutus",D712="S. tabernaemontani"),G712&gt;0),E712*[1]Sheet1!$D$8+N712*[1]Sheet1!$E$8,IF(AND(D712="S. californicus",G712&gt;0),E712*[1]Sheet1!$D$9+N712*[1]Sheet1!$E$9,IF(D712="S. maritimus",F712*[1]Sheet1!$C$10+E712*[1]Sheet1!$D$10+G712*[1]Sheet1!$F$10+[1]Sheet1!$L$10,IF(D712="S. americanus",F712*[1]Sheet1!$C$6+E712*[1]Sheet1!$D$6+[1]Sheet1!$L$6,IF(AND(OR(D712="T. domingensis",D712="T. latifolia"),E712&gt;0),F712*[1]Sheet1!$C$4+E712*[1]Sheet1!$D$4+H712*[1]Sheet1!$J$4+I712*[1]Sheet1!$K$4+[1]Sheet1!$L$4,IF(AND(OR(D712="T. domingensis",D712="T. latifolia"),J712&gt;0),J712*[1]Sheet1!$G$5+K712*[1]Sheet1!$H$5+L712*[1]Sheet1!$I$5+[1]Sheet1!$L$5,0)))))))</f>
        <v>3.8921079999999995</v>
      </c>
      <c r="P712">
        <f t="shared" si="37"/>
        <v>3.8921079999999995</v>
      </c>
      <c r="S712">
        <f t="shared" si="36"/>
        <v>0.28274309999999997</v>
      </c>
    </row>
    <row r="713" spans="1:19">
      <c r="A713" s="7">
        <v>42445</v>
      </c>
      <c r="B713" s="8" t="s">
        <v>24</v>
      </c>
      <c r="C713">
        <v>28</v>
      </c>
      <c r="D713" s="8" t="s">
        <v>63</v>
      </c>
      <c r="E713">
        <v>219</v>
      </c>
      <c r="F713">
        <v>1.17</v>
      </c>
      <c r="G713">
        <v>5</v>
      </c>
      <c r="N713">
        <f t="shared" si="38"/>
        <v>78.484536555749983</v>
      </c>
      <c r="O713">
        <f>IF(AND(OR(D713="S. acutus",D713="S. californicus",D713="S. tabernaemontani"),G713=0),E713*[1]Sheet1!$D$7+[1]Sheet1!$L$7,IF(AND(OR(D713="S. acutus",D713="S. tabernaemontani"),G713&gt;0),E713*[1]Sheet1!$D$8+N713*[1]Sheet1!$E$8,IF(AND(D713="S. californicus",G713&gt;0),E713*[1]Sheet1!$D$9+N713*[1]Sheet1!$E$9,IF(D713="S. maritimus",F713*[1]Sheet1!$C$10+E713*[1]Sheet1!$D$10+G713*[1]Sheet1!$F$10+[1]Sheet1!$L$10,IF(D713="S. americanus",F713*[1]Sheet1!$C$6+E713*[1]Sheet1!$D$6+[1]Sheet1!$L$6,IF(AND(OR(D713="T. domingensis",D713="T. latifolia"),E713&gt;0),F713*[1]Sheet1!$C$4+E713*[1]Sheet1!$D$4+H713*[1]Sheet1!$J$4+I713*[1]Sheet1!$K$4+[1]Sheet1!$L$4,IF(AND(OR(D713="T. domingensis",D713="T. latifolia"),J713&gt;0),J713*[1]Sheet1!$G$5+K713*[1]Sheet1!$H$5+L713*[1]Sheet1!$I$5+[1]Sheet1!$L$5,0)))))))</f>
        <v>10.96032761317805</v>
      </c>
      <c r="P713">
        <f t="shared" ref="P713:P776" si="39">IF(O713&lt;0,"0",O713)</f>
        <v>10.96032761317805</v>
      </c>
      <c r="S713">
        <f t="shared" ref="S713:S776" si="40">3.14159*((F713/2)^2)</f>
        <v>1.0751306377499998</v>
      </c>
    </row>
    <row r="714" spans="1:19">
      <c r="A714" s="7">
        <v>42445</v>
      </c>
      <c r="B714" s="8" t="s">
        <v>24</v>
      </c>
      <c r="C714">
        <v>28</v>
      </c>
      <c r="D714" s="8" t="s">
        <v>63</v>
      </c>
      <c r="E714">
        <v>210</v>
      </c>
      <c r="F714">
        <v>1.04</v>
      </c>
      <c r="N714">
        <f t="shared" si="38"/>
        <v>59.464015519999997</v>
      </c>
      <c r="O714">
        <f>IF(AND(OR(D714="S. acutus",D714="S. californicus",D714="S. tabernaemontani"),G714=0),E714*[1]Sheet1!$D$7+[1]Sheet1!$L$7,IF(AND(OR(D714="S. acutus",D714="S. tabernaemontani"),G714&gt;0),E714*[1]Sheet1!$D$8+N714*[1]Sheet1!$E$8,IF(AND(D714="S. californicus",G714&gt;0),E714*[1]Sheet1!$D$9+N714*[1]Sheet1!$E$9,IF(D714="S. maritimus",F714*[1]Sheet1!$C$10+E714*[1]Sheet1!$D$10+G714*[1]Sheet1!$F$10+[1]Sheet1!$L$10,IF(D714="S. americanus",F714*[1]Sheet1!$C$6+E714*[1]Sheet1!$D$6+[1]Sheet1!$L$6,IF(AND(OR(D714="T. domingensis",D714="T. latifolia"),E714&gt;0),F714*[1]Sheet1!$C$4+E714*[1]Sheet1!$D$4+H714*[1]Sheet1!$J$4+I714*[1]Sheet1!$K$4+[1]Sheet1!$L$4,IF(AND(OR(D714="T. domingensis",D714="T. latifolia"),J714&gt;0),J714*[1]Sheet1!$G$5+K714*[1]Sheet1!$H$5+L714*[1]Sheet1!$I$5+[1]Sheet1!$L$5,0)))))))</f>
        <v>10.131453</v>
      </c>
      <c r="P714">
        <f t="shared" si="39"/>
        <v>10.131453</v>
      </c>
      <c r="S714">
        <f t="shared" si="40"/>
        <v>0.84948593600000011</v>
      </c>
    </row>
    <row r="715" spans="1:19">
      <c r="A715" s="7">
        <v>42445</v>
      </c>
      <c r="B715" s="8" t="s">
        <v>24</v>
      </c>
      <c r="C715">
        <v>28</v>
      </c>
      <c r="D715" s="8" t="s">
        <v>63</v>
      </c>
      <c r="E715">
        <v>57</v>
      </c>
      <c r="F715">
        <v>0.59</v>
      </c>
      <c r="N715">
        <f t="shared" si="38"/>
        <v>5.194540525249999</v>
      </c>
      <c r="O715">
        <f>IF(AND(OR(D715="S. acutus",D715="S. californicus",D715="S. tabernaemontani"),G715=0),E715*[1]Sheet1!$D$7+[1]Sheet1!$L$7,IF(AND(OR(D715="S. acutus",D715="S. tabernaemontani"),G715&gt;0),E715*[1]Sheet1!$D$8+N715*[1]Sheet1!$E$8,IF(AND(D715="S. californicus",G715&gt;0),E715*[1]Sheet1!$D$9+N715*[1]Sheet1!$E$9,IF(D715="S. maritimus",F715*[1]Sheet1!$C$10+E715*[1]Sheet1!$D$10+G715*[1]Sheet1!$F$10+[1]Sheet1!$L$10,IF(D715="S. americanus",F715*[1]Sheet1!$C$6+E715*[1]Sheet1!$D$6+[1]Sheet1!$L$6,IF(AND(OR(D715="T. domingensis",D715="T. latifolia"),E715&gt;0),F715*[1]Sheet1!$C$4+E715*[1]Sheet1!$D$4+H715*[1]Sheet1!$J$4+I715*[1]Sheet1!$K$4+[1]Sheet1!$L$4,IF(AND(OR(D715="T. domingensis",D715="T. latifolia"),J715&gt;0),J715*[1]Sheet1!$G$5+K715*[1]Sheet1!$H$5+L715*[1]Sheet1!$I$5+[1]Sheet1!$L$5,0)))))))</f>
        <v>-0.5946119999999997</v>
      </c>
      <c r="P715" t="str">
        <f t="shared" si="39"/>
        <v>0</v>
      </c>
      <c r="S715">
        <f t="shared" si="40"/>
        <v>0.27339686974999994</v>
      </c>
    </row>
    <row r="716" spans="1:19">
      <c r="A716" s="7">
        <v>42445</v>
      </c>
      <c r="B716" s="8" t="s">
        <v>24</v>
      </c>
      <c r="C716">
        <v>28</v>
      </c>
      <c r="D716" s="8" t="s">
        <v>63</v>
      </c>
      <c r="E716">
        <v>84</v>
      </c>
      <c r="F716">
        <v>0.57999999999999996</v>
      </c>
      <c r="N716">
        <f t="shared" si="38"/>
        <v>7.3978161319999982</v>
      </c>
      <c r="O716">
        <f>IF(AND(OR(D716="S. acutus",D716="S. californicus",D716="S. tabernaemontani"),G716=0),E716*[1]Sheet1!$D$7+[1]Sheet1!$L$7,IF(AND(OR(D716="S. acutus",D716="S. tabernaemontani"),G716&gt;0),E716*[1]Sheet1!$D$8+N716*[1]Sheet1!$E$8,IF(AND(D716="S. californicus",G716&gt;0),E716*[1]Sheet1!$D$9+N716*[1]Sheet1!$E$9,IF(D716="S. maritimus",F716*[1]Sheet1!$C$10+E716*[1]Sheet1!$D$10+G716*[1]Sheet1!$F$10+[1]Sheet1!$L$10,IF(D716="S. americanus",F716*[1]Sheet1!$C$6+E716*[1]Sheet1!$D$6+[1]Sheet1!$L$6,IF(AND(OR(D716="T. domingensis",D716="T. latifolia"),E716&gt;0),F716*[1]Sheet1!$C$4+E716*[1]Sheet1!$D$4+H716*[1]Sheet1!$J$4+I716*[1]Sheet1!$K$4+[1]Sheet1!$L$4,IF(AND(OR(D716="T. domingensis",D716="T. latifolia"),J716&gt;0),J716*[1]Sheet1!$G$5+K716*[1]Sheet1!$H$5+L716*[1]Sheet1!$I$5+[1]Sheet1!$L$5,0)))))))</f>
        <v>1.2982230000000001</v>
      </c>
      <c r="P716">
        <f t="shared" si="39"/>
        <v>1.2982230000000001</v>
      </c>
      <c r="S716">
        <f t="shared" si="40"/>
        <v>0.26420771899999995</v>
      </c>
    </row>
    <row r="717" spans="1:19">
      <c r="A717" s="7">
        <v>42445</v>
      </c>
      <c r="B717" s="8" t="s">
        <v>24</v>
      </c>
      <c r="C717">
        <v>28</v>
      </c>
      <c r="D717" s="8" t="s">
        <v>63</v>
      </c>
      <c r="E717">
        <v>113</v>
      </c>
      <c r="F717">
        <v>0.56000000000000005</v>
      </c>
      <c r="N717">
        <f t="shared" si="38"/>
        <v>9.2773247093333335</v>
      </c>
      <c r="O717">
        <f>IF(AND(OR(D717="S. acutus",D717="S. californicus",D717="S. tabernaemontani"),G717=0),E717*[1]Sheet1!$D$7+[1]Sheet1!$L$7,IF(AND(OR(D717="S. acutus",D717="S. tabernaemontani"),G717&gt;0),E717*[1]Sheet1!$D$8+N717*[1]Sheet1!$E$8,IF(AND(D717="S. californicus",G717&gt;0),E717*[1]Sheet1!$D$9+N717*[1]Sheet1!$E$9,IF(D717="S. maritimus",F717*[1]Sheet1!$C$10+E717*[1]Sheet1!$D$10+G717*[1]Sheet1!$F$10+[1]Sheet1!$L$10,IF(D717="S. americanus",F717*[1]Sheet1!$C$6+E717*[1]Sheet1!$D$6+[1]Sheet1!$L$6,IF(AND(OR(D717="T. domingensis",D717="T. latifolia"),E717&gt;0),F717*[1]Sheet1!$C$4+E717*[1]Sheet1!$D$4+H717*[1]Sheet1!$J$4+I717*[1]Sheet1!$K$4+[1]Sheet1!$L$4,IF(AND(OR(D717="T. domingensis",D717="T. latifolia"),J717&gt;0),J717*[1]Sheet1!$G$5+K717*[1]Sheet1!$H$5+L717*[1]Sheet1!$I$5+[1]Sheet1!$L$5,0)))))))</f>
        <v>3.3312680000000006</v>
      </c>
      <c r="P717">
        <f t="shared" si="39"/>
        <v>3.3312680000000006</v>
      </c>
      <c r="S717">
        <f t="shared" si="40"/>
        <v>0.24630065600000003</v>
      </c>
    </row>
    <row r="718" spans="1:19">
      <c r="A718" s="7">
        <v>42445</v>
      </c>
      <c r="B718" s="8" t="s">
        <v>24</v>
      </c>
      <c r="C718">
        <v>28</v>
      </c>
      <c r="D718" s="8" t="s">
        <v>63</v>
      </c>
      <c r="E718">
        <v>123</v>
      </c>
      <c r="F718">
        <v>0.72</v>
      </c>
      <c r="G718">
        <v>2</v>
      </c>
      <c r="N718">
        <f t="shared" si="38"/>
        <v>16.693152623999996</v>
      </c>
      <c r="O718">
        <f>IF(AND(OR(D718="S. acutus",D718="S. californicus",D718="S. tabernaemontani"),G718=0),E718*[1]Sheet1!$D$7+[1]Sheet1!$L$7,IF(AND(OR(D718="S. acutus",D718="S. tabernaemontani"),G718&gt;0),E718*[1]Sheet1!$D$8+N718*[1]Sheet1!$E$8,IF(AND(D718="S. californicus",G718&gt;0),E718*[1]Sheet1!$D$9+N718*[1]Sheet1!$E$9,IF(D718="S. maritimus",F718*[1]Sheet1!$C$10+E718*[1]Sheet1!$D$10+G718*[1]Sheet1!$F$10+[1]Sheet1!$L$10,IF(D718="S. americanus",F718*[1]Sheet1!$C$6+E718*[1]Sheet1!$D$6+[1]Sheet1!$L$6,IF(AND(OR(D718="T. domingensis",D718="T. latifolia"),E718&gt;0),F718*[1]Sheet1!$C$4+E718*[1]Sheet1!$D$4+H718*[1]Sheet1!$J$4+I718*[1]Sheet1!$K$4+[1]Sheet1!$L$4,IF(AND(OR(D718="T. domingensis",D718="T. latifolia"),J718&gt;0),J718*[1]Sheet1!$G$5+K718*[1]Sheet1!$H$5+L718*[1]Sheet1!$I$5+[1]Sheet1!$L$5,0)))))))</f>
        <v>5.2739078383301621</v>
      </c>
      <c r="P718">
        <f t="shared" si="39"/>
        <v>5.2739078383301621</v>
      </c>
      <c r="S718">
        <f t="shared" si="40"/>
        <v>0.40715006399999998</v>
      </c>
    </row>
    <row r="719" spans="1:19">
      <c r="A719" s="7">
        <v>42445</v>
      </c>
      <c r="B719" s="8" t="s">
        <v>24</v>
      </c>
      <c r="C719">
        <v>28</v>
      </c>
      <c r="D719" s="8" t="s">
        <v>63</v>
      </c>
      <c r="E719">
        <v>116</v>
      </c>
      <c r="F719">
        <v>0.78</v>
      </c>
      <c r="G719">
        <v>5</v>
      </c>
      <c r="N719">
        <f t="shared" si="38"/>
        <v>18.476319107999998</v>
      </c>
      <c r="O719">
        <f>IF(AND(OR(D719="S. acutus",D719="S. californicus",D719="S. tabernaemontani"),G719=0),E719*[1]Sheet1!$D$7+[1]Sheet1!$L$7,IF(AND(OR(D719="S. acutus",D719="S. tabernaemontani"),G719&gt;0),E719*[1]Sheet1!$D$8+N719*[1]Sheet1!$E$8,IF(AND(D719="S. californicus",G719&gt;0),E719*[1]Sheet1!$D$9+N719*[1]Sheet1!$E$9,IF(D719="S. maritimus",F719*[1]Sheet1!$C$10+E719*[1]Sheet1!$D$10+G719*[1]Sheet1!$F$10+[1]Sheet1!$L$10,IF(D719="S. americanus",F719*[1]Sheet1!$C$6+E719*[1]Sheet1!$D$6+[1]Sheet1!$L$6,IF(AND(OR(D719="T. domingensis",D719="T. latifolia"),E719&gt;0),F719*[1]Sheet1!$C$4+E719*[1]Sheet1!$D$4+H719*[1]Sheet1!$J$4+I719*[1]Sheet1!$K$4+[1]Sheet1!$L$4,IF(AND(OR(D719="T. domingensis",D719="T. latifolia"),J719&gt;0),J719*[1]Sheet1!$G$5+K719*[1]Sheet1!$H$5+L719*[1]Sheet1!$I$5+[1]Sheet1!$L$5,0)))))))</f>
        <v>5.0617777039647978</v>
      </c>
      <c r="P719">
        <f t="shared" si="39"/>
        <v>5.0617777039647978</v>
      </c>
      <c r="S719">
        <f t="shared" si="40"/>
        <v>0.47783583900000004</v>
      </c>
    </row>
    <row r="720" spans="1:19">
      <c r="A720" s="7">
        <v>42445</v>
      </c>
      <c r="B720" s="8" t="s">
        <v>24</v>
      </c>
      <c r="C720">
        <v>28</v>
      </c>
      <c r="D720" s="8" t="s">
        <v>63</v>
      </c>
      <c r="E720">
        <v>169</v>
      </c>
      <c r="F720">
        <v>1.28</v>
      </c>
      <c r="N720">
        <f t="shared" si="38"/>
        <v>72.489466538666662</v>
      </c>
      <c r="O720">
        <f>IF(AND(OR(D720="S. acutus",D720="S. californicus",D720="S. tabernaemontani"),G720=0),E720*[1]Sheet1!$D$7+[1]Sheet1!$L$7,IF(AND(OR(D720="S. acutus",D720="S. tabernaemontani"),G720&gt;0),E720*[1]Sheet1!$D$8+N720*[1]Sheet1!$E$8,IF(AND(D720="S. californicus",G720&gt;0),E720*[1]Sheet1!$D$9+N720*[1]Sheet1!$E$9,IF(D720="S. maritimus",F720*[1]Sheet1!$C$10+E720*[1]Sheet1!$D$10+G720*[1]Sheet1!$F$10+[1]Sheet1!$L$10,IF(D720="S. americanus",F720*[1]Sheet1!$C$6+E720*[1]Sheet1!$D$6+[1]Sheet1!$L$6,IF(AND(OR(D720="T. domingensis",D720="T. latifolia"),E720&gt;0),F720*[1]Sheet1!$C$4+E720*[1]Sheet1!$D$4+H720*[1]Sheet1!$J$4+I720*[1]Sheet1!$K$4+[1]Sheet1!$L$4,IF(AND(OR(D720="T. domingensis",D720="T. latifolia"),J720&gt;0),J720*[1]Sheet1!$G$5+K720*[1]Sheet1!$H$5+L720*[1]Sheet1!$I$5+[1]Sheet1!$L$5,0)))))))</f>
        <v>7.2571479999999999</v>
      </c>
      <c r="P720">
        <f t="shared" si="39"/>
        <v>7.2571479999999999</v>
      </c>
      <c r="S720">
        <f t="shared" si="40"/>
        <v>1.286795264</v>
      </c>
    </row>
    <row r="721" spans="1:19">
      <c r="A721" s="7">
        <v>42445</v>
      </c>
      <c r="B721" s="8" t="s">
        <v>24</v>
      </c>
      <c r="C721">
        <v>28</v>
      </c>
      <c r="D721" s="8" t="s">
        <v>63</v>
      </c>
      <c r="E721">
        <v>205</v>
      </c>
      <c r="F721">
        <v>1.32</v>
      </c>
      <c r="N721">
        <f t="shared" si="38"/>
        <v>93.512567939999997</v>
      </c>
      <c r="O721">
        <f>IF(AND(OR(D721="S. acutus",D721="S. californicus",D721="S. tabernaemontani"),G721=0),E721*[1]Sheet1!$D$7+[1]Sheet1!$L$7,IF(AND(OR(D721="S. acutus",D721="S. tabernaemontani"),G721&gt;0),E721*[1]Sheet1!$D$8+N721*[1]Sheet1!$E$8,IF(AND(D721="S. californicus",G721&gt;0),E721*[1]Sheet1!$D$9+N721*[1]Sheet1!$E$9,IF(D721="S. maritimus",F721*[1]Sheet1!$C$10+E721*[1]Sheet1!$D$10+G721*[1]Sheet1!$F$10+[1]Sheet1!$L$10,IF(D721="S. americanus",F721*[1]Sheet1!$C$6+E721*[1]Sheet1!$D$6+[1]Sheet1!$L$6,IF(AND(OR(D721="T. domingensis",D721="T. latifolia"),E721&gt;0),F721*[1]Sheet1!$C$4+E721*[1]Sheet1!$D$4+H721*[1]Sheet1!$J$4+I721*[1]Sheet1!$K$4+[1]Sheet1!$L$4,IF(AND(OR(D721="T. domingensis",D721="T. latifolia"),J721&gt;0),J721*[1]Sheet1!$G$5+K721*[1]Sheet1!$H$5+L721*[1]Sheet1!$I$5+[1]Sheet1!$L$5,0)))))))</f>
        <v>9.7809279999999994</v>
      </c>
      <c r="P721">
        <f t="shared" si="39"/>
        <v>9.7809279999999994</v>
      </c>
      <c r="S721">
        <f t="shared" si="40"/>
        <v>1.368476604</v>
      </c>
    </row>
    <row r="722" spans="1:19">
      <c r="A722" s="7">
        <v>42445</v>
      </c>
      <c r="B722" s="8" t="s">
        <v>24</v>
      </c>
      <c r="C722">
        <v>28</v>
      </c>
      <c r="D722" s="8" t="s">
        <v>63</v>
      </c>
      <c r="E722">
        <v>187</v>
      </c>
      <c r="F722">
        <v>1.22</v>
      </c>
      <c r="N722">
        <f t="shared" si="38"/>
        <v>72.866771497666647</v>
      </c>
      <c r="O722">
        <f>IF(AND(OR(D722="S. acutus",D722="S. californicus",D722="S. tabernaemontani"),G722=0),E722*[1]Sheet1!$D$7+[1]Sheet1!$L$7,IF(AND(OR(D722="S. acutus",D722="S. tabernaemontani"),G722&gt;0),E722*[1]Sheet1!$D$8+N722*[1]Sheet1!$E$8,IF(AND(D722="S. californicus",G722&gt;0),E722*[1]Sheet1!$D$9+N722*[1]Sheet1!$E$9,IF(D722="S. maritimus",F722*[1]Sheet1!$C$10+E722*[1]Sheet1!$D$10+G722*[1]Sheet1!$F$10+[1]Sheet1!$L$10,IF(D722="S. americanus",F722*[1]Sheet1!$C$6+E722*[1]Sheet1!$D$6+[1]Sheet1!$L$6,IF(AND(OR(D722="T. domingensis",D722="T. latifolia"),E722&gt;0),F722*[1]Sheet1!$C$4+E722*[1]Sheet1!$D$4+H722*[1]Sheet1!$J$4+I722*[1]Sheet1!$K$4+[1]Sheet1!$L$4,IF(AND(OR(D722="T. domingensis",D722="T. latifolia"),J722&gt;0),J722*[1]Sheet1!$G$5+K722*[1]Sheet1!$H$5+L722*[1]Sheet1!$I$5+[1]Sheet1!$L$5,0)))))))</f>
        <v>8.5190380000000019</v>
      </c>
      <c r="P722">
        <f t="shared" si="39"/>
        <v>8.5190380000000019</v>
      </c>
      <c r="S722">
        <f t="shared" si="40"/>
        <v>1.168985639</v>
      </c>
    </row>
    <row r="723" spans="1:19">
      <c r="A723" s="7">
        <v>42445</v>
      </c>
      <c r="B723" s="8" t="s">
        <v>24</v>
      </c>
      <c r="C723">
        <v>28</v>
      </c>
      <c r="D723" s="8" t="s">
        <v>63</v>
      </c>
      <c r="E723">
        <v>138</v>
      </c>
      <c r="F723">
        <v>0.78</v>
      </c>
      <c r="N723">
        <f t="shared" si="38"/>
        <v>21.980448593999999</v>
      </c>
      <c r="O723">
        <f>IF(AND(OR(D723="S. acutus",D723="S. californicus",D723="S. tabernaemontani"),G723=0),E723*[1]Sheet1!$D$7+[1]Sheet1!$L$7,IF(AND(OR(D723="S. acutus",D723="S. tabernaemontani"),G723&gt;0),E723*[1]Sheet1!$D$8+N723*[1]Sheet1!$E$8,IF(AND(D723="S. californicus",G723&gt;0),E723*[1]Sheet1!$D$9+N723*[1]Sheet1!$E$9,IF(D723="S. maritimus",F723*[1]Sheet1!$C$10+E723*[1]Sheet1!$D$10+G723*[1]Sheet1!$F$10+[1]Sheet1!$L$10,IF(D723="S. americanus",F723*[1]Sheet1!$C$6+E723*[1]Sheet1!$D$6+[1]Sheet1!$L$6,IF(AND(OR(D723="T. domingensis",D723="T. latifolia"),E723&gt;0),F723*[1]Sheet1!$C$4+E723*[1]Sheet1!$D$4+H723*[1]Sheet1!$J$4+I723*[1]Sheet1!$K$4+[1]Sheet1!$L$4,IF(AND(OR(D723="T. domingensis",D723="T. latifolia"),J723&gt;0),J723*[1]Sheet1!$G$5+K723*[1]Sheet1!$H$5+L723*[1]Sheet1!$I$5+[1]Sheet1!$L$5,0)))))))</f>
        <v>5.0838930000000007</v>
      </c>
      <c r="P723">
        <f t="shared" si="39"/>
        <v>5.0838930000000007</v>
      </c>
      <c r="S723">
        <f t="shared" si="40"/>
        <v>0.47783583900000004</v>
      </c>
    </row>
    <row r="724" spans="1:19">
      <c r="A724" s="7">
        <v>42445</v>
      </c>
      <c r="B724" s="8" t="s">
        <v>24</v>
      </c>
      <c r="C724">
        <v>28</v>
      </c>
      <c r="D724" s="8" t="s">
        <v>63</v>
      </c>
      <c r="E724">
        <v>216</v>
      </c>
      <c r="F724">
        <v>1.47</v>
      </c>
      <c r="G724">
        <v>4</v>
      </c>
      <c r="N724">
        <f t="shared" si="38"/>
        <v>122.19591295799997</v>
      </c>
      <c r="O724">
        <f>IF(AND(OR(D724="S. acutus",D724="S. californicus",D724="S. tabernaemontani"),G724=0),E724*[1]Sheet1!$D$7+[1]Sheet1!$L$7,IF(AND(OR(D724="S. acutus",D724="S. tabernaemontani"),G724&gt;0),E724*[1]Sheet1!$D$8+N724*[1]Sheet1!$E$8,IF(AND(D724="S. californicus",G724&gt;0),E724*[1]Sheet1!$D$9+N724*[1]Sheet1!$E$9,IF(D724="S. maritimus",F724*[1]Sheet1!$C$10+E724*[1]Sheet1!$D$10+G724*[1]Sheet1!$F$10+[1]Sheet1!$L$10,IF(D724="S. americanus",F724*[1]Sheet1!$C$6+E724*[1]Sheet1!$D$6+[1]Sheet1!$L$6,IF(AND(OR(D724="T. domingensis",D724="T. latifolia"),E724&gt;0),F724*[1]Sheet1!$C$4+E724*[1]Sheet1!$D$4+H724*[1]Sheet1!$J$4+I724*[1]Sheet1!$K$4+[1]Sheet1!$L$4,IF(AND(OR(D724="T. domingensis",D724="T. latifolia"),J724&gt;0),J724*[1]Sheet1!$G$5+K724*[1]Sheet1!$H$5+L724*[1]Sheet1!$I$5+[1]Sheet1!$L$5,0)))))))</f>
        <v>12.252351973569262</v>
      </c>
      <c r="P724">
        <f t="shared" si="39"/>
        <v>12.252351973569262</v>
      </c>
      <c r="S724">
        <f t="shared" si="40"/>
        <v>1.6971654577499997</v>
      </c>
    </row>
    <row r="725" spans="1:19">
      <c r="A725" s="7">
        <v>42445</v>
      </c>
      <c r="B725" s="8" t="s">
        <v>24</v>
      </c>
      <c r="C725">
        <v>28</v>
      </c>
      <c r="D725" s="8" t="s">
        <v>63</v>
      </c>
      <c r="E725">
        <v>162</v>
      </c>
      <c r="F725">
        <v>0.95</v>
      </c>
      <c r="N725">
        <f t="shared" si="38"/>
        <v>38.276347162499995</v>
      </c>
      <c r="O725">
        <f>IF(AND(OR(D725="S. acutus",D725="S. californicus",D725="S. tabernaemontani"),G725=0),E725*[1]Sheet1!$D$7+[1]Sheet1!$L$7,IF(AND(OR(D725="S. acutus",D725="S. tabernaemontani"),G725&gt;0),E725*[1]Sheet1!$D$8+N725*[1]Sheet1!$E$8,IF(AND(D725="S. californicus",G725&gt;0),E725*[1]Sheet1!$D$9+N725*[1]Sheet1!$E$9,IF(D725="S. maritimus",F725*[1]Sheet1!$C$10+E725*[1]Sheet1!$D$10+G725*[1]Sheet1!$F$10+[1]Sheet1!$L$10,IF(D725="S. americanus",F725*[1]Sheet1!$C$6+E725*[1]Sheet1!$D$6+[1]Sheet1!$L$6,IF(AND(OR(D725="T. domingensis",D725="T. latifolia"),E725&gt;0),F725*[1]Sheet1!$C$4+E725*[1]Sheet1!$D$4+H725*[1]Sheet1!$J$4+I725*[1]Sheet1!$K$4+[1]Sheet1!$L$4,IF(AND(OR(D725="T. domingensis",D725="T. latifolia"),J725&gt;0),J725*[1]Sheet1!$G$5+K725*[1]Sheet1!$H$5+L725*[1]Sheet1!$I$5+[1]Sheet1!$L$5,0)))))))</f>
        <v>6.7664130000000009</v>
      </c>
      <c r="P725">
        <f t="shared" si="39"/>
        <v>6.7664130000000009</v>
      </c>
      <c r="S725">
        <f t="shared" si="40"/>
        <v>0.70882124375</v>
      </c>
    </row>
    <row r="726" spans="1:19">
      <c r="A726" s="7">
        <v>42445</v>
      </c>
      <c r="B726" s="8" t="s">
        <v>24</v>
      </c>
      <c r="C726">
        <v>28</v>
      </c>
      <c r="D726" s="8" t="s">
        <v>63</v>
      </c>
      <c r="E726">
        <v>113</v>
      </c>
      <c r="F726">
        <v>0.72</v>
      </c>
      <c r="N726">
        <f t="shared" si="38"/>
        <v>15.335985743999997</v>
      </c>
      <c r="O726">
        <f>IF(AND(OR(D726="S. acutus",D726="S. californicus",D726="S. tabernaemontani"),G726=0),E726*[1]Sheet1!$D$7+[1]Sheet1!$L$7,IF(AND(OR(D726="S. acutus",D726="S. tabernaemontani"),G726&gt;0),E726*[1]Sheet1!$D$8+N726*[1]Sheet1!$E$8,IF(AND(D726="S. californicus",G726&gt;0),E726*[1]Sheet1!$D$9+N726*[1]Sheet1!$E$9,IF(D726="S. maritimus",F726*[1]Sheet1!$C$10+E726*[1]Sheet1!$D$10+G726*[1]Sheet1!$F$10+[1]Sheet1!$L$10,IF(D726="S. americanus",F726*[1]Sheet1!$C$6+E726*[1]Sheet1!$D$6+[1]Sheet1!$L$6,IF(AND(OR(D726="T. domingensis",D726="T. latifolia"),E726&gt;0),F726*[1]Sheet1!$C$4+E726*[1]Sheet1!$D$4+H726*[1]Sheet1!$J$4+I726*[1]Sheet1!$K$4+[1]Sheet1!$L$4,IF(AND(OR(D726="T. domingensis",D726="T. latifolia"),J726&gt;0),J726*[1]Sheet1!$G$5+K726*[1]Sheet1!$H$5+L726*[1]Sheet1!$I$5+[1]Sheet1!$L$5,0)))))))</f>
        <v>3.3312680000000006</v>
      </c>
      <c r="P726">
        <f t="shared" si="39"/>
        <v>3.3312680000000006</v>
      </c>
      <c r="S726">
        <f t="shared" si="40"/>
        <v>0.40715006399999998</v>
      </c>
    </row>
    <row r="727" spans="1:19">
      <c r="A727" s="7">
        <v>42445</v>
      </c>
      <c r="B727" s="8" t="s">
        <v>24</v>
      </c>
      <c r="C727">
        <v>28</v>
      </c>
      <c r="D727" s="8" t="s">
        <v>63</v>
      </c>
      <c r="E727">
        <v>190</v>
      </c>
      <c r="F727">
        <v>1.23</v>
      </c>
      <c r="G727">
        <v>1</v>
      </c>
      <c r="N727">
        <f t="shared" si="38"/>
        <v>75.254432257499985</v>
      </c>
      <c r="O727">
        <f>IF(AND(OR(D727="S. acutus",D727="S. californicus",D727="S. tabernaemontani"),G727=0),E727*[1]Sheet1!$D$7+[1]Sheet1!$L$7,IF(AND(OR(D727="S. acutus",D727="S. tabernaemontani"),G727&gt;0),E727*[1]Sheet1!$D$8+N727*[1]Sheet1!$E$8,IF(AND(D727="S. californicus",G727&gt;0),E727*[1]Sheet1!$D$9+N727*[1]Sheet1!$E$9,IF(D727="S. maritimus",F727*[1]Sheet1!$C$10+E727*[1]Sheet1!$D$10+G727*[1]Sheet1!$F$10+[1]Sheet1!$L$10,IF(D727="S. americanus",F727*[1]Sheet1!$C$6+E727*[1]Sheet1!$D$6+[1]Sheet1!$L$6,IF(AND(OR(D727="T. domingensis",D727="T. latifolia"),E727&gt;0),F727*[1]Sheet1!$C$4+E727*[1]Sheet1!$D$4+H727*[1]Sheet1!$J$4+I727*[1]Sheet1!$K$4+[1]Sheet1!$L$4,IF(AND(OR(D727="T. domingensis",D727="T. latifolia"),J727&gt;0),J727*[1]Sheet1!$G$5+K727*[1]Sheet1!$H$5+L727*[1]Sheet1!$I$5+[1]Sheet1!$L$5,0)))))))</f>
        <v>9.7396094476805324</v>
      </c>
      <c r="P727">
        <f t="shared" si="39"/>
        <v>9.7396094476805324</v>
      </c>
      <c r="S727">
        <f t="shared" si="40"/>
        <v>1.1882278777499999</v>
      </c>
    </row>
    <row r="728" spans="1:19">
      <c r="A728" s="7">
        <v>42445</v>
      </c>
      <c r="B728" s="8" t="s">
        <v>24</v>
      </c>
      <c r="C728">
        <v>28</v>
      </c>
      <c r="D728" s="8" t="s">
        <v>63</v>
      </c>
      <c r="E728">
        <v>65</v>
      </c>
      <c r="F728">
        <v>0.8</v>
      </c>
      <c r="G728">
        <v>1</v>
      </c>
      <c r="N728">
        <f t="shared" si="38"/>
        <v>10.890845333333335</v>
      </c>
      <c r="O728">
        <f>IF(AND(OR(D728="S. acutus",D728="S. californicus",D728="S. tabernaemontani"),G728=0),E728*[1]Sheet1!$D$7+[1]Sheet1!$L$7,IF(AND(OR(D728="S. acutus",D728="S. tabernaemontani"),G728&gt;0),E728*[1]Sheet1!$D$8+N728*[1]Sheet1!$E$8,IF(AND(D728="S. californicus",G728&gt;0),E728*[1]Sheet1!$D$9+N728*[1]Sheet1!$E$9,IF(D728="S. maritimus",F728*[1]Sheet1!$C$10+E728*[1]Sheet1!$D$10+G728*[1]Sheet1!$F$10+[1]Sheet1!$L$10,IF(D728="S. americanus",F728*[1]Sheet1!$C$6+E728*[1]Sheet1!$D$6+[1]Sheet1!$L$6,IF(AND(OR(D728="T. domingensis",D728="T. latifolia"),E728&gt;0),F728*[1]Sheet1!$C$4+E728*[1]Sheet1!$D$4+H728*[1]Sheet1!$J$4+I728*[1]Sheet1!$K$4+[1]Sheet1!$L$4,IF(AND(OR(D728="T. domingensis",D728="T. latifolia"),J728&gt;0),J728*[1]Sheet1!$G$5+K728*[1]Sheet1!$H$5+L728*[1]Sheet1!$I$5+[1]Sheet1!$L$5,0)))))))</f>
        <v>2.8536565214941332</v>
      </c>
      <c r="P728">
        <f t="shared" si="39"/>
        <v>2.8536565214941332</v>
      </c>
      <c r="S728">
        <f t="shared" si="40"/>
        <v>0.50265440000000006</v>
      </c>
    </row>
    <row r="729" spans="1:19">
      <c r="A729" s="7">
        <v>42445</v>
      </c>
      <c r="B729" s="8" t="s">
        <v>24</v>
      </c>
      <c r="C729">
        <v>28</v>
      </c>
      <c r="D729" s="8" t="s">
        <v>63</v>
      </c>
      <c r="E729">
        <v>233</v>
      </c>
      <c r="F729">
        <v>1.21</v>
      </c>
      <c r="N729">
        <f t="shared" si="38"/>
        <v>89.30893726058332</v>
      </c>
      <c r="O729">
        <f>IF(AND(OR(D729="S. acutus",D729="S. californicus",D729="S. tabernaemontani"),G729=0),E729*[1]Sheet1!$D$7+[1]Sheet1!$L$7,IF(AND(OR(D729="S. acutus",D729="S. tabernaemontani"),G729&gt;0),E729*[1]Sheet1!$D$8+N729*[1]Sheet1!$E$8,IF(AND(D729="S. californicus",G729&gt;0),E729*[1]Sheet1!$D$9+N729*[1]Sheet1!$E$9,IF(D729="S. maritimus",F729*[1]Sheet1!$C$10+E729*[1]Sheet1!$D$10+G729*[1]Sheet1!$F$10+[1]Sheet1!$L$10,IF(D729="S. americanus",F729*[1]Sheet1!$C$6+E729*[1]Sheet1!$D$6+[1]Sheet1!$L$6,IF(AND(OR(D729="T. domingensis",D729="T. latifolia"),E729&gt;0),F729*[1]Sheet1!$C$4+E729*[1]Sheet1!$D$4+H729*[1]Sheet1!$J$4+I729*[1]Sheet1!$K$4+[1]Sheet1!$L$4,IF(AND(OR(D729="T. domingensis",D729="T. latifolia"),J729&gt;0),J729*[1]Sheet1!$G$5+K729*[1]Sheet1!$H$5+L729*[1]Sheet1!$I$5+[1]Sheet1!$L$5,0)))))))</f>
        <v>11.743868000000003</v>
      </c>
      <c r="P729">
        <f t="shared" si="39"/>
        <v>11.743868000000003</v>
      </c>
      <c r="S729">
        <f t="shared" si="40"/>
        <v>1.1499004797499999</v>
      </c>
    </row>
    <row r="730" spans="1:19">
      <c r="A730" s="7">
        <v>42445</v>
      </c>
      <c r="B730" s="8" t="s">
        <v>24</v>
      </c>
      <c r="C730">
        <v>28</v>
      </c>
      <c r="D730" s="8" t="s">
        <v>63</v>
      </c>
      <c r="E730">
        <v>120</v>
      </c>
      <c r="F730">
        <v>0.84</v>
      </c>
      <c r="N730">
        <f t="shared" ref="N730:N793" si="41">IF(OR(D730="S. acutus", D730="S. tabernaemontani", D730="S. californicus"),(1/3)*(3.14159)*((F730/2)^2)*E730,"NA")</f>
        <v>22.167059039999994</v>
      </c>
      <c r="O730">
        <f>IF(AND(OR(D730="S. acutus",D730="S. californicus",D730="S. tabernaemontani"),G730=0),E730*[1]Sheet1!$D$7+[1]Sheet1!$L$7,IF(AND(OR(D730="S. acutus",D730="S. tabernaemontani"),G730&gt;0),E730*[1]Sheet1!$D$8+N730*[1]Sheet1!$E$8,IF(AND(D730="S. californicus",G730&gt;0),E730*[1]Sheet1!$D$9+N730*[1]Sheet1!$E$9,IF(D730="S. maritimus",F730*[1]Sheet1!$C$10+E730*[1]Sheet1!$D$10+G730*[1]Sheet1!$F$10+[1]Sheet1!$L$10,IF(D730="S. americanus",F730*[1]Sheet1!$C$6+E730*[1]Sheet1!$D$6+[1]Sheet1!$L$6,IF(AND(OR(D730="T. domingensis",D730="T. latifolia"),E730&gt;0),F730*[1]Sheet1!$C$4+E730*[1]Sheet1!$D$4+H730*[1]Sheet1!$J$4+I730*[1]Sheet1!$K$4+[1]Sheet1!$L$4,IF(AND(OR(D730="T. domingensis",D730="T. latifolia"),J730&gt;0),J730*[1]Sheet1!$G$5+K730*[1]Sheet1!$H$5+L730*[1]Sheet1!$I$5+[1]Sheet1!$L$5,0)))))))</f>
        <v>3.8220029999999996</v>
      </c>
      <c r="P730">
        <f t="shared" si="39"/>
        <v>3.8220029999999996</v>
      </c>
      <c r="S730">
        <f t="shared" si="40"/>
        <v>0.55417647599999986</v>
      </c>
    </row>
    <row r="731" spans="1:19">
      <c r="A731" s="7">
        <v>42445</v>
      </c>
      <c r="B731" s="8" t="s">
        <v>24</v>
      </c>
      <c r="C731">
        <v>28</v>
      </c>
      <c r="D731" s="8" t="s">
        <v>63</v>
      </c>
      <c r="E731">
        <v>179</v>
      </c>
      <c r="F731">
        <v>0.61</v>
      </c>
      <c r="N731">
        <f t="shared" si="41"/>
        <v>17.437369115083332</v>
      </c>
      <c r="O731">
        <f>IF(AND(OR(D731="S. acutus",D731="S. californicus",D731="S. tabernaemontani"),G731=0),E731*[1]Sheet1!$D$7+[1]Sheet1!$L$7,IF(AND(OR(D731="S. acutus",D731="S. tabernaemontani"),G731&gt;0),E731*[1]Sheet1!$D$8+N731*[1]Sheet1!$E$8,IF(AND(D731="S. californicus",G731&gt;0),E731*[1]Sheet1!$D$9+N731*[1]Sheet1!$E$9,IF(D731="S. maritimus",F731*[1]Sheet1!$C$10+E731*[1]Sheet1!$D$10+G731*[1]Sheet1!$F$10+[1]Sheet1!$L$10,IF(D731="S. americanus",F731*[1]Sheet1!$C$6+E731*[1]Sheet1!$D$6+[1]Sheet1!$L$6,IF(AND(OR(D731="T. domingensis",D731="T. latifolia"),E731&gt;0),F731*[1]Sheet1!$C$4+E731*[1]Sheet1!$D$4+H731*[1]Sheet1!$J$4+I731*[1]Sheet1!$K$4+[1]Sheet1!$L$4,IF(AND(OR(D731="T. domingensis",D731="T. latifolia"),J731&gt;0),J731*[1]Sheet1!$G$5+K731*[1]Sheet1!$H$5+L731*[1]Sheet1!$I$5+[1]Sheet1!$L$5,0)))))))</f>
        <v>7.9581980000000003</v>
      </c>
      <c r="P731">
        <f t="shared" si="39"/>
        <v>7.9581980000000003</v>
      </c>
      <c r="S731">
        <f t="shared" si="40"/>
        <v>0.29224640974999999</v>
      </c>
    </row>
    <row r="732" spans="1:19">
      <c r="A732" s="7">
        <v>42445</v>
      </c>
      <c r="B732" s="8" t="s">
        <v>24</v>
      </c>
      <c r="C732">
        <v>28</v>
      </c>
      <c r="D732" s="8" t="s">
        <v>63</v>
      </c>
      <c r="E732">
        <v>99</v>
      </c>
      <c r="F732">
        <v>0.61</v>
      </c>
      <c r="N732">
        <f t="shared" si="41"/>
        <v>9.6441315217499977</v>
      </c>
      <c r="O732">
        <f>IF(AND(OR(D732="S. acutus",D732="S. californicus",D732="S. tabernaemontani"),G732=0),E732*[1]Sheet1!$D$7+[1]Sheet1!$L$7,IF(AND(OR(D732="S. acutus",D732="S. tabernaemontani"),G732&gt;0),E732*[1]Sheet1!$D$8+N732*[1]Sheet1!$E$8,IF(AND(D732="S. californicus",G732&gt;0),E732*[1]Sheet1!$D$9+N732*[1]Sheet1!$E$9,IF(D732="S. maritimus",F732*[1]Sheet1!$C$10+E732*[1]Sheet1!$D$10+G732*[1]Sheet1!$F$10+[1]Sheet1!$L$10,IF(D732="S. americanus",F732*[1]Sheet1!$C$6+E732*[1]Sheet1!$D$6+[1]Sheet1!$L$6,IF(AND(OR(D732="T. domingensis",D732="T. latifolia"),E732&gt;0),F732*[1]Sheet1!$C$4+E732*[1]Sheet1!$D$4+H732*[1]Sheet1!$J$4+I732*[1]Sheet1!$K$4+[1]Sheet1!$L$4,IF(AND(OR(D732="T. domingensis",D732="T. latifolia"),J732&gt;0),J732*[1]Sheet1!$G$5+K732*[1]Sheet1!$H$5+L732*[1]Sheet1!$I$5+[1]Sheet1!$L$5,0)))))))</f>
        <v>2.3497979999999998</v>
      </c>
      <c r="P732">
        <f t="shared" si="39"/>
        <v>2.3497979999999998</v>
      </c>
      <c r="S732">
        <f t="shared" si="40"/>
        <v>0.29224640974999999</v>
      </c>
    </row>
    <row r="733" spans="1:19">
      <c r="A733" s="7">
        <v>42445</v>
      </c>
      <c r="B733" s="8" t="s">
        <v>24</v>
      </c>
      <c r="C733">
        <v>28</v>
      </c>
      <c r="D733" s="8" t="s">
        <v>63</v>
      </c>
      <c r="E733">
        <v>145</v>
      </c>
      <c r="F733">
        <v>0.75</v>
      </c>
      <c r="G733">
        <v>1</v>
      </c>
      <c r="N733">
        <f t="shared" si="41"/>
        <v>21.352994531249998</v>
      </c>
      <c r="O733">
        <f>IF(AND(OR(D733="S. acutus",D733="S. californicus",D733="S. tabernaemontani"),G733=0),E733*[1]Sheet1!$D$7+[1]Sheet1!$L$7,IF(AND(OR(D733="S. acutus",D733="S. tabernaemontani"),G733&gt;0),E733*[1]Sheet1!$D$8+N733*[1]Sheet1!$E$8,IF(AND(D733="S. californicus",G733&gt;0),E733*[1]Sheet1!$D$9+N733*[1]Sheet1!$E$9,IF(D733="S. maritimus",F733*[1]Sheet1!$C$10+E733*[1]Sheet1!$D$10+G733*[1]Sheet1!$F$10+[1]Sheet1!$L$10,IF(D733="S. americanus",F733*[1]Sheet1!$C$6+E733*[1]Sheet1!$D$6+[1]Sheet1!$L$6,IF(AND(OR(D733="T. domingensis",D733="T. latifolia"),E733&gt;0),F733*[1]Sheet1!$C$4+E733*[1]Sheet1!$D$4+H733*[1]Sheet1!$J$4+I733*[1]Sheet1!$K$4+[1]Sheet1!$L$4,IF(AND(OR(D733="T. domingensis",D733="T. latifolia"),J733&gt;0),J733*[1]Sheet1!$G$5+K733*[1]Sheet1!$H$5+L733*[1]Sheet1!$I$5+[1]Sheet1!$L$5,0)))))))</f>
        <v>6.271115141601328</v>
      </c>
      <c r="P733">
        <f t="shared" si="39"/>
        <v>6.271115141601328</v>
      </c>
      <c r="S733">
        <f t="shared" si="40"/>
        <v>0.44178609375</v>
      </c>
    </row>
    <row r="734" spans="1:19">
      <c r="A734" s="7">
        <v>42445</v>
      </c>
      <c r="B734" s="8" t="s">
        <v>24</v>
      </c>
      <c r="C734">
        <v>28</v>
      </c>
      <c r="D734" s="8" t="s">
        <v>63</v>
      </c>
      <c r="E734">
        <v>195</v>
      </c>
      <c r="F734">
        <v>1.05</v>
      </c>
      <c r="N734">
        <f t="shared" si="41"/>
        <v>56.283548343749999</v>
      </c>
      <c r="O734">
        <f>IF(AND(OR(D734="S. acutus",D734="S. californicus",D734="S. tabernaemontani"),G734=0),E734*[1]Sheet1!$D$7+[1]Sheet1!$L$7,IF(AND(OR(D734="S. acutus",D734="S. tabernaemontani"),G734&gt;0),E734*[1]Sheet1!$D$8+N734*[1]Sheet1!$E$8,IF(AND(D734="S. californicus",G734&gt;0),E734*[1]Sheet1!$D$9+N734*[1]Sheet1!$E$9,IF(D734="S. maritimus",F734*[1]Sheet1!$C$10+E734*[1]Sheet1!$D$10+G734*[1]Sheet1!$F$10+[1]Sheet1!$L$10,IF(D734="S. americanus",F734*[1]Sheet1!$C$6+E734*[1]Sheet1!$D$6+[1]Sheet1!$L$6,IF(AND(OR(D734="T. domingensis",D734="T. latifolia"),E734&gt;0),F734*[1]Sheet1!$C$4+E734*[1]Sheet1!$D$4+H734*[1]Sheet1!$J$4+I734*[1]Sheet1!$K$4+[1]Sheet1!$L$4,IF(AND(OR(D734="T. domingensis",D734="T. latifolia"),J734&gt;0),J734*[1]Sheet1!$G$5+K734*[1]Sheet1!$H$5+L734*[1]Sheet1!$I$5+[1]Sheet1!$L$5,0)))))))</f>
        <v>9.0798780000000008</v>
      </c>
      <c r="P734">
        <f t="shared" si="39"/>
        <v>9.0798780000000008</v>
      </c>
      <c r="S734">
        <f t="shared" si="40"/>
        <v>0.86590074375000003</v>
      </c>
    </row>
    <row r="735" spans="1:19">
      <c r="A735" s="7">
        <v>42445</v>
      </c>
      <c r="B735" s="8" t="s">
        <v>24</v>
      </c>
      <c r="C735">
        <v>28</v>
      </c>
      <c r="D735" s="8" t="s">
        <v>63</v>
      </c>
      <c r="E735">
        <v>204</v>
      </c>
      <c r="F735">
        <v>1.3</v>
      </c>
      <c r="N735">
        <f t="shared" si="41"/>
        <v>90.257880700000001</v>
      </c>
      <c r="O735">
        <f>IF(AND(OR(D735="S. acutus",D735="S. californicus",D735="S. tabernaemontani"),G735=0),E735*[1]Sheet1!$D$7+[1]Sheet1!$L$7,IF(AND(OR(D735="S. acutus",D735="S. tabernaemontani"),G735&gt;0),E735*[1]Sheet1!$D$8+N735*[1]Sheet1!$E$8,IF(AND(D735="S. californicus",G735&gt;0),E735*[1]Sheet1!$D$9+N735*[1]Sheet1!$E$9,IF(D735="S. maritimus",F735*[1]Sheet1!$C$10+E735*[1]Sheet1!$D$10+G735*[1]Sheet1!$F$10+[1]Sheet1!$L$10,IF(D735="S. americanus",F735*[1]Sheet1!$C$6+E735*[1]Sheet1!$D$6+[1]Sheet1!$L$6,IF(AND(OR(D735="T. domingensis",D735="T. latifolia"),E735&gt;0),F735*[1]Sheet1!$C$4+E735*[1]Sheet1!$D$4+H735*[1]Sheet1!$J$4+I735*[1]Sheet1!$K$4+[1]Sheet1!$L$4,IF(AND(OR(D735="T. domingensis",D735="T. latifolia"),J735&gt;0),J735*[1]Sheet1!$G$5+K735*[1]Sheet1!$H$5+L735*[1]Sheet1!$I$5+[1]Sheet1!$L$5,0)))))))</f>
        <v>9.7108230000000013</v>
      </c>
      <c r="P735">
        <f t="shared" si="39"/>
        <v>9.7108230000000013</v>
      </c>
      <c r="S735">
        <f t="shared" si="40"/>
        <v>1.3273217750000001</v>
      </c>
    </row>
    <row r="736" spans="1:19">
      <c r="A736" s="7">
        <v>42445</v>
      </c>
      <c r="B736" s="8" t="s">
        <v>24</v>
      </c>
      <c r="C736">
        <v>28</v>
      </c>
      <c r="D736" s="8" t="s">
        <v>63</v>
      </c>
      <c r="E736">
        <v>225</v>
      </c>
      <c r="F736">
        <v>1.2</v>
      </c>
      <c r="N736">
        <f t="shared" si="41"/>
        <v>84.822929999999985</v>
      </c>
      <c r="O736">
        <f>IF(AND(OR(D736="S. acutus",D736="S. californicus",D736="S. tabernaemontani"),G736=0),E736*[1]Sheet1!$D$7+[1]Sheet1!$L$7,IF(AND(OR(D736="S. acutus",D736="S. tabernaemontani"),G736&gt;0),E736*[1]Sheet1!$D$8+N736*[1]Sheet1!$E$8,IF(AND(D736="S. californicus",G736&gt;0),E736*[1]Sheet1!$D$9+N736*[1]Sheet1!$E$9,IF(D736="S. maritimus",F736*[1]Sheet1!$C$10+E736*[1]Sheet1!$D$10+G736*[1]Sheet1!$F$10+[1]Sheet1!$L$10,IF(D736="S. americanus",F736*[1]Sheet1!$C$6+E736*[1]Sheet1!$D$6+[1]Sheet1!$L$6,IF(AND(OR(D736="T. domingensis",D736="T. latifolia"),E736&gt;0),F736*[1]Sheet1!$C$4+E736*[1]Sheet1!$D$4+H736*[1]Sheet1!$J$4+I736*[1]Sheet1!$K$4+[1]Sheet1!$L$4,IF(AND(OR(D736="T. domingensis",D736="T. latifolia"),J736&gt;0),J736*[1]Sheet1!$G$5+K736*[1]Sheet1!$H$5+L736*[1]Sheet1!$I$5+[1]Sheet1!$L$5,0)))))))</f>
        <v>11.183028</v>
      </c>
      <c r="P736">
        <f t="shared" si="39"/>
        <v>11.183028</v>
      </c>
      <c r="S736">
        <f t="shared" si="40"/>
        <v>1.1309723999999999</v>
      </c>
    </row>
    <row r="737" spans="1:19">
      <c r="A737" s="7">
        <v>42445</v>
      </c>
      <c r="B737" s="8" t="s">
        <v>24</v>
      </c>
      <c r="C737">
        <v>28</v>
      </c>
      <c r="D737" s="8" t="s">
        <v>63</v>
      </c>
      <c r="E737">
        <v>138</v>
      </c>
      <c r="F737">
        <v>0.86</v>
      </c>
      <c r="N737">
        <f t="shared" si="41"/>
        <v>26.720479585999993</v>
      </c>
      <c r="O737">
        <f>IF(AND(OR(D737="S. acutus",D737="S. californicus",D737="S. tabernaemontani"),G737=0),E737*[1]Sheet1!$D$7+[1]Sheet1!$L$7,IF(AND(OR(D737="S. acutus",D737="S. tabernaemontani"),G737&gt;0),E737*[1]Sheet1!$D$8+N737*[1]Sheet1!$E$8,IF(AND(D737="S. californicus",G737&gt;0),E737*[1]Sheet1!$D$9+N737*[1]Sheet1!$E$9,IF(D737="S. maritimus",F737*[1]Sheet1!$C$10+E737*[1]Sheet1!$D$10+G737*[1]Sheet1!$F$10+[1]Sheet1!$L$10,IF(D737="S. americanus",F737*[1]Sheet1!$C$6+E737*[1]Sheet1!$D$6+[1]Sheet1!$L$6,IF(AND(OR(D737="T. domingensis",D737="T. latifolia"),E737&gt;0),F737*[1]Sheet1!$C$4+E737*[1]Sheet1!$D$4+H737*[1]Sheet1!$J$4+I737*[1]Sheet1!$K$4+[1]Sheet1!$L$4,IF(AND(OR(D737="T. domingensis",D737="T. latifolia"),J737&gt;0),J737*[1]Sheet1!$G$5+K737*[1]Sheet1!$H$5+L737*[1]Sheet1!$I$5+[1]Sheet1!$L$5,0)))))))</f>
        <v>5.0838930000000007</v>
      </c>
      <c r="P737">
        <f t="shared" si="39"/>
        <v>5.0838930000000007</v>
      </c>
      <c r="S737">
        <f t="shared" si="40"/>
        <v>0.58087999099999987</v>
      </c>
    </row>
    <row r="738" spans="1:19">
      <c r="A738" s="7">
        <v>42445</v>
      </c>
      <c r="B738" s="8" t="s">
        <v>24</v>
      </c>
      <c r="C738">
        <v>28</v>
      </c>
      <c r="D738" s="8" t="s">
        <v>63</v>
      </c>
      <c r="E738">
        <v>229</v>
      </c>
      <c r="F738">
        <v>1.34</v>
      </c>
      <c r="G738">
        <v>4</v>
      </c>
      <c r="N738">
        <f t="shared" si="41"/>
        <v>107.64982765966667</v>
      </c>
      <c r="O738">
        <f>IF(AND(OR(D738="S. acutus",D738="S. californicus",D738="S. tabernaemontani"),G738=0),E738*[1]Sheet1!$D$7+[1]Sheet1!$L$7,IF(AND(OR(D738="S. acutus",D738="S. tabernaemontani"),G738&gt;0),E738*[1]Sheet1!$D$8+N738*[1]Sheet1!$E$8,IF(AND(D738="S. californicus",G738&gt;0),E738*[1]Sheet1!$D$9+N738*[1]Sheet1!$E$9,IF(D738="S. maritimus",F738*[1]Sheet1!$C$10+E738*[1]Sheet1!$D$10+G738*[1]Sheet1!$F$10+[1]Sheet1!$L$10,IF(D738="S. americanus",F738*[1]Sheet1!$C$6+E738*[1]Sheet1!$D$6+[1]Sheet1!$L$6,IF(AND(OR(D738="T. domingensis",D738="T. latifolia"),E738&gt;0),F738*[1]Sheet1!$C$4+E738*[1]Sheet1!$D$4+H738*[1]Sheet1!$J$4+I738*[1]Sheet1!$K$4+[1]Sheet1!$L$4,IF(AND(OR(D738="T. domingensis",D738="T. latifolia"),J738&gt;0),J738*[1]Sheet1!$G$5+K738*[1]Sheet1!$H$5+L738*[1]Sheet1!$I$5+[1]Sheet1!$L$5,0)))))))</f>
        <v>12.28454723548616</v>
      </c>
      <c r="P738">
        <f t="shared" si="39"/>
        <v>12.28454723548616</v>
      </c>
      <c r="S738">
        <f t="shared" si="40"/>
        <v>1.4102597510000001</v>
      </c>
    </row>
    <row r="739" spans="1:19">
      <c r="A739" s="7">
        <v>42445</v>
      </c>
      <c r="B739" s="8" t="s">
        <v>24</v>
      </c>
      <c r="C739">
        <v>28</v>
      </c>
      <c r="D739" s="8" t="s">
        <v>63</v>
      </c>
      <c r="E739">
        <v>199</v>
      </c>
      <c r="F739">
        <v>1.06</v>
      </c>
      <c r="N739">
        <f t="shared" si="41"/>
        <v>58.537351189666673</v>
      </c>
      <c r="O739">
        <f>IF(AND(OR(D739="S. acutus",D739="S. californicus",D739="S. tabernaemontani"),G739=0),E739*[1]Sheet1!$D$7+[1]Sheet1!$L$7,IF(AND(OR(D739="S. acutus",D739="S. tabernaemontani"),G739&gt;0),E739*[1]Sheet1!$D$8+N739*[1]Sheet1!$E$8,IF(AND(D739="S. californicus",G739&gt;0),E739*[1]Sheet1!$D$9+N739*[1]Sheet1!$E$9,IF(D739="S. maritimus",F739*[1]Sheet1!$C$10+E739*[1]Sheet1!$D$10+G739*[1]Sheet1!$F$10+[1]Sheet1!$L$10,IF(D739="S. americanus",F739*[1]Sheet1!$C$6+E739*[1]Sheet1!$D$6+[1]Sheet1!$L$6,IF(AND(OR(D739="T. domingensis",D739="T. latifolia"),E739&gt;0),F739*[1]Sheet1!$C$4+E739*[1]Sheet1!$D$4+H739*[1]Sheet1!$J$4+I739*[1]Sheet1!$K$4+[1]Sheet1!$L$4,IF(AND(OR(D739="T. domingensis",D739="T. latifolia"),J739&gt;0),J739*[1]Sheet1!$G$5+K739*[1]Sheet1!$H$5+L739*[1]Sheet1!$I$5+[1]Sheet1!$L$5,0)))))))</f>
        <v>9.3602980000000002</v>
      </c>
      <c r="P739">
        <f t="shared" si="39"/>
        <v>9.3602980000000002</v>
      </c>
      <c r="S739">
        <f t="shared" si="40"/>
        <v>0.88247263100000006</v>
      </c>
    </row>
    <row r="740" spans="1:19">
      <c r="A740" s="7">
        <v>42445</v>
      </c>
      <c r="B740" s="8" t="s">
        <v>24</v>
      </c>
      <c r="C740">
        <v>28</v>
      </c>
      <c r="D740" s="8" t="s">
        <v>63</v>
      </c>
      <c r="E740">
        <v>144</v>
      </c>
      <c r="F740">
        <v>0.9</v>
      </c>
      <c r="G740">
        <v>1</v>
      </c>
      <c r="N740">
        <f t="shared" si="41"/>
        <v>30.536254799999998</v>
      </c>
      <c r="O740">
        <f>IF(AND(OR(D740="S. acutus",D740="S. californicus",D740="S. tabernaemontani"),G740=0),E740*[1]Sheet1!$D$7+[1]Sheet1!$L$7,IF(AND(OR(D740="S. acutus",D740="S. tabernaemontani"),G740&gt;0),E740*[1]Sheet1!$D$8+N740*[1]Sheet1!$E$8,IF(AND(D740="S. californicus",G740&gt;0),E740*[1]Sheet1!$D$9+N740*[1]Sheet1!$E$9,IF(D740="S. maritimus",F740*[1]Sheet1!$C$10+E740*[1]Sheet1!$D$10+G740*[1]Sheet1!$F$10+[1]Sheet1!$L$10,IF(D740="S. americanus",F740*[1]Sheet1!$C$6+E740*[1]Sheet1!$D$6+[1]Sheet1!$L$6,IF(AND(OR(D740="T. domingensis",D740="T. latifolia"),E740&gt;0),F740*[1]Sheet1!$C$4+E740*[1]Sheet1!$D$4+H740*[1]Sheet1!$J$4+I740*[1]Sheet1!$K$4+[1]Sheet1!$L$4,IF(AND(OR(D740="T. domingensis",D740="T. latifolia"),J740&gt;0),J740*[1]Sheet1!$G$5+K740*[1]Sheet1!$H$5+L740*[1]Sheet1!$I$5+[1]Sheet1!$L$5,0)))))))</f>
        <v>6.5283172871893207</v>
      </c>
      <c r="P740">
        <f t="shared" si="39"/>
        <v>6.5283172871893207</v>
      </c>
      <c r="S740">
        <f t="shared" si="40"/>
        <v>0.636171975</v>
      </c>
    </row>
    <row r="741" spans="1:19">
      <c r="A741" s="7">
        <v>42445</v>
      </c>
      <c r="B741" s="8" t="s">
        <v>24</v>
      </c>
      <c r="C741">
        <v>6</v>
      </c>
      <c r="D741" s="8" t="s">
        <v>65</v>
      </c>
      <c r="E741">
        <v>74</v>
      </c>
      <c r="F741">
        <v>0.68</v>
      </c>
      <c r="N741">
        <f t="shared" si="41"/>
        <v>8.9581391653333338</v>
      </c>
      <c r="O741">
        <f>IF(AND(OR(D741="S. acutus",D741="S. californicus",D741="S. tabernaemontani"),G741=0),E741*[1]Sheet1!$D$7+[1]Sheet1!$L$7,IF(AND(OR(D741="S. acutus",D741="S. tabernaemontani"),G741&gt;0),E741*[1]Sheet1!$D$8+N741*[1]Sheet1!$E$8,IF(AND(D741="S. californicus",G741&gt;0),E741*[1]Sheet1!$D$9+N741*[1]Sheet1!$E$9,IF(D741="S. maritimus",F741*[1]Sheet1!$C$10+E741*[1]Sheet1!$D$10+G741*[1]Sheet1!$F$10+[1]Sheet1!$L$10,IF(D741="S. americanus",F741*[1]Sheet1!$C$6+E741*[1]Sheet1!$D$6+[1]Sheet1!$L$6,IF(AND(OR(D741="T. domingensis",D741="T. latifolia"),E741&gt;0),F741*[1]Sheet1!$C$4+E741*[1]Sheet1!$D$4+H741*[1]Sheet1!$J$4+I741*[1]Sheet1!$K$4+[1]Sheet1!$L$4,IF(AND(OR(D741="T. domingensis",D741="T. latifolia"),J741&gt;0),J741*[1]Sheet1!$G$5+K741*[1]Sheet1!$H$5+L741*[1]Sheet1!$I$5+[1]Sheet1!$L$5,0)))))))</f>
        <v>0.59717300000000062</v>
      </c>
      <c r="P741">
        <f t="shared" si="39"/>
        <v>0.59717300000000062</v>
      </c>
      <c r="S741">
        <f t="shared" si="40"/>
        <v>0.36316780400000004</v>
      </c>
    </row>
    <row r="742" spans="1:19">
      <c r="A742" s="7">
        <v>42445</v>
      </c>
      <c r="B742" s="8" t="s">
        <v>24</v>
      </c>
      <c r="C742">
        <v>6</v>
      </c>
      <c r="D742" s="8" t="s">
        <v>65</v>
      </c>
      <c r="E742">
        <v>141</v>
      </c>
      <c r="F742">
        <v>0.92</v>
      </c>
      <c r="G742">
        <v>5</v>
      </c>
      <c r="N742">
        <f t="shared" si="41"/>
        <v>31.243740868</v>
      </c>
      <c r="O742">
        <f>IF(AND(OR(D742="S. acutus",D742="S. californicus",D742="S. tabernaemontani"),G742=0),E742*[1]Sheet1!$D$7+[1]Sheet1!$L$7,IF(AND(OR(D742="S. acutus",D742="S. tabernaemontani"),G742&gt;0),E742*[1]Sheet1!$D$8+N742*[1]Sheet1!$E$8,IF(AND(D742="S. californicus",G742&gt;0),E742*[1]Sheet1!$D$9+N742*[1]Sheet1!$E$9,IF(D742="S. maritimus",F742*[1]Sheet1!$C$10+E742*[1]Sheet1!$D$10+G742*[1]Sheet1!$F$10+[1]Sheet1!$L$10,IF(D742="S. americanus",F742*[1]Sheet1!$C$6+E742*[1]Sheet1!$D$6+[1]Sheet1!$L$6,IF(AND(OR(D742="T. domingensis",D742="T. latifolia"),E742&gt;0),F742*[1]Sheet1!$C$4+E742*[1]Sheet1!$D$4+H742*[1]Sheet1!$J$4+I742*[1]Sheet1!$K$4+[1]Sheet1!$L$4,IF(AND(OR(D742="T. domingensis",D742="T. latifolia"),J742&gt;0),J742*[1]Sheet1!$G$5+K742*[1]Sheet1!$H$5+L742*[1]Sheet1!$I$5+[1]Sheet1!$L$5,0)))))))</f>
        <v>5.2555491108210326</v>
      </c>
      <c r="P742">
        <f t="shared" si="39"/>
        <v>5.2555491108210326</v>
      </c>
      <c r="S742">
        <f t="shared" si="40"/>
        <v>0.66476044400000001</v>
      </c>
    </row>
    <row r="743" spans="1:19">
      <c r="A743" s="7">
        <v>42445</v>
      </c>
      <c r="B743" s="8" t="s">
        <v>24</v>
      </c>
      <c r="C743">
        <v>6</v>
      </c>
      <c r="D743" s="8" t="s">
        <v>65</v>
      </c>
      <c r="E743">
        <v>70</v>
      </c>
      <c r="F743">
        <v>0.56999999999999995</v>
      </c>
      <c r="N743">
        <f t="shared" si="41"/>
        <v>5.9540984474999981</v>
      </c>
      <c r="O743">
        <f>IF(AND(OR(D743="S. acutus",D743="S. californicus",D743="S. tabernaemontani"),G743=0),E743*[1]Sheet1!$D$7+[1]Sheet1!$L$7,IF(AND(OR(D743="S. acutus",D743="S. tabernaemontani"),G743&gt;0),E743*[1]Sheet1!$D$8+N743*[1]Sheet1!$E$8,IF(AND(D743="S. californicus",G743&gt;0),E743*[1]Sheet1!$D$9+N743*[1]Sheet1!$E$9,IF(D743="S. maritimus",F743*[1]Sheet1!$C$10+E743*[1]Sheet1!$D$10+G743*[1]Sheet1!$F$10+[1]Sheet1!$L$10,IF(D743="S. americanus",F743*[1]Sheet1!$C$6+E743*[1]Sheet1!$D$6+[1]Sheet1!$L$6,IF(AND(OR(D743="T. domingensis",D743="T. latifolia"),E743&gt;0),F743*[1]Sheet1!$C$4+E743*[1]Sheet1!$D$4+H743*[1]Sheet1!$J$4+I743*[1]Sheet1!$K$4+[1]Sheet1!$L$4,IF(AND(OR(D743="T. domingensis",D743="T. latifolia"),J743&gt;0),J743*[1]Sheet1!$G$5+K743*[1]Sheet1!$H$5+L743*[1]Sheet1!$I$5+[1]Sheet1!$L$5,0)))))))</f>
        <v>0.31675300000000028</v>
      </c>
      <c r="P743">
        <f t="shared" si="39"/>
        <v>0.31675300000000028</v>
      </c>
      <c r="S743">
        <f t="shared" si="40"/>
        <v>0.25517564774999996</v>
      </c>
    </row>
    <row r="744" spans="1:19">
      <c r="A744" s="7">
        <v>42445</v>
      </c>
      <c r="B744" s="8" t="s">
        <v>24</v>
      </c>
      <c r="C744">
        <v>6</v>
      </c>
      <c r="D744" s="8" t="s">
        <v>65</v>
      </c>
      <c r="E744">
        <v>51</v>
      </c>
      <c r="F744">
        <v>0.72</v>
      </c>
      <c r="N744">
        <f t="shared" si="41"/>
        <v>6.9215510879999984</v>
      </c>
      <c r="O744">
        <f>IF(AND(OR(D744="S. acutus",D744="S. californicus",D744="S. tabernaemontani"),G744=0),E744*[1]Sheet1!$D$7+[1]Sheet1!$L$7,IF(AND(OR(D744="S. acutus",D744="S. tabernaemontani"),G744&gt;0),E744*[1]Sheet1!$D$8+N744*[1]Sheet1!$E$8,IF(AND(D744="S. californicus",G744&gt;0),E744*[1]Sheet1!$D$9+N744*[1]Sheet1!$E$9,IF(D744="S. maritimus",F744*[1]Sheet1!$C$10+E744*[1]Sheet1!$D$10+G744*[1]Sheet1!$F$10+[1]Sheet1!$L$10,IF(D744="S. americanus",F744*[1]Sheet1!$C$6+E744*[1]Sheet1!$D$6+[1]Sheet1!$L$6,IF(AND(OR(D744="T. domingensis",D744="T. latifolia"),E744&gt;0),F744*[1]Sheet1!$C$4+E744*[1]Sheet1!$D$4+H744*[1]Sheet1!$J$4+I744*[1]Sheet1!$K$4+[1]Sheet1!$L$4,IF(AND(OR(D744="T. domingensis",D744="T. latifolia"),J744&gt;0),J744*[1]Sheet1!$G$5+K744*[1]Sheet1!$H$5+L744*[1]Sheet1!$I$5+[1]Sheet1!$L$5,0)))))))</f>
        <v>-1.0152419999999998</v>
      </c>
      <c r="P744" t="str">
        <f t="shared" si="39"/>
        <v>0</v>
      </c>
      <c r="S744">
        <f t="shared" si="40"/>
        <v>0.40715006399999998</v>
      </c>
    </row>
    <row r="745" spans="1:19">
      <c r="A745" s="7">
        <v>42445</v>
      </c>
      <c r="B745" s="8" t="s">
        <v>24</v>
      </c>
      <c r="C745">
        <v>6</v>
      </c>
      <c r="D745" s="8" t="s">
        <v>65</v>
      </c>
      <c r="E745">
        <v>106</v>
      </c>
      <c r="F745">
        <v>0.64</v>
      </c>
      <c r="G745">
        <v>7</v>
      </c>
      <c r="N745">
        <f t="shared" si="41"/>
        <v>11.366691498666667</v>
      </c>
      <c r="O745">
        <f>IF(AND(OR(D745="S. acutus",D745="S. californicus",D745="S. tabernaemontani"),G745=0),E745*[1]Sheet1!$D$7+[1]Sheet1!$L$7,IF(AND(OR(D745="S. acutus",D745="S. tabernaemontani"),G745&gt;0),E745*[1]Sheet1!$D$8+N745*[1]Sheet1!$E$8,IF(AND(D745="S. californicus",G745&gt;0),E745*[1]Sheet1!$D$9+N745*[1]Sheet1!$E$9,IF(D745="S. maritimus",F745*[1]Sheet1!$C$10+E745*[1]Sheet1!$D$10+G745*[1]Sheet1!$F$10+[1]Sheet1!$L$10,IF(D745="S. americanus",F745*[1]Sheet1!$C$6+E745*[1]Sheet1!$D$6+[1]Sheet1!$L$6,IF(AND(OR(D745="T. domingensis",D745="T. latifolia"),E745&gt;0),F745*[1]Sheet1!$C$4+E745*[1]Sheet1!$D$4+H745*[1]Sheet1!$J$4+I745*[1]Sheet1!$K$4+[1]Sheet1!$L$4,IF(AND(OR(D745="T. domingensis",D745="T. latifolia"),J745&gt;0),J745*[1]Sheet1!$G$5+K745*[1]Sheet1!$H$5+L745*[1]Sheet1!$I$5+[1]Sheet1!$L$5,0)))))))</f>
        <v>3.2518841654941015</v>
      </c>
      <c r="P745">
        <f t="shared" si="39"/>
        <v>3.2518841654941015</v>
      </c>
      <c r="S745">
        <f t="shared" si="40"/>
        <v>0.321698816</v>
      </c>
    </row>
    <row r="746" spans="1:19">
      <c r="A746" s="7">
        <v>42445</v>
      </c>
      <c r="B746" s="8" t="s">
        <v>24</v>
      </c>
      <c r="C746">
        <v>6</v>
      </c>
      <c r="D746" s="8" t="s">
        <v>65</v>
      </c>
      <c r="E746">
        <v>142</v>
      </c>
      <c r="F746">
        <v>0.93</v>
      </c>
      <c r="N746">
        <f t="shared" si="41"/>
        <v>32.153074093500003</v>
      </c>
      <c r="O746">
        <f>IF(AND(OR(D746="S. acutus",D746="S. californicus",D746="S. tabernaemontani"),G746=0),E746*[1]Sheet1!$D$7+[1]Sheet1!$L$7,IF(AND(OR(D746="S. acutus",D746="S. tabernaemontani"),G746&gt;0),E746*[1]Sheet1!$D$8+N746*[1]Sheet1!$E$8,IF(AND(D746="S. californicus",G746&gt;0),E746*[1]Sheet1!$D$9+N746*[1]Sheet1!$E$9,IF(D746="S. maritimus",F746*[1]Sheet1!$C$10+E746*[1]Sheet1!$D$10+G746*[1]Sheet1!$F$10+[1]Sheet1!$L$10,IF(D746="S. americanus",F746*[1]Sheet1!$C$6+E746*[1]Sheet1!$D$6+[1]Sheet1!$L$6,IF(AND(OR(D746="T. domingensis",D746="T. latifolia"),E746&gt;0),F746*[1]Sheet1!$C$4+E746*[1]Sheet1!$D$4+H746*[1]Sheet1!$J$4+I746*[1]Sheet1!$K$4+[1]Sheet1!$L$4,IF(AND(OR(D746="T. domingensis",D746="T. latifolia"),J746&gt;0),J746*[1]Sheet1!$G$5+K746*[1]Sheet1!$H$5+L746*[1]Sheet1!$I$5+[1]Sheet1!$L$5,0)))))))</f>
        <v>5.3643130000000001</v>
      </c>
      <c r="P746">
        <f t="shared" si="39"/>
        <v>5.3643130000000001</v>
      </c>
      <c r="S746">
        <f t="shared" si="40"/>
        <v>0.67929029775000005</v>
      </c>
    </row>
    <row r="747" spans="1:19">
      <c r="A747" s="7">
        <v>42445</v>
      </c>
      <c r="B747" s="8" t="s">
        <v>24</v>
      </c>
      <c r="C747">
        <v>6</v>
      </c>
      <c r="D747" s="8" t="s">
        <v>65</v>
      </c>
      <c r="E747">
        <v>102</v>
      </c>
      <c r="F747">
        <v>0.67</v>
      </c>
      <c r="N747">
        <f t="shared" si="41"/>
        <v>11.9872078835</v>
      </c>
      <c r="O747">
        <f>IF(AND(OR(D747="S. acutus",D747="S. californicus",D747="S. tabernaemontani"),G747=0),E747*[1]Sheet1!$D$7+[1]Sheet1!$L$7,IF(AND(OR(D747="S. acutus",D747="S. tabernaemontani"),G747&gt;0),E747*[1]Sheet1!$D$8+N747*[1]Sheet1!$E$8,IF(AND(D747="S. californicus",G747&gt;0),E747*[1]Sheet1!$D$9+N747*[1]Sheet1!$E$9,IF(D747="S. maritimus",F747*[1]Sheet1!$C$10+E747*[1]Sheet1!$D$10+G747*[1]Sheet1!$F$10+[1]Sheet1!$L$10,IF(D747="S. americanus",F747*[1]Sheet1!$C$6+E747*[1]Sheet1!$D$6+[1]Sheet1!$L$6,IF(AND(OR(D747="T. domingensis",D747="T. latifolia"),E747&gt;0),F747*[1]Sheet1!$C$4+E747*[1]Sheet1!$D$4+H747*[1]Sheet1!$J$4+I747*[1]Sheet1!$K$4+[1]Sheet1!$L$4,IF(AND(OR(D747="T. domingensis",D747="T. latifolia"),J747&gt;0),J747*[1]Sheet1!$G$5+K747*[1]Sheet1!$H$5+L747*[1]Sheet1!$I$5+[1]Sheet1!$L$5,0)))))))</f>
        <v>2.5601130000000003</v>
      </c>
      <c r="P747">
        <f t="shared" si="39"/>
        <v>2.5601130000000003</v>
      </c>
      <c r="S747">
        <f t="shared" si="40"/>
        <v>0.35256493775000003</v>
      </c>
    </row>
    <row r="748" spans="1:19">
      <c r="A748" s="7">
        <v>42445</v>
      </c>
      <c r="B748" s="8" t="s">
        <v>24</v>
      </c>
      <c r="C748">
        <v>6</v>
      </c>
      <c r="D748" s="8" t="s">
        <v>65</v>
      </c>
      <c r="E748">
        <v>73</v>
      </c>
      <c r="F748">
        <v>1.22</v>
      </c>
      <c r="N748">
        <f t="shared" si="41"/>
        <v>28.445317215666662</v>
      </c>
      <c r="O748">
        <f>IF(AND(OR(D748="S. acutus",D748="S. californicus",D748="S. tabernaemontani"),G748=0),E748*[1]Sheet1!$D$7+[1]Sheet1!$L$7,IF(AND(OR(D748="S. acutus",D748="S. tabernaemontani"),G748&gt;0),E748*[1]Sheet1!$D$8+N748*[1]Sheet1!$E$8,IF(AND(D748="S. californicus",G748&gt;0),E748*[1]Sheet1!$D$9+N748*[1]Sheet1!$E$9,IF(D748="S. maritimus",F748*[1]Sheet1!$C$10+E748*[1]Sheet1!$D$10+G748*[1]Sheet1!$F$10+[1]Sheet1!$L$10,IF(D748="S. americanus",F748*[1]Sheet1!$C$6+E748*[1]Sheet1!$D$6+[1]Sheet1!$L$6,IF(AND(OR(D748="T. domingensis",D748="T. latifolia"),E748&gt;0),F748*[1]Sheet1!$C$4+E748*[1]Sheet1!$D$4+H748*[1]Sheet1!$J$4+I748*[1]Sheet1!$K$4+[1]Sheet1!$L$4,IF(AND(OR(D748="T. domingensis",D748="T. latifolia"),J748&gt;0),J748*[1]Sheet1!$G$5+K748*[1]Sheet1!$H$5+L748*[1]Sheet1!$I$5+[1]Sheet1!$L$5,0)))))))</f>
        <v>0.52706799999999987</v>
      </c>
      <c r="P748">
        <f t="shared" si="39"/>
        <v>0.52706799999999987</v>
      </c>
      <c r="S748">
        <f t="shared" si="40"/>
        <v>1.168985639</v>
      </c>
    </row>
    <row r="749" spans="1:19">
      <c r="A749" s="7">
        <v>42445</v>
      </c>
      <c r="B749" s="8" t="s">
        <v>24</v>
      </c>
      <c r="C749">
        <v>6</v>
      </c>
      <c r="D749" s="8" t="s">
        <v>65</v>
      </c>
      <c r="E749">
        <v>30</v>
      </c>
      <c r="F749">
        <v>0.35</v>
      </c>
      <c r="N749">
        <f t="shared" si="41"/>
        <v>0.96211193749999979</v>
      </c>
      <c r="O749">
        <f>IF(AND(OR(D749="S. acutus",D749="S. californicus",D749="S. tabernaemontani"),G749=0),E749*[1]Sheet1!$D$7+[1]Sheet1!$L$7,IF(AND(OR(D749="S. acutus",D749="S. tabernaemontani"),G749&gt;0),E749*[1]Sheet1!$D$8+N749*[1]Sheet1!$E$8,IF(AND(D749="S. californicus",G749&gt;0),E749*[1]Sheet1!$D$9+N749*[1]Sheet1!$E$9,IF(D749="S. maritimus",F749*[1]Sheet1!$C$10+E749*[1]Sheet1!$D$10+G749*[1]Sheet1!$F$10+[1]Sheet1!$L$10,IF(D749="S. americanus",F749*[1]Sheet1!$C$6+E749*[1]Sheet1!$D$6+[1]Sheet1!$L$6,IF(AND(OR(D749="T. domingensis",D749="T. latifolia"),E749&gt;0),F749*[1]Sheet1!$C$4+E749*[1]Sheet1!$D$4+H749*[1]Sheet1!$J$4+I749*[1]Sheet1!$K$4+[1]Sheet1!$L$4,IF(AND(OR(D749="T. domingensis",D749="T. latifolia"),J749&gt;0),J749*[1]Sheet1!$G$5+K749*[1]Sheet1!$H$5+L749*[1]Sheet1!$I$5+[1]Sheet1!$L$5,0)))))))</f>
        <v>-2.487447</v>
      </c>
      <c r="P749" t="str">
        <f t="shared" si="39"/>
        <v>0</v>
      </c>
      <c r="S749">
        <f t="shared" si="40"/>
        <v>9.6211193749999979E-2</v>
      </c>
    </row>
    <row r="750" spans="1:19">
      <c r="A750" s="7">
        <v>42445</v>
      </c>
      <c r="B750" s="8" t="s">
        <v>24</v>
      </c>
      <c r="C750">
        <v>6</v>
      </c>
      <c r="D750" s="8" t="s">
        <v>65</v>
      </c>
      <c r="E750">
        <v>35</v>
      </c>
      <c r="F750">
        <v>0.44</v>
      </c>
      <c r="N750">
        <f t="shared" si="41"/>
        <v>1.773951153333333</v>
      </c>
      <c r="O750">
        <f>IF(AND(OR(D750="S. acutus",D750="S. californicus",D750="S. tabernaemontani"),G750=0),E750*[1]Sheet1!$D$7+[1]Sheet1!$L$7,IF(AND(OR(D750="S. acutus",D750="S. tabernaemontani"),G750&gt;0),E750*[1]Sheet1!$D$8+N750*[1]Sheet1!$E$8,IF(AND(D750="S. californicus",G750&gt;0),E750*[1]Sheet1!$D$9+N750*[1]Sheet1!$E$9,IF(D750="S. maritimus",F750*[1]Sheet1!$C$10+E750*[1]Sheet1!$D$10+G750*[1]Sheet1!$F$10+[1]Sheet1!$L$10,IF(D750="S. americanus",F750*[1]Sheet1!$C$6+E750*[1]Sheet1!$D$6+[1]Sheet1!$L$6,IF(AND(OR(D750="T. domingensis",D750="T. latifolia"),E750&gt;0),F750*[1]Sheet1!$C$4+E750*[1]Sheet1!$D$4+H750*[1]Sheet1!$J$4+I750*[1]Sheet1!$K$4+[1]Sheet1!$L$4,IF(AND(OR(D750="T. domingensis",D750="T. latifolia"),J750&gt;0),J750*[1]Sheet1!$G$5+K750*[1]Sheet1!$H$5+L750*[1]Sheet1!$I$5+[1]Sheet1!$L$5,0)))))))</f>
        <v>-2.1369219999999998</v>
      </c>
      <c r="P750" t="str">
        <f t="shared" si="39"/>
        <v>0</v>
      </c>
      <c r="S750">
        <f t="shared" si="40"/>
        <v>0.15205295599999999</v>
      </c>
    </row>
    <row r="751" spans="1:19">
      <c r="A751" s="7">
        <v>42445</v>
      </c>
      <c r="B751" s="8" t="s">
        <v>24</v>
      </c>
      <c r="C751">
        <v>6</v>
      </c>
      <c r="D751" s="8" t="s">
        <v>65</v>
      </c>
      <c r="E751">
        <v>30</v>
      </c>
      <c r="F751">
        <v>0.21</v>
      </c>
      <c r="N751">
        <f t="shared" si="41"/>
        <v>0.34636029749999991</v>
      </c>
      <c r="O751">
        <f>IF(AND(OR(D751="S. acutus",D751="S. californicus",D751="S. tabernaemontani"),G751=0),E751*[1]Sheet1!$D$7+[1]Sheet1!$L$7,IF(AND(OR(D751="S. acutus",D751="S. tabernaemontani"),G751&gt;0),E751*[1]Sheet1!$D$8+N751*[1]Sheet1!$E$8,IF(AND(D751="S. californicus",G751&gt;0),E751*[1]Sheet1!$D$9+N751*[1]Sheet1!$E$9,IF(D751="S. maritimus",F751*[1]Sheet1!$C$10+E751*[1]Sheet1!$D$10+G751*[1]Sheet1!$F$10+[1]Sheet1!$L$10,IF(D751="S. americanus",F751*[1]Sheet1!$C$6+E751*[1]Sheet1!$D$6+[1]Sheet1!$L$6,IF(AND(OR(D751="T. domingensis",D751="T. latifolia"),E751&gt;0),F751*[1]Sheet1!$C$4+E751*[1]Sheet1!$D$4+H751*[1]Sheet1!$J$4+I751*[1]Sheet1!$K$4+[1]Sheet1!$L$4,IF(AND(OR(D751="T. domingensis",D751="T. latifolia"),J751&gt;0),J751*[1]Sheet1!$G$5+K751*[1]Sheet1!$H$5+L751*[1]Sheet1!$I$5+[1]Sheet1!$L$5,0)))))))</f>
        <v>-2.487447</v>
      </c>
      <c r="P751" t="str">
        <f t="shared" si="39"/>
        <v>0</v>
      </c>
      <c r="S751">
        <f t="shared" si="40"/>
        <v>3.4636029749999991E-2</v>
      </c>
    </row>
    <row r="752" spans="1:19">
      <c r="A752" s="7">
        <v>42445</v>
      </c>
      <c r="B752" s="8" t="s">
        <v>24</v>
      </c>
      <c r="C752">
        <v>6</v>
      </c>
      <c r="D752" s="8" t="s">
        <v>65</v>
      </c>
      <c r="E752">
        <v>60</v>
      </c>
      <c r="F752">
        <v>0.71</v>
      </c>
      <c r="N752">
        <f t="shared" si="41"/>
        <v>7.9183775949999999</v>
      </c>
      <c r="O752">
        <f>IF(AND(OR(D752="S. acutus",D752="S. californicus",D752="S. tabernaemontani"),G752=0),E752*[1]Sheet1!$D$7+[1]Sheet1!$L$7,IF(AND(OR(D752="S. acutus",D752="S. tabernaemontani"),G752&gt;0),E752*[1]Sheet1!$D$8+N752*[1]Sheet1!$E$8,IF(AND(D752="S. californicus",G752&gt;0),E752*[1]Sheet1!$D$9+N752*[1]Sheet1!$E$9,IF(D752="S. maritimus",F752*[1]Sheet1!$C$10+E752*[1]Sheet1!$D$10+G752*[1]Sheet1!$F$10+[1]Sheet1!$L$10,IF(D752="S. americanus",F752*[1]Sheet1!$C$6+E752*[1]Sheet1!$D$6+[1]Sheet1!$L$6,IF(AND(OR(D752="T. domingensis",D752="T. latifolia"),E752&gt;0),F752*[1]Sheet1!$C$4+E752*[1]Sheet1!$D$4+H752*[1]Sheet1!$J$4+I752*[1]Sheet1!$K$4+[1]Sheet1!$L$4,IF(AND(OR(D752="T. domingensis",D752="T. latifolia"),J752&gt;0),J752*[1]Sheet1!$G$5+K752*[1]Sheet1!$H$5+L752*[1]Sheet1!$I$5+[1]Sheet1!$L$5,0)))))))</f>
        <v>-0.38429700000000011</v>
      </c>
      <c r="P752" t="str">
        <f t="shared" si="39"/>
        <v>0</v>
      </c>
      <c r="S752">
        <f t="shared" si="40"/>
        <v>0.39591887974999995</v>
      </c>
    </row>
    <row r="753" spans="1:19">
      <c r="A753" s="7">
        <v>42445</v>
      </c>
      <c r="B753" s="8" t="s">
        <v>24</v>
      </c>
      <c r="C753">
        <v>6</v>
      </c>
      <c r="D753" s="8" t="s">
        <v>65</v>
      </c>
      <c r="E753">
        <v>85</v>
      </c>
      <c r="F753">
        <v>0.77</v>
      </c>
      <c r="N753">
        <f t="shared" si="41"/>
        <v>13.193761702916664</v>
      </c>
      <c r="O753">
        <f>IF(AND(OR(D753="S. acutus",D753="S. californicus",D753="S. tabernaemontani"),G753=0),E753*[1]Sheet1!$D$7+[1]Sheet1!$L$7,IF(AND(OR(D753="S. acutus",D753="S. tabernaemontani"),G753&gt;0),E753*[1]Sheet1!$D$8+N753*[1]Sheet1!$E$8,IF(AND(D753="S. californicus",G753&gt;0),E753*[1]Sheet1!$D$9+N753*[1]Sheet1!$E$9,IF(D753="S. maritimus",F753*[1]Sheet1!$C$10+E753*[1]Sheet1!$D$10+G753*[1]Sheet1!$F$10+[1]Sheet1!$L$10,IF(D753="S. americanus",F753*[1]Sheet1!$C$6+E753*[1]Sheet1!$D$6+[1]Sheet1!$L$6,IF(AND(OR(D753="T. domingensis",D753="T. latifolia"),E753&gt;0),F753*[1]Sheet1!$C$4+E753*[1]Sheet1!$D$4+H753*[1]Sheet1!$J$4+I753*[1]Sheet1!$K$4+[1]Sheet1!$L$4,IF(AND(OR(D753="T. domingensis",D753="T. latifolia"),J753&gt;0),J753*[1]Sheet1!$G$5+K753*[1]Sheet1!$H$5+L753*[1]Sheet1!$I$5+[1]Sheet1!$L$5,0)))))))</f>
        <v>1.368328</v>
      </c>
      <c r="P753">
        <f t="shared" si="39"/>
        <v>1.368328</v>
      </c>
      <c r="S753">
        <f t="shared" si="40"/>
        <v>0.46566217774999996</v>
      </c>
    </row>
    <row r="754" spans="1:19">
      <c r="A754" s="7">
        <v>42445</v>
      </c>
      <c r="B754" s="8" t="s">
        <v>24</v>
      </c>
      <c r="C754">
        <v>6</v>
      </c>
      <c r="D754" s="8" t="s">
        <v>65</v>
      </c>
      <c r="E754">
        <v>103</v>
      </c>
      <c r="F754">
        <v>0.66</v>
      </c>
      <c r="G754">
        <v>6</v>
      </c>
      <c r="N754">
        <f t="shared" si="41"/>
        <v>11.746090851</v>
      </c>
      <c r="O754">
        <f>IF(AND(OR(D754="S. acutus",D754="S. californicus",D754="S. tabernaemontani"),G754=0),E754*[1]Sheet1!$D$7+[1]Sheet1!$L$7,IF(AND(OR(D754="S. acutus",D754="S. tabernaemontani"),G754&gt;0),E754*[1]Sheet1!$D$8+N754*[1]Sheet1!$E$8,IF(AND(D754="S. californicus",G754&gt;0),E754*[1]Sheet1!$D$9+N754*[1]Sheet1!$E$9,IF(D754="S. maritimus",F754*[1]Sheet1!$C$10+E754*[1]Sheet1!$D$10+G754*[1]Sheet1!$F$10+[1]Sheet1!$L$10,IF(D754="S. americanus",F754*[1]Sheet1!$C$6+E754*[1]Sheet1!$D$6+[1]Sheet1!$L$6,IF(AND(OR(D754="T. domingensis",D754="T. latifolia"),E754&gt;0),F754*[1]Sheet1!$C$4+E754*[1]Sheet1!$D$4+H754*[1]Sheet1!$J$4+I754*[1]Sheet1!$K$4+[1]Sheet1!$L$4,IF(AND(OR(D754="T. domingensis",D754="T. latifolia"),J754&gt;0),J754*[1]Sheet1!$G$5+K754*[1]Sheet1!$H$5+L754*[1]Sheet1!$I$5+[1]Sheet1!$L$5,0)))))))</f>
        <v>3.2002848437405742</v>
      </c>
      <c r="P754">
        <f t="shared" si="39"/>
        <v>3.2002848437405742</v>
      </c>
      <c r="S754">
        <f t="shared" si="40"/>
        <v>0.34211915100000001</v>
      </c>
    </row>
    <row r="755" spans="1:19">
      <c r="A755" s="7">
        <v>42445</v>
      </c>
      <c r="B755" s="8" t="s">
        <v>24</v>
      </c>
      <c r="C755">
        <v>6</v>
      </c>
      <c r="D755" s="8" t="s">
        <v>65</v>
      </c>
      <c r="E755">
        <v>90</v>
      </c>
      <c r="F755">
        <v>0.97</v>
      </c>
      <c r="N755">
        <f t="shared" si="41"/>
        <v>22.169415232499997</v>
      </c>
      <c r="O755">
        <f>IF(AND(OR(D755="S. acutus",D755="S. californicus",D755="S. tabernaemontani"),G755=0),E755*[1]Sheet1!$D$7+[1]Sheet1!$L$7,IF(AND(OR(D755="S. acutus",D755="S. tabernaemontani"),G755&gt;0),E755*[1]Sheet1!$D$8+N755*[1]Sheet1!$E$8,IF(AND(D755="S. californicus",G755&gt;0),E755*[1]Sheet1!$D$9+N755*[1]Sheet1!$E$9,IF(D755="S. maritimus",F755*[1]Sheet1!$C$10+E755*[1]Sheet1!$D$10+G755*[1]Sheet1!$F$10+[1]Sheet1!$L$10,IF(D755="S. americanus",F755*[1]Sheet1!$C$6+E755*[1]Sheet1!$D$6+[1]Sheet1!$L$6,IF(AND(OR(D755="T. domingensis",D755="T. latifolia"),E755&gt;0),F755*[1]Sheet1!$C$4+E755*[1]Sheet1!$D$4+H755*[1]Sheet1!$J$4+I755*[1]Sheet1!$K$4+[1]Sheet1!$L$4,IF(AND(OR(D755="T. domingensis",D755="T. latifolia"),J755&gt;0),J755*[1]Sheet1!$G$5+K755*[1]Sheet1!$H$5+L755*[1]Sheet1!$I$5+[1]Sheet1!$L$5,0)))))))</f>
        <v>1.7188530000000002</v>
      </c>
      <c r="P755">
        <f t="shared" si="39"/>
        <v>1.7188530000000002</v>
      </c>
      <c r="S755">
        <f t="shared" si="40"/>
        <v>0.7389805077499999</v>
      </c>
    </row>
    <row r="756" spans="1:19">
      <c r="A756" s="7">
        <v>42445</v>
      </c>
      <c r="B756" s="8" t="s">
        <v>24</v>
      </c>
      <c r="C756">
        <v>6</v>
      </c>
      <c r="D756" s="8" t="s">
        <v>65</v>
      </c>
      <c r="E756">
        <v>92</v>
      </c>
      <c r="F756">
        <v>0.64</v>
      </c>
      <c r="G756">
        <v>7</v>
      </c>
      <c r="N756">
        <f t="shared" si="41"/>
        <v>9.8654303573333326</v>
      </c>
      <c r="O756">
        <f>IF(AND(OR(D756="S. acutus",D756="S. californicus",D756="S. tabernaemontani"),G756=0),E756*[1]Sheet1!$D$7+[1]Sheet1!$L$7,IF(AND(OR(D756="S. acutus",D756="S. tabernaemontani"),G756&gt;0),E756*[1]Sheet1!$D$8+N756*[1]Sheet1!$E$8,IF(AND(D756="S. californicus",G756&gt;0),E756*[1]Sheet1!$D$9+N756*[1]Sheet1!$E$9,IF(D756="S. maritimus",F756*[1]Sheet1!$C$10+E756*[1]Sheet1!$D$10+G756*[1]Sheet1!$F$10+[1]Sheet1!$L$10,IF(D756="S. americanus",F756*[1]Sheet1!$C$6+E756*[1]Sheet1!$D$6+[1]Sheet1!$L$6,IF(AND(OR(D756="T. domingensis",D756="T. latifolia"),E756&gt;0),F756*[1]Sheet1!$C$4+E756*[1]Sheet1!$D$4+H756*[1]Sheet1!$J$4+I756*[1]Sheet1!$K$4+[1]Sheet1!$L$4,IF(AND(OR(D756="T. domingensis",D756="T. latifolia"),J756&gt;0),J756*[1]Sheet1!$G$5+K756*[1]Sheet1!$H$5+L756*[1]Sheet1!$I$5+[1]Sheet1!$L$5,0)))))))</f>
        <v>2.8223900304288425</v>
      </c>
      <c r="P756">
        <f t="shared" si="39"/>
        <v>2.8223900304288425</v>
      </c>
      <c r="S756">
        <f t="shared" si="40"/>
        <v>0.321698816</v>
      </c>
    </row>
    <row r="757" spans="1:19">
      <c r="A757" s="7">
        <v>42445</v>
      </c>
      <c r="B757" s="8" t="s">
        <v>24</v>
      </c>
      <c r="C757">
        <v>6</v>
      </c>
      <c r="D757" s="8" t="s">
        <v>65</v>
      </c>
      <c r="E757">
        <v>37</v>
      </c>
      <c r="F757">
        <v>0.93</v>
      </c>
      <c r="N757">
        <f t="shared" si="41"/>
        <v>8.3779136722500009</v>
      </c>
      <c r="O757">
        <f>IF(AND(OR(D757="S. acutus",D757="S. californicus",D757="S. tabernaemontani"),G757=0),E757*[1]Sheet1!$D$7+[1]Sheet1!$L$7,IF(AND(OR(D757="S. acutus",D757="S. tabernaemontani"),G757&gt;0),E757*[1]Sheet1!$D$8+N757*[1]Sheet1!$E$8,IF(AND(D757="S. californicus",G757&gt;0),E757*[1]Sheet1!$D$9+N757*[1]Sheet1!$E$9,IF(D757="S. maritimus",F757*[1]Sheet1!$C$10+E757*[1]Sheet1!$D$10+G757*[1]Sheet1!$F$10+[1]Sheet1!$L$10,IF(D757="S. americanus",F757*[1]Sheet1!$C$6+E757*[1]Sheet1!$D$6+[1]Sheet1!$L$6,IF(AND(OR(D757="T. domingensis",D757="T. latifolia"),E757&gt;0),F757*[1]Sheet1!$C$4+E757*[1]Sheet1!$D$4+H757*[1]Sheet1!$J$4+I757*[1]Sheet1!$K$4+[1]Sheet1!$L$4,IF(AND(OR(D757="T. domingensis",D757="T. latifolia"),J757&gt;0),J757*[1]Sheet1!$G$5+K757*[1]Sheet1!$H$5+L757*[1]Sheet1!$I$5+[1]Sheet1!$L$5,0)))))))</f>
        <v>-1.9967119999999996</v>
      </c>
      <c r="P757" t="str">
        <f t="shared" si="39"/>
        <v>0</v>
      </c>
      <c r="S757">
        <f t="shared" si="40"/>
        <v>0.67929029775000005</v>
      </c>
    </row>
    <row r="758" spans="1:19">
      <c r="A758" s="7">
        <v>42445</v>
      </c>
      <c r="B758" s="8" t="s">
        <v>24</v>
      </c>
      <c r="C758">
        <v>6</v>
      </c>
      <c r="D758" s="8" t="s">
        <v>65</v>
      </c>
      <c r="E758">
        <v>51</v>
      </c>
      <c r="F758">
        <v>0.92</v>
      </c>
      <c r="N758">
        <f t="shared" si="41"/>
        <v>11.300927547999999</v>
      </c>
      <c r="O758">
        <f>IF(AND(OR(D758="S. acutus",D758="S. californicus",D758="S. tabernaemontani"),G758=0),E758*[1]Sheet1!$D$7+[1]Sheet1!$L$7,IF(AND(OR(D758="S. acutus",D758="S. tabernaemontani"),G758&gt;0),E758*[1]Sheet1!$D$8+N758*[1]Sheet1!$E$8,IF(AND(D758="S. californicus",G758&gt;0),E758*[1]Sheet1!$D$9+N758*[1]Sheet1!$E$9,IF(D758="S. maritimus",F758*[1]Sheet1!$C$10+E758*[1]Sheet1!$D$10+G758*[1]Sheet1!$F$10+[1]Sheet1!$L$10,IF(D758="S. americanus",F758*[1]Sheet1!$C$6+E758*[1]Sheet1!$D$6+[1]Sheet1!$L$6,IF(AND(OR(D758="T. domingensis",D758="T. latifolia"),E758&gt;0),F758*[1]Sheet1!$C$4+E758*[1]Sheet1!$D$4+H758*[1]Sheet1!$J$4+I758*[1]Sheet1!$K$4+[1]Sheet1!$L$4,IF(AND(OR(D758="T. domingensis",D758="T. latifolia"),J758&gt;0),J758*[1]Sheet1!$G$5+K758*[1]Sheet1!$H$5+L758*[1]Sheet1!$I$5+[1]Sheet1!$L$5,0)))))))</f>
        <v>-1.0152419999999998</v>
      </c>
      <c r="P758" t="str">
        <f t="shared" si="39"/>
        <v>0</v>
      </c>
      <c r="S758">
        <f t="shared" si="40"/>
        <v>0.66476044400000001</v>
      </c>
    </row>
    <row r="759" spans="1:19">
      <c r="A759" s="7">
        <v>42445</v>
      </c>
      <c r="B759" s="8" t="s">
        <v>24</v>
      </c>
      <c r="C759">
        <v>6</v>
      </c>
      <c r="D759" s="8" t="s">
        <v>65</v>
      </c>
      <c r="E759">
        <v>37</v>
      </c>
      <c r="F759">
        <v>0.45</v>
      </c>
      <c r="N759">
        <f t="shared" si="41"/>
        <v>1.9615302562499999</v>
      </c>
      <c r="O759">
        <f>IF(AND(OR(D759="S. acutus",D759="S. californicus",D759="S. tabernaemontani"),G759=0),E759*[1]Sheet1!$D$7+[1]Sheet1!$L$7,IF(AND(OR(D759="S. acutus",D759="S. tabernaemontani"),G759&gt;0),E759*[1]Sheet1!$D$8+N759*[1]Sheet1!$E$8,IF(AND(D759="S. californicus",G759&gt;0),E759*[1]Sheet1!$D$9+N759*[1]Sheet1!$E$9,IF(D759="S. maritimus",F759*[1]Sheet1!$C$10+E759*[1]Sheet1!$D$10+G759*[1]Sheet1!$F$10+[1]Sheet1!$L$10,IF(D759="S. americanus",F759*[1]Sheet1!$C$6+E759*[1]Sheet1!$D$6+[1]Sheet1!$L$6,IF(AND(OR(D759="T. domingensis",D759="T. latifolia"),E759&gt;0),F759*[1]Sheet1!$C$4+E759*[1]Sheet1!$D$4+H759*[1]Sheet1!$J$4+I759*[1]Sheet1!$K$4+[1]Sheet1!$L$4,IF(AND(OR(D759="T. domingensis",D759="T. latifolia"),J759&gt;0),J759*[1]Sheet1!$G$5+K759*[1]Sheet1!$H$5+L759*[1]Sheet1!$I$5+[1]Sheet1!$L$5,0)))))))</f>
        <v>-1.9967119999999996</v>
      </c>
      <c r="P759" t="str">
        <f t="shared" si="39"/>
        <v>0</v>
      </c>
      <c r="S759">
        <f t="shared" si="40"/>
        <v>0.15904299375</v>
      </c>
    </row>
    <row r="760" spans="1:19">
      <c r="A760" s="7">
        <v>42445</v>
      </c>
      <c r="B760" s="8" t="s">
        <v>24</v>
      </c>
      <c r="C760">
        <v>6</v>
      </c>
      <c r="D760" s="8" t="s">
        <v>65</v>
      </c>
      <c r="E760">
        <v>134</v>
      </c>
      <c r="F760">
        <v>0.98</v>
      </c>
      <c r="G760">
        <v>6</v>
      </c>
      <c r="N760">
        <f t="shared" si="41"/>
        <v>33.69187723533333</v>
      </c>
      <c r="O760">
        <f>IF(AND(OR(D760="S. acutus",D760="S. californicus",D760="S. tabernaemontani"),G760=0),E760*[1]Sheet1!$D$7+[1]Sheet1!$L$7,IF(AND(OR(D760="S. acutus",D760="S. tabernaemontani"),G760&gt;0),E760*[1]Sheet1!$D$8+N760*[1]Sheet1!$E$8,IF(AND(D760="S. californicus",G760&gt;0),E760*[1]Sheet1!$D$9+N760*[1]Sheet1!$E$9,IF(D760="S. maritimus",F760*[1]Sheet1!$C$10+E760*[1]Sheet1!$D$10+G760*[1]Sheet1!$F$10+[1]Sheet1!$L$10,IF(D760="S. americanus",F760*[1]Sheet1!$C$6+E760*[1]Sheet1!$D$6+[1]Sheet1!$L$6,IF(AND(OR(D760="T. domingensis",D760="T. latifolia"),E760&gt;0),F760*[1]Sheet1!$C$4+E760*[1]Sheet1!$D$4+H760*[1]Sheet1!$J$4+I760*[1]Sheet1!$K$4+[1]Sheet1!$L$4,IF(AND(OR(D760="T. domingensis",D760="T. latifolia"),J760&gt;0),J760*[1]Sheet1!$G$5+K760*[1]Sheet1!$H$5+L760*[1]Sheet1!$I$5+[1]Sheet1!$L$5,0)))))))</f>
        <v>5.2252877276706151</v>
      </c>
      <c r="P760">
        <f t="shared" si="39"/>
        <v>5.2252877276706151</v>
      </c>
      <c r="S760">
        <f t="shared" si="40"/>
        <v>0.7542957589999999</v>
      </c>
    </row>
    <row r="761" spans="1:19">
      <c r="A761" s="7">
        <v>42445</v>
      </c>
      <c r="B761" s="8" t="s">
        <v>24</v>
      </c>
      <c r="C761">
        <v>6</v>
      </c>
      <c r="D761" s="8" t="s">
        <v>65</v>
      </c>
      <c r="E761">
        <v>64</v>
      </c>
      <c r="F761">
        <v>0.98</v>
      </c>
      <c r="N761">
        <f t="shared" si="41"/>
        <v>16.091642858666663</v>
      </c>
      <c r="O761">
        <f>IF(AND(OR(D761="S. acutus",D761="S. californicus",D761="S. tabernaemontani"),G761=0),E761*[1]Sheet1!$D$7+[1]Sheet1!$L$7,IF(AND(OR(D761="S. acutus",D761="S. tabernaemontani"),G761&gt;0),E761*[1]Sheet1!$D$8+N761*[1]Sheet1!$E$8,IF(AND(D761="S. californicus",G761&gt;0),E761*[1]Sheet1!$D$9+N761*[1]Sheet1!$E$9,IF(D761="S. maritimus",F761*[1]Sheet1!$C$10+E761*[1]Sheet1!$D$10+G761*[1]Sheet1!$F$10+[1]Sheet1!$L$10,IF(D761="S. americanus",F761*[1]Sheet1!$C$6+E761*[1]Sheet1!$D$6+[1]Sheet1!$L$6,IF(AND(OR(D761="T. domingensis",D761="T. latifolia"),E761&gt;0),F761*[1]Sheet1!$C$4+E761*[1]Sheet1!$D$4+H761*[1]Sheet1!$J$4+I761*[1]Sheet1!$K$4+[1]Sheet1!$L$4,IF(AND(OR(D761="T. domingensis",D761="T. latifolia"),J761&gt;0),J761*[1]Sheet1!$G$5+K761*[1]Sheet1!$H$5+L761*[1]Sheet1!$I$5+[1]Sheet1!$L$5,0)))))))</f>
        <v>-0.10387699999999978</v>
      </c>
      <c r="P761" t="str">
        <f t="shared" si="39"/>
        <v>0</v>
      </c>
      <c r="S761">
        <f t="shared" si="40"/>
        <v>0.7542957589999999</v>
      </c>
    </row>
    <row r="762" spans="1:19">
      <c r="A762" s="7">
        <v>42445</v>
      </c>
      <c r="B762" s="8" t="s">
        <v>24</v>
      </c>
      <c r="C762">
        <v>6</v>
      </c>
      <c r="D762" s="8" t="s">
        <v>65</v>
      </c>
      <c r="E762">
        <v>102</v>
      </c>
      <c r="F762">
        <v>0.82</v>
      </c>
      <c r="G762">
        <v>6</v>
      </c>
      <c r="N762">
        <f t="shared" si="41"/>
        <v>17.955443485999997</v>
      </c>
      <c r="O762">
        <f>IF(AND(OR(D762="S. acutus",D762="S. californicus",D762="S. tabernaemontani"),G762=0),E762*[1]Sheet1!$D$7+[1]Sheet1!$L$7,IF(AND(OR(D762="S. acutus",D762="S. tabernaemontani"),G762&gt;0),E762*[1]Sheet1!$D$8+N762*[1]Sheet1!$E$8,IF(AND(D762="S. californicus",G762&gt;0),E762*[1]Sheet1!$D$9+N762*[1]Sheet1!$E$9,IF(D762="S. maritimus",F762*[1]Sheet1!$C$10+E762*[1]Sheet1!$D$10+G762*[1]Sheet1!$F$10+[1]Sheet1!$L$10,IF(D762="S. americanus",F762*[1]Sheet1!$C$6+E762*[1]Sheet1!$D$6+[1]Sheet1!$L$6,IF(AND(OR(D762="T. domingensis",D762="T. latifolia"),E762&gt;0),F762*[1]Sheet1!$C$4+E762*[1]Sheet1!$D$4+H762*[1]Sheet1!$J$4+I762*[1]Sheet1!$K$4+[1]Sheet1!$L$4,IF(AND(OR(D762="T. domingensis",D762="T. latifolia"),J762&gt;0),J762*[1]Sheet1!$G$5+K762*[1]Sheet1!$H$5+L762*[1]Sheet1!$I$5+[1]Sheet1!$L$5,0)))))))</f>
        <v>3.5339094476115638</v>
      </c>
      <c r="P762">
        <f t="shared" si="39"/>
        <v>3.5339094476115638</v>
      </c>
      <c r="S762">
        <f t="shared" si="40"/>
        <v>0.52810127899999992</v>
      </c>
    </row>
    <row r="763" spans="1:19">
      <c r="A763" s="7">
        <v>42445</v>
      </c>
      <c r="B763" s="8" t="s">
        <v>24</v>
      </c>
      <c r="C763">
        <v>6</v>
      </c>
      <c r="D763" s="8" t="s">
        <v>65</v>
      </c>
      <c r="E763">
        <v>172</v>
      </c>
      <c r="F763">
        <v>1.38</v>
      </c>
      <c r="N763">
        <f t="shared" si="41"/>
        <v>85.754097275999982</v>
      </c>
      <c r="O763">
        <f>IF(AND(OR(D763="S. acutus",D763="S. californicus",D763="S. tabernaemontani"),G763=0),E763*[1]Sheet1!$D$7+[1]Sheet1!$L$7,IF(AND(OR(D763="S. acutus",D763="S. tabernaemontani"),G763&gt;0),E763*[1]Sheet1!$D$8+N763*[1]Sheet1!$E$8,IF(AND(D763="S. californicus",G763&gt;0),E763*[1]Sheet1!$D$9+N763*[1]Sheet1!$E$9,IF(D763="S. maritimus",F763*[1]Sheet1!$C$10+E763*[1]Sheet1!$D$10+G763*[1]Sheet1!$F$10+[1]Sheet1!$L$10,IF(D763="S. americanus",F763*[1]Sheet1!$C$6+E763*[1]Sheet1!$D$6+[1]Sheet1!$L$6,IF(AND(OR(D763="T. domingensis",D763="T. latifolia"),E763&gt;0),F763*[1]Sheet1!$C$4+E763*[1]Sheet1!$D$4+H763*[1]Sheet1!$J$4+I763*[1]Sheet1!$K$4+[1]Sheet1!$L$4,IF(AND(OR(D763="T. domingensis",D763="T. latifolia"),J763&gt;0),J763*[1]Sheet1!$G$5+K763*[1]Sheet1!$H$5+L763*[1]Sheet1!$I$5+[1]Sheet1!$L$5,0)))))))</f>
        <v>7.4674629999999995</v>
      </c>
      <c r="P763">
        <f t="shared" si="39"/>
        <v>7.4674629999999995</v>
      </c>
      <c r="S763">
        <f t="shared" si="40"/>
        <v>1.4957109989999997</v>
      </c>
    </row>
    <row r="764" spans="1:19">
      <c r="A764" s="7">
        <v>42445</v>
      </c>
      <c r="B764" s="8" t="s">
        <v>24</v>
      </c>
      <c r="C764">
        <v>6</v>
      </c>
      <c r="D764" s="8" t="s">
        <v>65</v>
      </c>
      <c r="E764">
        <v>139</v>
      </c>
      <c r="F764">
        <v>1.68</v>
      </c>
      <c r="N764">
        <f t="shared" si="41"/>
        <v>102.70737355199998</v>
      </c>
      <c r="O764">
        <f>IF(AND(OR(D764="S. acutus",D764="S. californicus",D764="S. tabernaemontani"),G764=0),E764*[1]Sheet1!$D$7+[1]Sheet1!$L$7,IF(AND(OR(D764="S. acutus",D764="S. tabernaemontani"),G764&gt;0),E764*[1]Sheet1!$D$8+N764*[1]Sheet1!$E$8,IF(AND(D764="S. californicus",G764&gt;0),E764*[1]Sheet1!$D$9+N764*[1]Sheet1!$E$9,IF(D764="S. maritimus",F764*[1]Sheet1!$C$10+E764*[1]Sheet1!$D$10+G764*[1]Sheet1!$F$10+[1]Sheet1!$L$10,IF(D764="S. americanus",F764*[1]Sheet1!$C$6+E764*[1]Sheet1!$D$6+[1]Sheet1!$L$6,IF(AND(OR(D764="T. domingensis",D764="T. latifolia"),E764&gt;0),F764*[1]Sheet1!$C$4+E764*[1]Sheet1!$D$4+H764*[1]Sheet1!$J$4+I764*[1]Sheet1!$K$4+[1]Sheet1!$L$4,IF(AND(OR(D764="T. domingensis",D764="T. latifolia"),J764&gt;0),J764*[1]Sheet1!$G$5+K764*[1]Sheet1!$H$5+L764*[1]Sheet1!$I$5+[1]Sheet1!$L$5,0)))))))</f>
        <v>5.1539980000000005</v>
      </c>
      <c r="P764">
        <f t="shared" si="39"/>
        <v>5.1539980000000005</v>
      </c>
      <c r="S764">
        <f t="shared" si="40"/>
        <v>2.2167059039999994</v>
      </c>
    </row>
    <row r="765" spans="1:19">
      <c r="A765" s="7">
        <v>42445</v>
      </c>
      <c r="B765" s="8" t="s">
        <v>24</v>
      </c>
      <c r="C765">
        <v>6</v>
      </c>
      <c r="D765" s="8" t="s">
        <v>65</v>
      </c>
      <c r="E765">
        <v>103</v>
      </c>
      <c r="F765">
        <v>0.83</v>
      </c>
      <c r="G765">
        <v>9</v>
      </c>
      <c r="N765">
        <f t="shared" si="41"/>
        <v>18.576404929416665</v>
      </c>
      <c r="O765">
        <f>IF(AND(OR(D765="S. acutus",D765="S. californicus",D765="S. tabernaemontani"),G765=0),E765*[1]Sheet1!$D$7+[1]Sheet1!$L$7,IF(AND(OR(D765="S. acutus",D765="S. tabernaemontani"),G765&gt;0),E765*[1]Sheet1!$D$8+N765*[1]Sheet1!$E$8,IF(AND(D765="S. californicus",G765&gt;0),E765*[1]Sheet1!$D$9+N765*[1]Sheet1!$E$9,IF(D765="S. maritimus",F765*[1]Sheet1!$C$10+E765*[1]Sheet1!$D$10+G765*[1]Sheet1!$F$10+[1]Sheet1!$L$10,IF(D765="S. americanus",F765*[1]Sheet1!$C$6+E765*[1]Sheet1!$D$6+[1]Sheet1!$L$6,IF(AND(OR(D765="T. domingensis",D765="T. latifolia"),E765&gt;0),F765*[1]Sheet1!$C$4+E765*[1]Sheet1!$D$4+H765*[1]Sheet1!$J$4+I765*[1]Sheet1!$K$4+[1]Sheet1!$L$4,IF(AND(OR(D765="T. domingensis",D765="T. latifolia"),J765&gt;0),J765*[1]Sheet1!$G$5+K765*[1]Sheet1!$H$5+L765*[1]Sheet1!$I$5+[1]Sheet1!$L$5,0)))))))</f>
        <v>3.5942163778991767</v>
      </c>
      <c r="P765">
        <f t="shared" si="39"/>
        <v>3.5942163778991767</v>
      </c>
      <c r="S765">
        <f t="shared" si="40"/>
        <v>0.54106033774999995</v>
      </c>
    </row>
    <row r="766" spans="1:19">
      <c r="A766" s="7">
        <v>42445</v>
      </c>
      <c r="B766" s="8" t="s">
        <v>24</v>
      </c>
      <c r="C766">
        <v>6</v>
      </c>
      <c r="D766" s="8" t="s">
        <v>65</v>
      </c>
      <c r="E766">
        <v>115</v>
      </c>
      <c r="F766">
        <v>0.93</v>
      </c>
      <c r="G766">
        <v>6</v>
      </c>
      <c r="N766">
        <f t="shared" si="41"/>
        <v>26.039461413750001</v>
      </c>
      <c r="O766">
        <f>IF(AND(OR(D766="S. acutus",D766="S. californicus",D766="S. tabernaemontani"),G766=0),E766*[1]Sheet1!$D$7+[1]Sheet1!$L$7,IF(AND(OR(D766="S. acutus",D766="S. tabernaemontani"),G766&gt;0),E766*[1]Sheet1!$D$8+N766*[1]Sheet1!$E$8,IF(AND(D766="S. californicus",G766&gt;0),E766*[1]Sheet1!$D$9+N766*[1]Sheet1!$E$9,IF(D766="S. maritimus",F766*[1]Sheet1!$C$10+E766*[1]Sheet1!$D$10+G766*[1]Sheet1!$F$10+[1]Sheet1!$L$10,IF(D766="S. americanus",F766*[1]Sheet1!$C$6+E766*[1]Sheet1!$D$6+[1]Sheet1!$L$6,IF(AND(OR(D766="T. domingensis",D766="T. latifolia"),E766&gt;0),F766*[1]Sheet1!$C$4+E766*[1]Sheet1!$D$4+H766*[1]Sheet1!$J$4+I766*[1]Sheet1!$K$4+[1]Sheet1!$L$4,IF(AND(OR(D766="T. domingensis",D766="T. latifolia"),J766&gt;0),J766*[1]Sheet1!$G$5+K766*[1]Sheet1!$H$5+L766*[1]Sheet1!$I$5+[1]Sheet1!$L$5,0)))))))</f>
        <v>4.3185638975766176</v>
      </c>
      <c r="P766">
        <f t="shared" si="39"/>
        <v>4.3185638975766176</v>
      </c>
      <c r="S766">
        <f t="shared" si="40"/>
        <v>0.67929029775000005</v>
      </c>
    </row>
    <row r="767" spans="1:19">
      <c r="A767" s="7">
        <v>42445</v>
      </c>
      <c r="B767" s="8" t="s">
        <v>24</v>
      </c>
      <c r="C767">
        <v>6</v>
      </c>
      <c r="D767" s="8" t="s">
        <v>65</v>
      </c>
      <c r="E767">
        <v>4</v>
      </c>
      <c r="F767">
        <v>0.42</v>
      </c>
      <c r="G767">
        <v>1</v>
      </c>
      <c r="N767">
        <f t="shared" si="41"/>
        <v>0.18472549199999996</v>
      </c>
      <c r="O767">
        <f>IF(AND(OR(D767="S. acutus",D767="S. californicus",D767="S. tabernaemontani"),G767=0),E767*[1]Sheet1!$D$7+[1]Sheet1!$L$7,IF(AND(OR(D767="S. acutus",D767="S. tabernaemontani"),G767&gt;0),E767*[1]Sheet1!$D$8+N767*[1]Sheet1!$E$8,IF(AND(D767="S. californicus",G767&gt;0),E767*[1]Sheet1!$D$9+N767*[1]Sheet1!$E$9,IF(D767="S. maritimus",F767*[1]Sheet1!$C$10+E767*[1]Sheet1!$D$10+G767*[1]Sheet1!$F$10+[1]Sheet1!$L$10,IF(D767="S. americanus",F767*[1]Sheet1!$C$6+E767*[1]Sheet1!$D$6+[1]Sheet1!$L$6,IF(AND(OR(D767="T. domingensis",D767="T. latifolia"),E767&gt;0),F767*[1]Sheet1!$C$4+E767*[1]Sheet1!$D$4+H767*[1]Sheet1!$J$4+I767*[1]Sheet1!$K$4+[1]Sheet1!$L$4,IF(AND(OR(D767="T. domingensis",D767="T. latifolia"),J767&gt;0),J767*[1]Sheet1!$G$5+K767*[1]Sheet1!$H$5+L767*[1]Sheet1!$I$5+[1]Sheet1!$L$5,0)))))))</f>
        <v>0.10862825802560801</v>
      </c>
      <c r="P767">
        <f t="shared" si="39"/>
        <v>0.10862825802560801</v>
      </c>
      <c r="S767">
        <f t="shared" si="40"/>
        <v>0.13854411899999997</v>
      </c>
    </row>
    <row r="768" spans="1:19">
      <c r="A768" s="7">
        <v>42445</v>
      </c>
      <c r="B768" s="8" t="s">
        <v>24</v>
      </c>
      <c r="C768">
        <v>6</v>
      </c>
      <c r="D768" s="8" t="s">
        <v>65</v>
      </c>
      <c r="E768">
        <v>137</v>
      </c>
      <c r="F768">
        <v>0.83</v>
      </c>
      <c r="N768">
        <f t="shared" si="41"/>
        <v>24.70842209058333</v>
      </c>
      <c r="O768">
        <f>IF(AND(OR(D768="S. acutus",D768="S. californicus",D768="S. tabernaemontani"),G768=0),E768*[1]Sheet1!$D$7+[1]Sheet1!$L$7,IF(AND(OR(D768="S. acutus",D768="S. tabernaemontani"),G768&gt;0),E768*[1]Sheet1!$D$8+N768*[1]Sheet1!$E$8,IF(AND(D768="S. californicus",G768&gt;0),E768*[1]Sheet1!$D$9+N768*[1]Sheet1!$E$9,IF(D768="S. maritimus",F768*[1]Sheet1!$C$10+E768*[1]Sheet1!$D$10+G768*[1]Sheet1!$F$10+[1]Sheet1!$L$10,IF(D768="S. americanus",F768*[1]Sheet1!$C$6+E768*[1]Sheet1!$D$6+[1]Sheet1!$L$6,IF(AND(OR(D768="T. domingensis",D768="T. latifolia"),E768&gt;0),F768*[1]Sheet1!$C$4+E768*[1]Sheet1!$D$4+H768*[1]Sheet1!$J$4+I768*[1]Sheet1!$K$4+[1]Sheet1!$L$4,IF(AND(OR(D768="T. domingensis",D768="T. latifolia"),J768&gt;0),J768*[1]Sheet1!$G$5+K768*[1]Sheet1!$H$5+L768*[1]Sheet1!$I$5+[1]Sheet1!$L$5,0)))))))</f>
        <v>5.0137880000000008</v>
      </c>
      <c r="P768">
        <f t="shared" si="39"/>
        <v>5.0137880000000008</v>
      </c>
      <c r="S768">
        <f t="shared" si="40"/>
        <v>0.54106033774999995</v>
      </c>
    </row>
    <row r="769" spans="1:19">
      <c r="A769" s="7">
        <v>42445</v>
      </c>
      <c r="B769" s="8" t="s">
        <v>24</v>
      </c>
      <c r="C769">
        <v>6</v>
      </c>
      <c r="D769" s="8" t="s">
        <v>65</v>
      </c>
      <c r="E769">
        <v>188</v>
      </c>
      <c r="F769">
        <v>1.41</v>
      </c>
      <c r="G769">
        <v>9</v>
      </c>
      <c r="N769">
        <f t="shared" si="41"/>
        <v>97.850789570999979</v>
      </c>
      <c r="O769">
        <f>IF(AND(OR(D769="S. acutus",D769="S. californicus",D769="S. tabernaemontani"),G769=0),E769*[1]Sheet1!$D$7+[1]Sheet1!$L$7,IF(AND(OR(D769="S. acutus",D769="S. tabernaemontani"),G769&gt;0),E769*[1]Sheet1!$D$8+N769*[1]Sheet1!$E$8,IF(AND(D769="S. californicus",G769&gt;0),E769*[1]Sheet1!$D$9+N769*[1]Sheet1!$E$9,IF(D769="S. maritimus",F769*[1]Sheet1!$C$10+E769*[1]Sheet1!$D$10+G769*[1]Sheet1!$F$10+[1]Sheet1!$L$10,IF(D769="S. americanus",F769*[1]Sheet1!$C$6+E769*[1]Sheet1!$D$6+[1]Sheet1!$L$6,IF(AND(OR(D769="T. domingensis",D769="T. latifolia"),E769&gt;0),F769*[1]Sheet1!$C$4+E769*[1]Sheet1!$D$4+H769*[1]Sheet1!$J$4+I769*[1]Sheet1!$K$4+[1]Sheet1!$L$4,IF(AND(OR(D769="T. domingensis",D769="T. latifolia"),J769&gt;0),J769*[1]Sheet1!$G$5+K769*[1]Sheet1!$H$5+L769*[1]Sheet1!$I$5+[1]Sheet1!$L$5,0)))))))</f>
        <v>10.248243237717853</v>
      </c>
      <c r="P769">
        <f t="shared" si="39"/>
        <v>10.248243237717853</v>
      </c>
      <c r="S769">
        <f t="shared" si="40"/>
        <v>1.5614487697499997</v>
      </c>
    </row>
    <row r="770" spans="1:19">
      <c r="A770" s="7">
        <v>42445</v>
      </c>
      <c r="B770" s="8" t="s">
        <v>24</v>
      </c>
      <c r="C770">
        <v>6</v>
      </c>
      <c r="D770" s="8" t="s">
        <v>65</v>
      </c>
      <c r="E770">
        <v>142</v>
      </c>
      <c r="F770">
        <v>1.22</v>
      </c>
      <c r="G770">
        <v>7</v>
      </c>
      <c r="N770">
        <f t="shared" si="41"/>
        <v>55.331986912666657</v>
      </c>
      <c r="O770">
        <f>IF(AND(OR(D770="S. acutus",D770="S. californicus",D770="S. tabernaemontani"),G770=0),E770*[1]Sheet1!$D$7+[1]Sheet1!$L$7,IF(AND(OR(D770="S. acutus",D770="S. tabernaemontani"),G770&gt;0),E770*[1]Sheet1!$D$8+N770*[1]Sheet1!$E$8,IF(AND(D770="S. californicus",G770&gt;0),E770*[1]Sheet1!$D$9+N770*[1]Sheet1!$E$9,IF(D770="S. maritimus",F770*[1]Sheet1!$C$10+E770*[1]Sheet1!$D$10+G770*[1]Sheet1!$F$10+[1]Sheet1!$L$10,IF(D770="S. americanus",F770*[1]Sheet1!$C$6+E770*[1]Sheet1!$D$6+[1]Sheet1!$L$6,IF(AND(OR(D770="T. domingensis",D770="T. latifolia"),E770&gt;0),F770*[1]Sheet1!$C$4+E770*[1]Sheet1!$D$4+H770*[1]Sheet1!$J$4+I770*[1]Sheet1!$K$4+[1]Sheet1!$L$4,IF(AND(OR(D770="T. domingensis",D770="T. latifolia"),J770&gt;0),J770*[1]Sheet1!$G$5+K770*[1]Sheet1!$H$5+L770*[1]Sheet1!$I$5+[1]Sheet1!$L$5,0)))))))</f>
        <v>6.6693082132011376</v>
      </c>
      <c r="P770">
        <f t="shared" si="39"/>
        <v>6.6693082132011376</v>
      </c>
      <c r="S770">
        <f t="shared" si="40"/>
        <v>1.168985639</v>
      </c>
    </row>
    <row r="771" spans="1:19">
      <c r="A771" s="7">
        <v>42445</v>
      </c>
      <c r="B771" s="8" t="s">
        <v>24</v>
      </c>
      <c r="C771">
        <v>6</v>
      </c>
      <c r="D771" s="8" t="s">
        <v>65</v>
      </c>
      <c r="E771">
        <v>165</v>
      </c>
      <c r="F771">
        <v>0.77</v>
      </c>
      <c r="N771">
        <f t="shared" si="41"/>
        <v>25.611419776249996</v>
      </c>
      <c r="O771">
        <f>IF(AND(OR(D771="S. acutus",D771="S. californicus",D771="S. tabernaemontani"),G771=0),E771*[1]Sheet1!$D$7+[1]Sheet1!$L$7,IF(AND(OR(D771="S. acutus",D771="S. tabernaemontani"),G771&gt;0),E771*[1]Sheet1!$D$8+N771*[1]Sheet1!$E$8,IF(AND(D771="S. californicus",G771&gt;0),E771*[1]Sheet1!$D$9+N771*[1]Sheet1!$E$9,IF(D771="S. maritimus",F771*[1]Sheet1!$C$10+E771*[1]Sheet1!$D$10+G771*[1]Sheet1!$F$10+[1]Sheet1!$L$10,IF(D771="S. americanus",F771*[1]Sheet1!$C$6+E771*[1]Sheet1!$D$6+[1]Sheet1!$L$6,IF(AND(OR(D771="T. domingensis",D771="T. latifolia"),E771&gt;0),F771*[1]Sheet1!$C$4+E771*[1]Sheet1!$D$4+H771*[1]Sheet1!$J$4+I771*[1]Sheet1!$K$4+[1]Sheet1!$L$4,IF(AND(OR(D771="T. domingensis",D771="T. latifolia"),J771&gt;0),J771*[1]Sheet1!$G$5+K771*[1]Sheet1!$H$5+L771*[1]Sheet1!$I$5+[1]Sheet1!$L$5,0)))))))</f>
        <v>6.9767280000000005</v>
      </c>
      <c r="P771">
        <f t="shared" si="39"/>
        <v>6.9767280000000005</v>
      </c>
      <c r="S771">
        <f t="shared" si="40"/>
        <v>0.46566217774999996</v>
      </c>
    </row>
    <row r="772" spans="1:19">
      <c r="A772" s="7">
        <v>42445</v>
      </c>
      <c r="B772" s="8" t="s">
        <v>24</v>
      </c>
      <c r="C772">
        <v>6</v>
      </c>
      <c r="D772" s="8" t="s">
        <v>65</v>
      </c>
      <c r="E772">
        <v>22</v>
      </c>
      <c r="F772">
        <v>0.51</v>
      </c>
      <c r="N772">
        <f t="shared" si="41"/>
        <v>1.4980671914999997</v>
      </c>
      <c r="O772">
        <f>IF(AND(OR(D772="S. acutus",D772="S. californicus",D772="S. tabernaemontani"),G772=0),E772*[1]Sheet1!$D$7+[1]Sheet1!$L$7,IF(AND(OR(D772="S. acutus",D772="S. tabernaemontani"),G772&gt;0),E772*[1]Sheet1!$D$8+N772*[1]Sheet1!$E$8,IF(AND(D772="S. californicus",G772&gt;0),E772*[1]Sheet1!$D$9+N772*[1]Sheet1!$E$9,IF(D772="S. maritimus",F772*[1]Sheet1!$C$10+E772*[1]Sheet1!$D$10+G772*[1]Sheet1!$F$10+[1]Sheet1!$L$10,IF(D772="S. americanus",F772*[1]Sheet1!$C$6+E772*[1]Sheet1!$D$6+[1]Sheet1!$L$6,IF(AND(OR(D772="T. domingensis",D772="T. latifolia"),E772&gt;0),F772*[1]Sheet1!$C$4+E772*[1]Sheet1!$D$4+H772*[1]Sheet1!$J$4+I772*[1]Sheet1!$K$4+[1]Sheet1!$L$4,IF(AND(OR(D772="T. domingensis",D772="T. latifolia"),J772&gt;0),J772*[1]Sheet1!$G$5+K772*[1]Sheet1!$H$5+L772*[1]Sheet1!$I$5+[1]Sheet1!$L$5,0)))))))</f>
        <v>-3.0482869999999997</v>
      </c>
      <c r="P772" t="str">
        <f t="shared" si="39"/>
        <v>0</v>
      </c>
      <c r="S772">
        <f t="shared" si="40"/>
        <v>0.20428188975</v>
      </c>
    </row>
    <row r="773" spans="1:19">
      <c r="A773" s="7">
        <v>42445</v>
      </c>
      <c r="B773" s="8" t="s">
        <v>24</v>
      </c>
      <c r="C773">
        <v>6</v>
      </c>
      <c r="D773" s="8" t="s">
        <v>65</v>
      </c>
      <c r="E773">
        <v>131</v>
      </c>
      <c r="F773">
        <v>0.78</v>
      </c>
      <c r="G773">
        <v>5</v>
      </c>
      <c r="N773">
        <f t="shared" si="41"/>
        <v>20.865498302999999</v>
      </c>
      <c r="O773">
        <f>IF(AND(OR(D773="S. acutus",D773="S. californicus",D773="S. tabernaemontani"),G773=0),E773*[1]Sheet1!$D$7+[1]Sheet1!$L$7,IF(AND(OR(D773="S. acutus",D773="S. tabernaemontani"),G773&gt;0),E773*[1]Sheet1!$D$8+N773*[1]Sheet1!$E$8,IF(AND(D773="S. californicus",G773&gt;0),E773*[1]Sheet1!$D$9+N773*[1]Sheet1!$E$9,IF(D773="S. maritimus",F773*[1]Sheet1!$C$10+E773*[1]Sheet1!$D$10+G773*[1]Sheet1!$F$10+[1]Sheet1!$L$10,IF(D773="S. americanus",F773*[1]Sheet1!$C$6+E773*[1]Sheet1!$D$6+[1]Sheet1!$L$6,IF(AND(OR(D773="T. domingensis",D773="T. latifolia"),E773&gt;0),F773*[1]Sheet1!$C$4+E773*[1]Sheet1!$D$4+H773*[1]Sheet1!$J$4+I773*[1]Sheet1!$K$4+[1]Sheet1!$L$4,IF(AND(OR(D773="T. domingensis",D773="T. latifolia"),J773&gt;0),J773*[1]Sheet1!$G$5+K773*[1]Sheet1!$H$5+L773*[1]Sheet1!$I$5+[1]Sheet1!$L$5,0)))))))</f>
        <v>4.4120583491272223</v>
      </c>
      <c r="P773">
        <f t="shared" si="39"/>
        <v>4.4120583491272223</v>
      </c>
      <c r="S773">
        <f t="shared" si="40"/>
        <v>0.47783583900000004</v>
      </c>
    </row>
    <row r="774" spans="1:19">
      <c r="A774" s="7">
        <v>42445</v>
      </c>
      <c r="B774" s="8" t="s">
        <v>24</v>
      </c>
      <c r="C774">
        <v>6</v>
      </c>
      <c r="D774" s="8" t="s">
        <v>65</v>
      </c>
      <c r="E774">
        <v>106</v>
      </c>
      <c r="F774">
        <v>1.27</v>
      </c>
      <c r="G774">
        <v>8</v>
      </c>
      <c r="N774">
        <f t="shared" si="41"/>
        <v>44.759122847166665</v>
      </c>
      <c r="O774">
        <f>IF(AND(OR(D774="S. acutus",D774="S. californicus",D774="S. tabernaemontani"),G774=0),E774*[1]Sheet1!$D$7+[1]Sheet1!$L$7,IF(AND(OR(D774="S. acutus",D774="S. tabernaemontani"),G774&gt;0),E774*[1]Sheet1!$D$8+N774*[1]Sheet1!$E$8,IF(AND(D774="S. californicus",G774&gt;0),E774*[1]Sheet1!$D$9+N774*[1]Sheet1!$E$9,IF(D774="S. maritimus",F774*[1]Sheet1!$C$10+E774*[1]Sheet1!$D$10+G774*[1]Sheet1!$F$10+[1]Sheet1!$L$10,IF(D774="S. americanus",F774*[1]Sheet1!$C$6+E774*[1]Sheet1!$D$6+[1]Sheet1!$L$6,IF(AND(OR(D774="T. domingensis",D774="T. latifolia"),E774&gt;0),F774*[1]Sheet1!$C$4+E774*[1]Sheet1!$D$4+H774*[1]Sheet1!$J$4+I774*[1]Sheet1!$K$4+[1]Sheet1!$L$4,IF(AND(OR(D774="T. domingensis",D774="T. latifolia"),J774&gt;0),J774*[1]Sheet1!$G$5+K774*[1]Sheet1!$H$5+L774*[1]Sheet1!$I$5+[1]Sheet1!$L$5,0)))))))</f>
        <v>5.1777592510874904</v>
      </c>
      <c r="P774">
        <f t="shared" si="39"/>
        <v>5.1777592510874904</v>
      </c>
      <c r="S774">
        <f t="shared" si="40"/>
        <v>1.26676762775</v>
      </c>
    </row>
    <row r="775" spans="1:19">
      <c r="A775" s="7">
        <v>42445</v>
      </c>
      <c r="B775" s="8" t="s">
        <v>24</v>
      </c>
      <c r="C775">
        <v>6</v>
      </c>
      <c r="D775" s="8" t="s">
        <v>65</v>
      </c>
      <c r="E775">
        <v>100</v>
      </c>
      <c r="F775">
        <v>0.84</v>
      </c>
      <c r="G775">
        <v>12</v>
      </c>
      <c r="N775">
        <f t="shared" si="41"/>
        <v>18.472549199999996</v>
      </c>
      <c r="O775">
        <f>IF(AND(OR(D775="S. acutus",D775="S. californicus",D775="S. tabernaemontani"),G775=0),E775*[1]Sheet1!$D$7+[1]Sheet1!$L$7,IF(AND(OR(D775="S. acutus",D775="S. tabernaemontani"),G775&gt;0),E775*[1]Sheet1!$D$8+N775*[1]Sheet1!$E$8,IF(AND(D775="S. californicus",G775&gt;0),E775*[1]Sheet1!$D$9+N775*[1]Sheet1!$E$9,IF(D775="S. maritimus",F775*[1]Sheet1!$C$10+E775*[1]Sheet1!$D$10+G775*[1]Sheet1!$F$10+[1]Sheet1!$L$10,IF(D775="S. americanus",F775*[1]Sheet1!$C$6+E775*[1]Sheet1!$D$6+[1]Sheet1!$L$6,IF(AND(OR(D775="T. domingensis",D775="T. latifolia"),E775&gt;0),F775*[1]Sheet1!$C$4+E775*[1]Sheet1!$D$4+H775*[1]Sheet1!$J$4+I775*[1]Sheet1!$K$4+[1]Sheet1!$L$4,IF(AND(OR(D775="T. domingensis",D775="T. latifolia"),J775&gt;0),J775*[1]Sheet1!$G$5+K775*[1]Sheet1!$H$5+L775*[1]Sheet1!$I$5+[1]Sheet1!$L$5,0)))))))</f>
        <v>3.5147458025607996</v>
      </c>
      <c r="P775">
        <f t="shared" si="39"/>
        <v>3.5147458025607996</v>
      </c>
      <c r="S775">
        <f t="shared" si="40"/>
        <v>0.55417647599999986</v>
      </c>
    </row>
    <row r="776" spans="1:19">
      <c r="A776" s="7">
        <v>42445</v>
      </c>
      <c r="B776" s="8" t="s">
        <v>24</v>
      </c>
      <c r="C776">
        <v>6</v>
      </c>
      <c r="D776" s="8" t="s">
        <v>65</v>
      </c>
      <c r="E776">
        <v>94</v>
      </c>
      <c r="F776">
        <v>1.48</v>
      </c>
      <c r="N776">
        <f t="shared" si="41"/>
        <v>53.903820098666657</v>
      </c>
      <c r="O776">
        <f>IF(AND(OR(D776="S. acutus",D776="S. californicus",D776="S. tabernaemontani"),G776=0),E776*[1]Sheet1!$D$7+[1]Sheet1!$L$7,IF(AND(OR(D776="S. acutus",D776="S. tabernaemontani"),G776&gt;0),E776*[1]Sheet1!$D$8+N776*[1]Sheet1!$E$8,IF(AND(D776="S. californicus",G776&gt;0),E776*[1]Sheet1!$D$9+N776*[1]Sheet1!$E$9,IF(D776="S. maritimus",F776*[1]Sheet1!$C$10+E776*[1]Sheet1!$D$10+G776*[1]Sheet1!$F$10+[1]Sheet1!$L$10,IF(D776="S. americanus",F776*[1]Sheet1!$C$6+E776*[1]Sheet1!$D$6+[1]Sheet1!$L$6,IF(AND(OR(D776="T. domingensis",D776="T. latifolia"),E776&gt;0),F776*[1]Sheet1!$C$4+E776*[1]Sheet1!$D$4+H776*[1]Sheet1!$J$4+I776*[1]Sheet1!$K$4+[1]Sheet1!$L$4,IF(AND(OR(D776="T. domingensis",D776="T. latifolia"),J776&gt;0),J776*[1]Sheet1!$G$5+K776*[1]Sheet1!$H$5+L776*[1]Sheet1!$I$5+[1]Sheet1!$L$5,0)))))))</f>
        <v>1.9992730000000005</v>
      </c>
      <c r="P776">
        <f t="shared" si="39"/>
        <v>1.9992730000000005</v>
      </c>
      <c r="S776">
        <f t="shared" si="40"/>
        <v>1.7203346839999998</v>
      </c>
    </row>
    <row r="777" spans="1:19">
      <c r="A777" s="7">
        <v>42445</v>
      </c>
      <c r="B777" s="8" t="s">
        <v>24</v>
      </c>
      <c r="C777">
        <v>6</v>
      </c>
      <c r="D777" s="8" t="s">
        <v>65</v>
      </c>
      <c r="E777">
        <v>128</v>
      </c>
      <c r="F777">
        <v>1.74</v>
      </c>
      <c r="N777">
        <f t="shared" si="41"/>
        <v>101.455764096</v>
      </c>
      <c r="O777">
        <f>IF(AND(OR(D777="S. acutus",D777="S. californicus",D777="S. tabernaemontani"),G777=0),E777*[1]Sheet1!$D$7+[1]Sheet1!$L$7,IF(AND(OR(D777="S. acutus",D777="S. tabernaemontani"),G777&gt;0),E777*[1]Sheet1!$D$8+N777*[1]Sheet1!$E$8,IF(AND(D777="S. californicus",G777&gt;0),E777*[1]Sheet1!$D$9+N777*[1]Sheet1!$E$9,IF(D777="S. maritimus",F777*[1]Sheet1!$C$10+E777*[1]Sheet1!$D$10+G777*[1]Sheet1!$F$10+[1]Sheet1!$L$10,IF(D777="S. americanus",F777*[1]Sheet1!$C$6+E777*[1]Sheet1!$D$6+[1]Sheet1!$L$6,IF(AND(OR(D777="T. domingensis",D777="T. latifolia"),E777&gt;0),F777*[1]Sheet1!$C$4+E777*[1]Sheet1!$D$4+H777*[1]Sheet1!$J$4+I777*[1]Sheet1!$K$4+[1]Sheet1!$L$4,IF(AND(OR(D777="T. domingensis",D777="T. latifolia"),J777&gt;0),J777*[1]Sheet1!$G$5+K777*[1]Sheet1!$H$5+L777*[1]Sheet1!$I$5+[1]Sheet1!$L$5,0)))))))</f>
        <v>4.3828430000000003</v>
      </c>
      <c r="P777">
        <f t="shared" ref="P777:P814" si="42">IF(O777&lt;0,"0",O777)</f>
        <v>4.3828430000000003</v>
      </c>
      <c r="S777">
        <f t="shared" ref="S777:S814" si="43">3.14159*((F777/2)^2)</f>
        <v>2.3778694709999999</v>
      </c>
    </row>
    <row r="778" spans="1:19">
      <c r="A778" s="7">
        <v>42445</v>
      </c>
      <c r="B778" s="8" t="s">
        <v>24</v>
      </c>
      <c r="C778">
        <v>6</v>
      </c>
      <c r="D778" s="8" t="s">
        <v>65</v>
      </c>
      <c r="E778">
        <v>65</v>
      </c>
      <c r="F778">
        <v>0.68</v>
      </c>
      <c r="G778">
        <v>3</v>
      </c>
      <c r="N778">
        <f t="shared" si="41"/>
        <v>7.8686357533333338</v>
      </c>
      <c r="O778">
        <f>IF(AND(OR(D778="S. acutus",D778="S. californicus",D778="S. tabernaemontani"),G778=0),E778*[1]Sheet1!$D$7+[1]Sheet1!$L$7,IF(AND(OR(D778="S. acutus",D778="S. tabernaemontani"),G778&gt;0),E778*[1]Sheet1!$D$8+N778*[1]Sheet1!$E$8,IF(AND(D778="S. californicus",G778&gt;0),E778*[1]Sheet1!$D$9+N778*[1]Sheet1!$E$9,IF(D778="S. maritimus",F778*[1]Sheet1!$C$10+E778*[1]Sheet1!$D$10+G778*[1]Sheet1!$F$10+[1]Sheet1!$L$10,IF(D778="S. americanus",F778*[1]Sheet1!$C$6+E778*[1]Sheet1!$D$6+[1]Sheet1!$L$6,IF(AND(OR(D778="T. domingensis",D778="T. latifolia"),E778&gt;0),F778*[1]Sheet1!$C$4+E778*[1]Sheet1!$D$4+H778*[1]Sheet1!$J$4+I778*[1]Sheet1!$K$4+[1]Sheet1!$L$4,IF(AND(OR(D778="T. domingensis",D778="T. latifolia"),J778&gt;0),J778*[1]Sheet1!$G$5+K778*[1]Sheet1!$H$5+L778*[1]Sheet1!$I$5+[1]Sheet1!$L$5,0)))))))</f>
        <v>2.0458996984377467</v>
      </c>
      <c r="P778">
        <f t="shared" si="42"/>
        <v>2.0458996984377467</v>
      </c>
      <c r="S778">
        <f t="shared" si="43"/>
        <v>0.36316780400000004</v>
      </c>
    </row>
    <row r="779" spans="1:19">
      <c r="A779" s="7">
        <v>42445</v>
      </c>
      <c r="B779" s="8" t="s">
        <v>24</v>
      </c>
      <c r="C779">
        <v>6</v>
      </c>
      <c r="D779" s="8" t="s">
        <v>65</v>
      </c>
      <c r="E779">
        <v>64</v>
      </c>
      <c r="F779">
        <v>0.83</v>
      </c>
      <c r="N779">
        <f t="shared" si="41"/>
        <v>11.542620538666664</v>
      </c>
      <c r="O779">
        <f>IF(AND(OR(D779="S. acutus",D779="S. californicus",D779="S. tabernaemontani"),G779=0),E779*[1]Sheet1!$D$7+[1]Sheet1!$L$7,IF(AND(OR(D779="S. acutus",D779="S. tabernaemontani"),G779&gt;0),E779*[1]Sheet1!$D$8+N779*[1]Sheet1!$E$8,IF(AND(D779="S. californicus",G779&gt;0),E779*[1]Sheet1!$D$9+N779*[1]Sheet1!$E$9,IF(D779="S. maritimus",F779*[1]Sheet1!$C$10+E779*[1]Sheet1!$D$10+G779*[1]Sheet1!$F$10+[1]Sheet1!$L$10,IF(D779="S. americanus",F779*[1]Sheet1!$C$6+E779*[1]Sheet1!$D$6+[1]Sheet1!$L$6,IF(AND(OR(D779="T. domingensis",D779="T. latifolia"),E779&gt;0),F779*[1]Sheet1!$C$4+E779*[1]Sheet1!$D$4+H779*[1]Sheet1!$J$4+I779*[1]Sheet1!$K$4+[1]Sheet1!$L$4,IF(AND(OR(D779="T. domingensis",D779="T. latifolia"),J779&gt;0),J779*[1]Sheet1!$G$5+K779*[1]Sheet1!$H$5+L779*[1]Sheet1!$I$5+[1]Sheet1!$L$5,0)))))))</f>
        <v>-0.10387699999999978</v>
      </c>
      <c r="P779" t="str">
        <f t="shared" si="42"/>
        <v>0</v>
      </c>
      <c r="S779">
        <f t="shared" si="43"/>
        <v>0.54106033774999995</v>
      </c>
    </row>
    <row r="780" spans="1:19">
      <c r="A780" s="7">
        <v>42445</v>
      </c>
      <c r="B780" s="8" t="s">
        <v>24</v>
      </c>
      <c r="C780">
        <v>6</v>
      </c>
      <c r="D780" s="8" t="s">
        <v>65</v>
      </c>
      <c r="E780">
        <v>43</v>
      </c>
      <c r="F780">
        <v>0.27</v>
      </c>
      <c r="N780">
        <f t="shared" si="41"/>
        <v>0.82066184775000006</v>
      </c>
      <c r="O780">
        <f>IF(AND(OR(D780="S. acutus",D780="S. californicus",D780="S. tabernaemontani"),G780=0),E780*[1]Sheet1!$D$7+[1]Sheet1!$L$7,IF(AND(OR(D780="S. acutus",D780="S. tabernaemontani"),G780&gt;0),E780*[1]Sheet1!$D$8+N780*[1]Sheet1!$E$8,IF(AND(D780="S. californicus",G780&gt;0),E780*[1]Sheet1!$D$9+N780*[1]Sheet1!$E$9,IF(D780="S. maritimus",F780*[1]Sheet1!$C$10+E780*[1]Sheet1!$D$10+G780*[1]Sheet1!$F$10+[1]Sheet1!$L$10,IF(D780="S. americanus",F780*[1]Sheet1!$C$6+E780*[1]Sheet1!$D$6+[1]Sheet1!$L$6,IF(AND(OR(D780="T. domingensis",D780="T. latifolia"),E780&gt;0),F780*[1]Sheet1!$C$4+E780*[1]Sheet1!$D$4+H780*[1]Sheet1!$J$4+I780*[1]Sheet1!$K$4+[1]Sheet1!$L$4,IF(AND(OR(D780="T. domingensis",D780="T. latifolia"),J780&gt;0),J780*[1]Sheet1!$G$5+K780*[1]Sheet1!$H$5+L780*[1]Sheet1!$I$5+[1]Sheet1!$L$5,0)))))))</f>
        <v>-1.576082</v>
      </c>
      <c r="P780" t="str">
        <f t="shared" si="42"/>
        <v>0</v>
      </c>
      <c r="S780">
        <f t="shared" si="43"/>
        <v>5.7255477750000006E-2</v>
      </c>
    </row>
    <row r="781" spans="1:19">
      <c r="A781" s="7">
        <v>42445</v>
      </c>
      <c r="B781" s="8" t="s">
        <v>24</v>
      </c>
      <c r="C781">
        <v>6</v>
      </c>
      <c r="D781" s="8" t="s">
        <v>65</v>
      </c>
      <c r="E781">
        <v>145</v>
      </c>
      <c r="F781">
        <v>0.91</v>
      </c>
      <c r="N781">
        <f t="shared" si="41"/>
        <v>31.435404037916665</v>
      </c>
      <c r="O781">
        <f>IF(AND(OR(D781="S. acutus",D781="S. californicus",D781="S. tabernaemontani"),G781=0),E781*[1]Sheet1!$D$7+[1]Sheet1!$L$7,IF(AND(OR(D781="S. acutus",D781="S. tabernaemontani"),G781&gt;0),E781*[1]Sheet1!$D$8+N781*[1]Sheet1!$E$8,IF(AND(D781="S. californicus",G781&gt;0),E781*[1]Sheet1!$D$9+N781*[1]Sheet1!$E$9,IF(D781="S. maritimus",F781*[1]Sheet1!$C$10+E781*[1]Sheet1!$D$10+G781*[1]Sheet1!$F$10+[1]Sheet1!$L$10,IF(D781="S. americanus",F781*[1]Sheet1!$C$6+E781*[1]Sheet1!$D$6+[1]Sheet1!$L$6,IF(AND(OR(D781="T. domingensis",D781="T. latifolia"),E781&gt;0),F781*[1]Sheet1!$C$4+E781*[1]Sheet1!$D$4+H781*[1]Sheet1!$J$4+I781*[1]Sheet1!$K$4+[1]Sheet1!$L$4,IF(AND(OR(D781="T. domingensis",D781="T. latifolia"),J781&gt;0),J781*[1]Sheet1!$G$5+K781*[1]Sheet1!$H$5+L781*[1]Sheet1!$I$5+[1]Sheet1!$L$5,0)))))))</f>
        <v>5.5746279999999997</v>
      </c>
      <c r="P781">
        <f t="shared" si="42"/>
        <v>5.5746279999999997</v>
      </c>
      <c r="S781">
        <f t="shared" si="43"/>
        <v>0.65038766975000006</v>
      </c>
    </row>
    <row r="782" spans="1:19">
      <c r="A782" s="7">
        <v>42445</v>
      </c>
      <c r="B782" s="8" t="s">
        <v>24</v>
      </c>
      <c r="C782">
        <v>6</v>
      </c>
      <c r="D782" s="8" t="s">
        <v>65</v>
      </c>
      <c r="E782">
        <v>150</v>
      </c>
      <c r="F782">
        <v>1.21</v>
      </c>
      <c r="G782">
        <v>2</v>
      </c>
      <c r="N782">
        <f t="shared" si="41"/>
        <v>57.495023987499991</v>
      </c>
      <c r="O782">
        <f>IF(AND(OR(D782="S. acutus",D782="S. californicus",D782="S. tabernaemontani"),G782=0),E782*[1]Sheet1!$D$7+[1]Sheet1!$L$7,IF(AND(OR(D782="S. acutus",D782="S. tabernaemontani"),G782&gt;0),E782*[1]Sheet1!$D$8+N782*[1]Sheet1!$E$8,IF(AND(D782="S. californicus",G782&gt;0),E782*[1]Sheet1!$D$9+N782*[1]Sheet1!$E$9,IF(D782="S. maritimus",F782*[1]Sheet1!$C$10+E782*[1]Sheet1!$D$10+G782*[1]Sheet1!$F$10+[1]Sheet1!$L$10,IF(D782="S. americanus",F782*[1]Sheet1!$C$6+E782*[1]Sheet1!$D$6+[1]Sheet1!$L$6,IF(AND(OR(D782="T. domingensis",D782="T. latifolia"),E782&gt;0),F782*[1]Sheet1!$C$4+E782*[1]Sheet1!$D$4+H782*[1]Sheet1!$J$4+I782*[1]Sheet1!$K$4+[1]Sheet1!$L$4,IF(AND(OR(D782="T. domingensis",D782="T. latifolia"),J782&gt;0),J782*[1]Sheet1!$G$5+K782*[1]Sheet1!$H$5+L782*[1]Sheet1!$I$5+[1]Sheet1!$L$5,0)))))))</f>
        <v>6.9900080134550748</v>
      </c>
      <c r="P782">
        <f t="shared" si="42"/>
        <v>6.9900080134550748</v>
      </c>
      <c r="S782">
        <f t="shared" si="43"/>
        <v>1.1499004797499999</v>
      </c>
    </row>
    <row r="783" spans="1:19">
      <c r="A783" s="7">
        <v>42445</v>
      </c>
      <c r="B783" s="8" t="s">
        <v>24</v>
      </c>
      <c r="C783">
        <v>6</v>
      </c>
      <c r="D783" s="8" t="s">
        <v>65</v>
      </c>
      <c r="E783">
        <v>107</v>
      </c>
      <c r="F783">
        <v>0.93</v>
      </c>
      <c r="N783">
        <f t="shared" si="41"/>
        <v>24.228020619750001</v>
      </c>
      <c r="O783">
        <f>IF(AND(OR(D783="S. acutus",D783="S. californicus",D783="S. tabernaemontani"),G783=0),E783*[1]Sheet1!$D$7+[1]Sheet1!$L$7,IF(AND(OR(D783="S. acutus",D783="S. tabernaemontani"),G783&gt;0),E783*[1]Sheet1!$D$8+N783*[1]Sheet1!$E$8,IF(AND(D783="S. californicus",G783&gt;0),E783*[1]Sheet1!$D$9+N783*[1]Sheet1!$E$9,IF(D783="S. maritimus",F783*[1]Sheet1!$C$10+E783*[1]Sheet1!$D$10+G783*[1]Sheet1!$F$10+[1]Sheet1!$L$10,IF(D783="S. americanus",F783*[1]Sheet1!$C$6+E783*[1]Sheet1!$D$6+[1]Sheet1!$L$6,IF(AND(OR(D783="T. domingensis",D783="T. latifolia"),E783&gt;0),F783*[1]Sheet1!$C$4+E783*[1]Sheet1!$D$4+H783*[1]Sheet1!$J$4+I783*[1]Sheet1!$K$4+[1]Sheet1!$L$4,IF(AND(OR(D783="T. domingensis",D783="T. latifolia"),J783&gt;0),J783*[1]Sheet1!$G$5+K783*[1]Sheet1!$H$5+L783*[1]Sheet1!$I$5+[1]Sheet1!$L$5,0)))))))</f>
        <v>2.9106380000000005</v>
      </c>
      <c r="P783">
        <f t="shared" si="42"/>
        <v>2.9106380000000005</v>
      </c>
      <c r="S783">
        <f t="shared" si="43"/>
        <v>0.67929029775000005</v>
      </c>
    </row>
    <row r="784" spans="1:19">
      <c r="A784" s="7">
        <v>42445</v>
      </c>
      <c r="B784" s="8" t="s">
        <v>24</v>
      </c>
      <c r="C784">
        <v>6</v>
      </c>
      <c r="D784" s="8" t="s">
        <v>65</v>
      </c>
      <c r="E784">
        <v>43</v>
      </c>
      <c r="F784">
        <v>0.23</v>
      </c>
      <c r="N784">
        <f t="shared" si="41"/>
        <v>0.59551456441666661</v>
      </c>
      <c r="O784">
        <f>IF(AND(OR(D784="S. acutus",D784="S. californicus",D784="S. tabernaemontani"),G784=0),E784*[1]Sheet1!$D$7+[1]Sheet1!$L$7,IF(AND(OR(D784="S. acutus",D784="S. tabernaemontani"),G784&gt;0),E784*[1]Sheet1!$D$8+N784*[1]Sheet1!$E$8,IF(AND(D784="S. californicus",G784&gt;0),E784*[1]Sheet1!$D$9+N784*[1]Sheet1!$E$9,IF(D784="S. maritimus",F784*[1]Sheet1!$C$10+E784*[1]Sheet1!$D$10+G784*[1]Sheet1!$F$10+[1]Sheet1!$L$10,IF(D784="S. americanus",F784*[1]Sheet1!$C$6+E784*[1]Sheet1!$D$6+[1]Sheet1!$L$6,IF(AND(OR(D784="T. domingensis",D784="T. latifolia"),E784&gt;0),F784*[1]Sheet1!$C$4+E784*[1]Sheet1!$D$4+H784*[1]Sheet1!$J$4+I784*[1]Sheet1!$K$4+[1]Sheet1!$L$4,IF(AND(OR(D784="T. domingensis",D784="T. latifolia"),J784&gt;0),J784*[1]Sheet1!$G$5+K784*[1]Sheet1!$H$5+L784*[1]Sheet1!$I$5+[1]Sheet1!$L$5,0)))))))</f>
        <v>-1.576082</v>
      </c>
      <c r="P784" t="str">
        <f t="shared" si="42"/>
        <v>0</v>
      </c>
      <c r="S784">
        <f t="shared" si="43"/>
        <v>4.154752775E-2</v>
      </c>
    </row>
    <row r="785" spans="1:19">
      <c r="A785" s="7">
        <v>42445</v>
      </c>
      <c r="B785" s="8" t="s">
        <v>24</v>
      </c>
      <c r="C785">
        <v>6</v>
      </c>
      <c r="D785" s="8" t="s">
        <v>65</v>
      </c>
      <c r="E785">
        <v>57</v>
      </c>
      <c r="F785">
        <v>0.54</v>
      </c>
      <c r="N785">
        <f t="shared" si="41"/>
        <v>4.3514163090000002</v>
      </c>
      <c r="O785">
        <f>IF(AND(OR(D785="S. acutus",D785="S. californicus",D785="S. tabernaemontani"),G785=0),E785*[1]Sheet1!$D$7+[1]Sheet1!$L$7,IF(AND(OR(D785="S. acutus",D785="S. tabernaemontani"),G785&gt;0),E785*[1]Sheet1!$D$8+N785*[1]Sheet1!$E$8,IF(AND(D785="S. californicus",G785&gt;0),E785*[1]Sheet1!$D$9+N785*[1]Sheet1!$E$9,IF(D785="S. maritimus",F785*[1]Sheet1!$C$10+E785*[1]Sheet1!$D$10+G785*[1]Sheet1!$F$10+[1]Sheet1!$L$10,IF(D785="S. americanus",F785*[1]Sheet1!$C$6+E785*[1]Sheet1!$D$6+[1]Sheet1!$L$6,IF(AND(OR(D785="T. domingensis",D785="T. latifolia"),E785&gt;0),F785*[1]Sheet1!$C$4+E785*[1]Sheet1!$D$4+H785*[1]Sheet1!$J$4+I785*[1]Sheet1!$K$4+[1]Sheet1!$L$4,IF(AND(OR(D785="T. domingensis",D785="T. latifolia"),J785&gt;0),J785*[1]Sheet1!$G$5+K785*[1]Sheet1!$H$5+L785*[1]Sheet1!$I$5+[1]Sheet1!$L$5,0)))))))</f>
        <v>-0.5946119999999997</v>
      </c>
      <c r="P785" t="str">
        <f t="shared" si="42"/>
        <v>0</v>
      </c>
      <c r="S785">
        <f t="shared" si="43"/>
        <v>0.22902191100000002</v>
      </c>
    </row>
    <row r="786" spans="1:19">
      <c r="A786" s="7">
        <v>42445</v>
      </c>
      <c r="B786" s="8" t="s">
        <v>24</v>
      </c>
      <c r="C786">
        <v>6</v>
      </c>
      <c r="D786" s="8" t="s">
        <v>65</v>
      </c>
      <c r="E786">
        <v>142</v>
      </c>
      <c r="F786">
        <v>1.1200000000000001</v>
      </c>
      <c r="G786">
        <v>5</v>
      </c>
      <c r="N786">
        <f t="shared" si="41"/>
        <v>46.632924202666665</v>
      </c>
      <c r="O786">
        <f>IF(AND(OR(D786="S. acutus",D786="S. californicus",D786="S. tabernaemontani"),G786=0),E786*[1]Sheet1!$D$7+[1]Sheet1!$L$7,IF(AND(OR(D786="S. acutus",D786="S. tabernaemontani"),G786&gt;0),E786*[1]Sheet1!$D$8+N786*[1]Sheet1!$E$8,IF(AND(D786="S. californicus",G786&gt;0),E786*[1]Sheet1!$D$9+N786*[1]Sheet1!$E$9,IF(D786="S. maritimus",F786*[1]Sheet1!$C$10+E786*[1]Sheet1!$D$10+G786*[1]Sheet1!$F$10+[1]Sheet1!$L$10,IF(D786="S. americanus",F786*[1]Sheet1!$C$6+E786*[1]Sheet1!$D$6+[1]Sheet1!$L$6,IF(AND(OR(D786="T. domingensis",D786="T. latifolia"),E786&gt;0),F786*[1]Sheet1!$C$4+E786*[1]Sheet1!$D$4+H786*[1]Sheet1!$J$4+I786*[1]Sheet1!$K$4+[1]Sheet1!$L$4,IF(AND(OR(D786="T. domingensis",D786="T. latifolia"),J786&gt;0),J786*[1]Sheet1!$G$5+K786*[1]Sheet1!$H$5+L786*[1]Sheet1!$I$5+[1]Sheet1!$L$5,0)))))))</f>
        <v>6.167598470464597</v>
      </c>
      <c r="P786">
        <f t="shared" si="42"/>
        <v>6.167598470464597</v>
      </c>
      <c r="S786">
        <f t="shared" si="43"/>
        <v>0.98520262400000014</v>
      </c>
    </row>
    <row r="787" spans="1:19">
      <c r="A787" s="7">
        <v>42445</v>
      </c>
      <c r="B787" s="8" t="s">
        <v>24</v>
      </c>
      <c r="C787">
        <v>6</v>
      </c>
      <c r="D787" s="8" t="s">
        <v>65</v>
      </c>
      <c r="E787">
        <v>96</v>
      </c>
      <c r="F787">
        <v>0.99</v>
      </c>
      <c r="N787">
        <f t="shared" si="41"/>
        <v>24.632578871999996</v>
      </c>
      <c r="O787">
        <f>IF(AND(OR(D787="S. acutus",D787="S. californicus",D787="S. tabernaemontani"),G787=0),E787*[1]Sheet1!$D$7+[1]Sheet1!$L$7,IF(AND(OR(D787="S. acutus",D787="S. tabernaemontani"),G787&gt;0),E787*[1]Sheet1!$D$8+N787*[1]Sheet1!$E$8,IF(AND(D787="S. californicus",G787&gt;0),E787*[1]Sheet1!$D$9+N787*[1]Sheet1!$E$9,IF(D787="S. maritimus",F787*[1]Sheet1!$C$10+E787*[1]Sheet1!$D$10+G787*[1]Sheet1!$F$10+[1]Sheet1!$L$10,IF(D787="S. americanus",F787*[1]Sheet1!$C$6+E787*[1]Sheet1!$D$6+[1]Sheet1!$L$6,IF(AND(OR(D787="T. domingensis",D787="T. latifolia"),E787&gt;0),F787*[1]Sheet1!$C$4+E787*[1]Sheet1!$D$4+H787*[1]Sheet1!$J$4+I787*[1]Sheet1!$K$4+[1]Sheet1!$L$4,IF(AND(OR(D787="T. domingensis",D787="T. latifolia"),J787&gt;0),J787*[1]Sheet1!$G$5+K787*[1]Sheet1!$H$5+L787*[1]Sheet1!$I$5+[1]Sheet1!$L$5,0)))))))</f>
        <v>2.1394830000000002</v>
      </c>
      <c r="P787">
        <f t="shared" si="42"/>
        <v>2.1394830000000002</v>
      </c>
      <c r="S787">
        <f t="shared" si="43"/>
        <v>0.76976808975</v>
      </c>
    </row>
    <row r="788" spans="1:19">
      <c r="A788" s="7">
        <v>42445</v>
      </c>
      <c r="B788" s="8" t="s">
        <v>24</v>
      </c>
      <c r="C788">
        <v>6</v>
      </c>
      <c r="D788" s="8" t="s">
        <v>65</v>
      </c>
      <c r="E788">
        <v>27</v>
      </c>
      <c r="F788">
        <v>1.19</v>
      </c>
      <c r="N788">
        <f t="shared" si="41"/>
        <v>10.009812597749999</v>
      </c>
      <c r="O788">
        <f>IF(AND(OR(D788="S. acutus",D788="S. californicus",D788="S. tabernaemontani"),G788=0),E788*[1]Sheet1!$D$7+[1]Sheet1!$L$7,IF(AND(OR(D788="S. acutus",D788="S. tabernaemontani"),G788&gt;0),E788*[1]Sheet1!$D$8+N788*[1]Sheet1!$E$8,IF(AND(D788="S. californicus",G788&gt;0),E788*[1]Sheet1!$D$9+N788*[1]Sheet1!$E$9,IF(D788="S. maritimus",F788*[1]Sheet1!$C$10+E788*[1]Sheet1!$D$10+G788*[1]Sheet1!$F$10+[1]Sheet1!$L$10,IF(D788="S. americanus",F788*[1]Sheet1!$C$6+E788*[1]Sheet1!$D$6+[1]Sheet1!$L$6,IF(AND(OR(D788="T. domingensis",D788="T. latifolia"),E788&gt;0),F788*[1]Sheet1!$C$4+E788*[1]Sheet1!$D$4+H788*[1]Sheet1!$J$4+I788*[1]Sheet1!$K$4+[1]Sheet1!$L$4,IF(AND(OR(D788="T. domingensis",D788="T. latifolia"),J788&gt;0),J788*[1]Sheet1!$G$5+K788*[1]Sheet1!$H$5+L788*[1]Sheet1!$I$5+[1]Sheet1!$L$5,0)))))))</f>
        <v>-2.697762</v>
      </c>
      <c r="P788" t="str">
        <f t="shared" si="42"/>
        <v>0</v>
      </c>
      <c r="S788">
        <f t="shared" si="43"/>
        <v>1.11220139975</v>
      </c>
    </row>
    <row r="789" spans="1:19">
      <c r="A789" s="7">
        <v>42445</v>
      </c>
      <c r="B789" s="8" t="s">
        <v>25</v>
      </c>
      <c r="C789">
        <v>45</v>
      </c>
      <c r="D789" s="8" t="s">
        <v>61</v>
      </c>
      <c r="F789">
        <v>0.81</v>
      </c>
      <c r="J789">
        <f>42+60+62+91+85</f>
        <v>340</v>
      </c>
      <c r="K789">
        <v>5</v>
      </c>
      <c r="L789">
        <v>91</v>
      </c>
      <c r="N789" t="str">
        <f t="shared" si="41"/>
        <v>NA</v>
      </c>
      <c r="O789">
        <f>IF(AND(OR(D789="S. acutus",D789="S. californicus",D789="S. tabernaemontani"),G789=0),E789*[1]Sheet1!$D$7+[1]Sheet1!$L$7,IF(AND(OR(D789="S. acutus",D789="S. tabernaemontani"),G789&gt;0),E789*[1]Sheet1!$D$8+N789*[1]Sheet1!$E$8,IF(AND(D789="S. californicus",G789&gt;0),E789*[1]Sheet1!$D$9+N789*[1]Sheet1!$E$9,IF(D789="S. maritimus",F789*[1]Sheet1!$C$10+E789*[1]Sheet1!$D$10+G789*[1]Sheet1!$F$10+[1]Sheet1!$L$10,IF(D789="S. americanus",F789*[1]Sheet1!$C$6+E789*[1]Sheet1!$D$6+[1]Sheet1!$L$6,IF(AND(OR(D789="T. domingensis",D789="T. latifolia"),E789&gt;0),F789*[1]Sheet1!$C$4+E789*[1]Sheet1!$D$4+H789*[1]Sheet1!$J$4+I789*[1]Sheet1!$K$4+[1]Sheet1!$L$4,IF(AND(OR(D789="T. domingensis",D789="T. latifolia"),J789&gt;0),J789*[1]Sheet1!$G$5+K789*[1]Sheet1!$H$5+L789*[1]Sheet1!$I$5+[1]Sheet1!$L$5,0)))))))</f>
        <v>2.3886240000000036</v>
      </c>
      <c r="P789">
        <f t="shared" si="42"/>
        <v>2.3886240000000036</v>
      </c>
      <c r="S789">
        <f t="shared" si="43"/>
        <v>0.51529929975000011</v>
      </c>
    </row>
    <row r="790" spans="1:19">
      <c r="A790" s="7">
        <v>42445</v>
      </c>
      <c r="B790" s="8" t="s">
        <v>25</v>
      </c>
      <c r="C790">
        <v>45</v>
      </c>
      <c r="D790" s="8" t="s">
        <v>61</v>
      </c>
      <c r="F790">
        <v>0.61</v>
      </c>
      <c r="J790">
        <f>29+46+51+63</f>
        <v>189</v>
      </c>
      <c r="K790">
        <v>4</v>
      </c>
      <c r="L790">
        <v>63</v>
      </c>
      <c r="N790" t="str">
        <f t="shared" si="41"/>
        <v>NA</v>
      </c>
      <c r="O790">
        <f>IF(AND(OR(D790="S. acutus",D790="S. californicus",D790="S. tabernaemontani"),G790=0),E790*[1]Sheet1!$D$7+[1]Sheet1!$L$7,IF(AND(OR(D790="S. acutus",D790="S. tabernaemontani"),G790&gt;0),E790*[1]Sheet1!$D$8+N790*[1]Sheet1!$E$8,IF(AND(D790="S. californicus",G790&gt;0),E790*[1]Sheet1!$D$9+N790*[1]Sheet1!$E$9,IF(D790="S. maritimus",F790*[1]Sheet1!$C$10+E790*[1]Sheet1!$D$10+G790*[1]Sheet1!$F$10+[1]Sheet1!$L$10,IF(D790="S. americanus",F790*[1]Sheet1!$C$6+E790*[1]Sheet1!$D$6+[1]Sheet1!$L$6,IF(AND(OR(D790="T. domingensis",D790="T. latifolia"),E790&gt;0),F790*[1]Sheet1!$C$4+E790*[1]Sheet1!$D$4+H790*[1]Sheet1!$J$4+I790*[1]Sheet1!$K$4+[1]Sheet1!$L$4,IF(AND(OR(D790="T. domingensis",D790="T. latifolia"),J790&gt;0),J790*[1]Sheet1!$G$5+K790*[1]Sheet1!$H$5+L790*[1]Sheet1!$I$5+[1]Sheet1!$L$5,0)))))))</f>
        <v>3.6888320000000014</v>
      </c>
      <c r="P790">
        <f t="shared" si="42"/>
        <v>3.6888320000000014</v>
      </c>
      <c r="S790">
        <f t="shared" si="43"/>
        <v>0.29224640974999999</v>
      </c>
    </row>
    <row r="791" spans="1:19">
      <c r="A791" s="7">
        <v>42445</v>
      </c>
      <c r="B791" s="8" t="s">
        <v>25</v>
      </c>
      <c r="C791">
        <v>45</v>
      </c>
      <c r="D791" s="8" t="s">
        <v>61</v>
      </c>
      <c r="F791">
        <v>0.96</v>
      </c>
      <c r="J791">
        <f>48+45+65+71+84</f>
        <v>313</v>
      </c>
      <c r="K791">
        <v>5</v>
      </c>
      <c r="L791">
        <v>84</v>
      </c>
      <c r="N791" t="str">
        <f t="shared" si="41"/>
        <v>NA</v>
      </c>
      <c r="O791">
        <f>IF(AND(OR(D791="S. acutus",D791="S. californicus",D791="S. tabernaemontani"),G791=0),E791*[1]Sheet1!$D$7+[1]Sheet1!$L$7,IF(AND(OR(D791="S. acutus",D791="S. tabernaemontani"),G791&gt;0),E791*[1]Sheet1!$D$8+N791*[1]Sheet1!$E$8,IF(AND(D791="S. californicus",G791&gt;0),E791*[1]Sheet1!$D$9+N791*[1]Sheet1!$E$9,IF(D791="S. maritimus",F791*[1]Sheet1!$C$10+E791*[1]Sheet1!$D$10+G791*[1]Sheet1!$F$10+[1]Sheet1!$L$10,IF(D791="S. americanus",F791*[1]Sheet1!$C$6+E791*[1]Sheet1!$D$6+[1]Sheet1!$L$6,IF(AND(OR(D791="T. domingensis",D791="T. latifolia"),E791&gt;0),F791*[1]Sheet1!$C$4+E791*[1]Sheet1!$D$4+H791*[1]Sheet1!$J$4+I791*[1]Sheet1!$K$4+[1]Sheet1!$L$4,IF(AND(OR(D791="T. domingensis",D791="T. latifolia"),J791&gt;0),J791*[1]Sheet1!$G$5+K791*[1]Sheet1!$H$5+L791*[1]Sheet1!$I$5+[1]Sheet1!$L$5,0)))))))</f>
        <v>1.9659540000000035</v>
      </c>
      <c r="P791">
        <f t="shared" si="42"/>
        <v>1.9659540000000035</v>
      </c>
      <c r="S791">
        <f t="shared" si="43"/>
        <v>0.7238223359999999</v>
      </c>
    </row>
    <row r="792" spans="1:19">
      <c r="A792" s="7">
        <v>42445</v>
      </c>
      <c r="B792" s="8" t="s">
        <v>25</v>
      </c>
      <c r="C792">
        <v>45</v>
      </c>
      <c r="D792" s="8" t="s">
        <v>61</v>
      </c>
      <c r="F792">
        <v>0.87</v>
      </c>
      <c r="J792">
        <f>40+54+71+77+83</f>
        <v>325</v>
      </c>
      <c r="K792">
        <v>5</v>
      </c>
      <c r="L792">
        <v>83</v>
      </c>
      <c r="N792" t="str">
        <f t="shared" si="41"/>
        <v>NA</v>
      </c>
      <c r="O792">
        <f>IF(AND(OR(D792="S. acutus",D792="S. californicus",D792="S. tabernaemontani"),G792=0),E792*[1]Sheet1!$D$7+[1]Sheet1!$L$7,IF(AND(OR(D792="S. acutus",D792="S. tabernaemontani"),G792&gt;0),E792*[1]Sheet1!$D$8+N792*[1]Sheet1!$E$8,IF(AND(D792="S. californicus",G792&gt;0),E792*[1]Sheet1!$D$9+N792*[1]Sheet1!$E$9,IF(D792="S. maritimus",F792*[1]Sheet1!$C$10+E792*[1]Sheet1!$D$10+G792*[1]Sheet1!$F$10+[1]Sheet1!$L$10,IF(D792="S. americanus",F792*[1]Sheet1!$C$6+E792*[1]Sheet1!$D$6+[1]Sheet1!$L$6,IF(AND(OR(D792="T. domingensis",D792="T. latifolia"),E792&gt;0),F792*[1]Sheet1!$C$4+E792*[1]Sheet1!$D$4+H792*[1]Sheet1!$J$4+I792*[1]Sheet1!$K$4+[1]Sheet1!$L$4,IF(AND(OR(D792="T. domingensis",D792="T. latifolia"),J792&gt;0),J792*[1]Sheet1!$G$5+K792*[1]Sheet1!$H$5+L792*[1]Sheet1!$I$5+[1]Sheet1!$L$5,0)))))))</f>
        <v>3.3922589999999992</v>
      </c>
      <c r="P792">
        <f t="shared" si="42"/>
        <v>3.3922589999999992</v>
      </c>
      <c r="S792">
        <f t="shared" si="43"/>
        <v>0.59446736774999998</v>
      </c>
    </row>
    <row r="793" spans="1:19">
      <c r="A793" s="7">
        <v>42445</v>
      </c>
      <c r="B793" s="8" t="s">
        <v>25</v>
      </c>
      <c r="C793">
        <v>45</v>
      </c>
      <c r="D793" s="8" t="s">
        <v>61</v>
      </c>
      <c r="F793">
        <v>1.05</v>
      </c>
      <c r="J793">
        <f>37+44+55+70+79+92</f>
        <v>377</v>
      </c>
      <c r="K793">
        <v>6</v>
      </c>
      <c r="L793">
        <v>92</v>
      </c>
      <c r="N793" t="str">
        <f t="shared" si="41"/>
        <v>NA</v>
      </c>
      <c r="O793">
        <f>IF(AND(OR(D793="S. acutus",D793="S. californicus",D793="S. tabernaemontani"),G793=0),E793*[1]Sheet1!$D$7+[1]Sheet1!$L$7,IF(AND(OR(D793="S. acutus",D793="S. tabernaemontani"),G793&gt;0),E793*[1]Sheet1!$D$8+N793*[1]Sheet1!$E$8,IF(AND(D793="S. californicus",G793&gt;0),E793*[1]Sheet1!$D$9+N793*[1]Sheet1!$E$9,IF(D793="S. maritimus",F793*[1]Sheet1!$C$10+E793*[1]Sheet1!$D$10+G793*[1]Sheet1!$F$10+[1]Sheet1!$L$10,IF(D793="S. americanus",F793*[1]Sheet1!$C$6+E793*[1]Sheet1!$D$6+[1]Sheet1!$L$6,IF(AND(OR(D793="T. domingensis",D793="T. latifolia"),E793&gt;0),F793*[1]Sheet1!$C$4+E793*[1]Sheet1!$D$4+H793*[1]Sheet1!$J$4+I793*[1]Sheet1!$K$4+[1]Sheet1!$L$4,IF(AND(OR(D793="T. domingensis",D793="T. latifolia"),J793&gt;0),J793*[1]Sheet1!$G$5+K793*[1]Sheet1!$H$5+L793*[1]Sheet1!$I$5+[1]Sheet1!$L$5,0)))))))</f>
        <v>-1.4660390000000021</v>
      </c>
      <c r="P793" t="str">
        <f t="shared" si="42"/>
        <v>0</v>
      </c>
      <c r="S793">
        <f t="shared" si="43"/>
        <v>0.86590074375000003</v>
      </c>
    </row>
    <row r="794" spans="1:19">
      <c r="A794" s="7">
        <v>42445</v>
      </c>
      <c r="B794" s="8" t="s">
        <v>25</v>
      </c>
      <c r="C794">
        <v>45</v>
      </c>
      <c r="D794" s="8" t="s">
        <v>61</v>
      </c>
      <c r="F794">
        <v>0.28999999999999998</v>
      </c>
      <c r="J794">
        <f>21+29+36</f>
        <v>86</v>
      </c>
      <c r="K794">
        <v>3</v>
      </c>
      <c r="L794">
        <v>36</v>
      </c>
      <c r="N794" t="str">
        <f t="shared" ref="N794:N814" si="44">IF(OR(D794="S. acutus", D794="S. tabernaemontani", D794="S. californicus"),(1/3)*(3.14159)*((F794/2)^2)*E794,"NA")</f>
        <v>NA</v>
      </c>
      <c r="O794">
        <f>IF(AND(OR(D794="S. acutus",D794="S. californicus",D794="S. tabernaemontani"),G794=0),E794*[1]Sheet1!$D$7+[1]Sheet1!$L$7,IF(AND(OR(D794="S. acutus",D794="S. tabernaemontani"),G794&gt;0),E794*[1]Sheet1!$D$8+N794*[1]Sheet1!$E$8,IF(AND(D794="S. californicus",G794&gt;0),E794*[1]Sheet1!$D$9+N794*[1]Sheet1!$E$9,IF(D794="S. maritimus",F794*[1]Sheet1!$C$10+E794*[1]Sheet1!$D$10+G794*[1]Sheet1!$F$10+[1]Sheet1!$L$10,IF(D794="S. americanus",F794*[1]Sheet1!$C$6+E794*[1]Sheet1!$D$6+[1]Sheet1!$L$6,IF(AND(OR(D794="T. domingensis",D794="T. latifolia"),E794&gt;0),F794*[1]Sheet1!$C$4+E794*[1]Sheet1!$D$4+H794*[1]Sheet1!$J$4+I794*[1]Sheet1!$K$4+[1]Sheet1!$L$4,IF(AND(OR(D794="T. domingensis",D794="T. latifolia"),J794&gt;0),J794*[1]Sheet1!$G$5+K794*[1]Sheet1!$H$5+L794*[1]Sheet1!$I$5+[1]Sheet1!$L$5,0)))))))</f>
        <v>9.1880349999999993</v>
      </c>
      <c r="P794">
        <f t="shared" si="42"/>
        <v>9.1880349999999993</v>
      </c>
      <c r="S794">
        <f t="shared" si="43"/>
        <v>6.6051929749999988E-2</v>
      </c>
    </row>
    <row r="795" spans="1:19">
      <c r="A795" s="7">
        <v>42445</v>
      </c>
      <c r="B795" s="8" t="s">
        <v>25</v>
      </c>
      <c r="C795">
        <v>45</v>
      </c>
      <c r="D795" s="8" t="s">
        <v>61</v>
      </c>
      <c r="F795">
        <v>0.86</v>
      </c>
      <c r="J795">
        <f>38+45+53+140</f>
        <v>276</v>
      </c>
      <c r="K795">
        <v>4</v>
      </c>
      <c r="L795">
        <v>140</v>
      </c>
      <c r="N795" t="str">
        <f t="shared" si="44"/>
        <v>NA</v>
      </c>
      <c r="O795">
        <f>IF(AND(OR(D795="S. acutus",D795="S. californicus",D795="S. tabernaemontani"),G795=0),E795*[1]Sheet1!$D$7+[1]Sheet1!$L$7,IF(AND(OR(D795="S. acutus",D795="S. tabernaemontani"),G795&gt;0),E795*[1]Sheet1!$D$8+N795*[1]Sheet1!$E$8,IF(AND(D795="S. californicus",G795&gt;0),E795*[1]Sheet1!$D$9+N795*[1]Sheet1!$E$9,IF(D795="S. maritimus",F795*[1]Sheet1!$C$10+E795*[1]Sheet1!$D$10+G795*[1]Sheet1!$F$10+[1]Sheet1!$L$10,IF(D795="S. americanus",F795*[1]Sheet1!$C$6+E795*[1]Sheet1!$D$6+[1]Sheet1!$L$6,IF(AND(OR(D795="T. domingensis",D795="T. latifolia"),E795&gt;0),F795*[1]Sheet1!$C$4+E795*[1]Sheet1!$D$4+H795*[1]Sheet1!$J$4+I795*[1]Sheet1!$K$4+[1]Sheet1!$L$4,IF(AND(OR(D795="T. domingensis",D795="T. latifolia"),J795&gt;0),J795*[1]Sheet1!$G$5+K795*[1]Sheet1!$H$5+L795*[1]Sheet1!$I$5+[1]Sheet1!$L$5,0)))))))</f>
        <v>-11.350347999999997</v>
      </c>
      <c r="P795" t="str">
        <f t="shared" si="42"/>
        <v>0</v>
      </c>
      <c r="S795">
        <f t="shared" si="43"/>
        <v>0.58087999099999987</v>
      </c>
    </row>
    <row r="796" spans="1:19">
      <c r="A796" s="7">
        <v>42445</v>
      </c>
      <c r="B796" s="8" t="s">
        <v>25</v>
      </c>
      <c r="C796">
        <v>45</v>
      </c>
      <c r="D796" s="8" t="s">
        <v>61</v>
      </c>
      <c r="F796">
        <v>5.55</v>
      </c>
      <c r="J796">
        <f>51+74+76+61+82+99+122+137+168</f>
        <v>870</v>
      </c>
      <c r="K796">
        <v>9</v>
      </c>
      <c r="L796">
        <v>168</v>
      </c>
      <c r="N796" t="str">
        <f t="shared" si="44"/>
        <v>NA</v>
      </c>
      <c r="O796">
        <f>IF(AND(OR(D796="S. acutus",D796="S. californicus",D796="S. tabernaemontani"),G796=0),E796*[1]Sheet1!$D$7+[1]Sheet1!$L$7,IF(AND(OR(D796="S. acutus",D796="S. tabernaemontani"),G796&gt;0),E796*[1]Sheet1!$D$8+N796*[1]Sheet1!$E$8,IF(AND(D796="S. californicus",G796&gt;0),E796*[1]Sheet1!$D$9+N796*[1]Sheet1!$E$9,IF(D796="S. maritimus",F796*[1]Sheet1!$C$10+E796*[1]Sheet1!$D$10+G796*[1]Sheet1!$F$10+[1]Sheet1!$L$10,IF(D796="S. americanus",F796*[1]Sheet1!$C$6+E796*[1]Sheet1!$D$6+[1]Sheet1!$L$6,IF(AND(OR(D796="T. domingensis",D796="T. latifolia"),E796&gt;0),F796*[1]Sheet1!$C$4+E796*[1]Sheet1!$D$4+H796*[1]Sheet1!$J$4+I796*[1]Sheet1!$K$4+[1]Sheet1!$L$4,IF(AND(OR(D796="T. domingensis",D796="T. latifolia"),J796&gt;0),J796*[1]Sheet1!$G$5+K796*[1]Sheet1!$H$5+L796*[1]Sheet1!$I$5+[1]Sheet1!$L$5,0)))))))</f>
        <v>0.79349700000000212</v>
      </c>
      <c r="P796">
        <f t="shared" si="42"/>
        <v>0.79349700000000212</v>
      </c>
      <c r="S796">
        <f t="shared" si="43"/>
        <v>24.192206493749996</v>
      </c>
    </row>
    <row r="797" spans="1:19">
      <c r="A797" s="7">
        <v>42445</v>
      </c>
      <c r="B797" s="8" t="s">
        <v>25</v>
      </c>
      <c r="C797">
        <v>45</v>
      </c>
      <c r="D797" s="8" t="s">
        <v>61</v>
      </c>
      <c r="F797">
        <v>3.12</v>
      </c>
      <c r="J797">
        <f>113+121+123+181</f>
        <v>538</v>
      </c>
      <c r="K797">
        <v>4</v>
      </c>
      <c r="L797">
        <v>181</v>
      </c>
      <c r="N797" t="str">
        <f t="shared" si="44"/>
        <v>NA</v>
      </c>
      <c r="O797">
        <f>IF(AND(OR(D797="S. acutus",D797="S. californicus",D797="S. tabernaemontani"),G797=0),E797*[1]Sheet1!$D$7+[1]Sheet1!$L$7,IF(AND(OR(D797="S. acutus",D797="S. tabernaemontani"),G797&gt;0),E797*[1]Sheet1!$D$8+N797*[1]Sheet1!$E$8,IF(AND(D797="S. californicus",G797&gt;0),E797*[1]Sheet1!$D$9+N797*[1]Sheet1!$E$9,IF(D797="S. maritimus",F797*[1]Sheet1!$C$10+E797*[1]Sheet1!$D$10+G797*[1]Sheet1!$F$10+[1]Sheet1!$L$10,IF(D797="S. americanus",F797*[1]Sheet1!$C$6+E797*[1]Sheet1!$D$6+[1]Sheet1!$L$6,IF(AND(OR(D797="T. domingensis",D797="T. latifolia"),E797&gt;0),F797*[1]Sheet1!$C$4+E797*[1]Sheet1!$D$4+H797*[1]Sheet1!$J$4+I797*[1]Sheet1!$K$4+[1]Sheet1!$L$4,IF(AND(OR(D797="T. domingensis",D797="T. latifolia"),J797&gt;0),J797*[1]Sheet1!$G$5+K797*[1]Sheet1!$H$5+L797*[1]Sheet1!$I$5+[1]Sheet1!$L$5,0)))))))</f>
        <v>0.86241700000000066</v>
      </c>
      <c r="P797">
        <f t="shared" si="42"/>
        <v>0.86241700000000066</v>
      </c>
      <c r="S797">
        <f t="shared" si="43"/>
        <v>7.6453734240000006</v>
      </c>
    </row>
    <row r="798" spans="1:19">
      <c r="A798" s="7">
        <v>42445</v>
      </c>
      <c r="B798" s="8" t="s">
        <v>25</v>
      </c>
      <c r="C798">
        <v>45</v>
      </c>
      <c r="D798" s="8" t="s">
        <v>61</v>
      </c>
      <c r="F798">
        <v>0.77</v>
      </c>
      <c r="J798">
        <f>31+45+57+61</f>
        <v>194</v>
      </c>
      <c r="K798">
        <v>4</v>
      </c>
      <c r="L798">
        <v>61</v>
      </c>
      <c r="N798" t="str">
        <f t="shared" si="44"/>
        <v>NA</v>
      </c>
      <c r="O798">
        <f>IF(AND(OR(D798="S. acutus",D798="S. californicus",D798="S. tabernaemontani"),G798=0),E798*[1]Sheet1!$D$7+[1]Sheet1!$L$7,IF(AND(OR(D798="S. acutus",D798="S. tabernaemontani"),G798&gt;0),E798*[1]Sheet1!$D$8+N798*[1]Sheet1!$E$8,IF(AND(D798="S. californicus",G798&gt;0),E798*[1]Sheet1!$D$9+N798*[1]Sheet1!$E$9,IF(D798="S. maritimus",F798*[1]Sheet1!$C$10+E798*[1]Sheet1!$D$10+G798*[1]Sheet1!$F$10+[1]Sheet1!$L$10,IF(D798="S. americanus",F798*[1]Sheet1!$C$6+E798*[1]Sheet1!$D$6+[1]Sheet1!$L$6,IF(AND(OR(D798="T. domingensis",D798="T. latifolia"),E798&gt;0),F798*[1]Sheet1!$C$4+E798*[1]Sheet1!$D$4+H798*[1]Sheet1!$J$4+I798*[1]Sheet1!$K$4+[1]Sheet1!$L$4,IF(AND(OR(D798="T. domingensis",D798="T. latifolia"),J798&gt;0),J798*[1]Sheet1!$G$5+K798*[1]Sheet1!$H$5+L798*[1]Sheet1!$I$5+[1]Sheet1!$L$5,0)))))))</f>
        <v>4.7600970000000018</v>
      </c>
      <c r="P798">
        <f t="shared" si="42"/>
        <v>4.7600970000000018</v>
      </c>
      <c r="S798">
        <f t="shared" si="43"/>
        <v>0.46566217774999996</v>
      </c>
    </row>
    <row r="799" spans="1:19">
      <c r="A799" s="7">
        <v>42445</v>
      </c>
      <c r="B799" s="8" t="s">
        <v>25</v>
      </c>
      <c r="C799">
        <v>45</v>
      </c>
      <c r="D799" s="8" t="s">
        <v>61</v>
      </c>
      <c r="F799">
        <v>0.48</v>
      </c>
      <c r="J799">
        <f>23+22+27+37</f>
        <v>109</v>
      </c>
      <c r="K799">
        <v>4</v>
      </c>
      <c r="L799">
        <v>37</v>
      </c>
      <c r="N799" t="str">
        <f t="shared" si="44"/>
        <v>NA</v>
      </c>
      <c r="O799">
        <f>IF(AND(OR(D799="S. acutus",D799="S. californicus",D799="S. tabernaemontani"),G799=0),E799*[1]Sheet1!$D$7+[1]Sheet1!$L$7,IF(AND(OR(D799="S. acutus",D799="S. tabernaemontani"),G799&gt;0),E799*[1]Sheet1!$D$8+N799*[1]Sheet1!$E$8,IF(AND(D799="S. californicus",G799&gt;0),E799*[1]Sheet1!$D$9+N799*[1]Sheet1!$E$9,IF(D799="S. maritimus",F799*[1]Sheet1!$C$10+E799*[1]Sheet1!$D$10+G799*[1]Sheet1!$F$10+[1]Sheet1!$L$10,IF(D799="S. americanus",F799*[1]Sheet1!$C$6+E799*[1]Sheet1!$D$6+[1]Sheet1!$L$6,IF(AND(OR(D799="T. domingensis",D799="T. latifolia"),E799&gt;0),F799*[1]Sheet1!$C$4+E799*[1]Sheet1!$D$4+H799*[1]Sheet1!$J$4+I799*[1]Sheet1!$K$4+[1]Sheet1!$L$4,IF(AND(OR(D799="T. domingensis",D799="T. latifolia"),J799&gt;0),J799*[1]Sheet1!$G$5+K799*[1]Sheet1!$H$5+L799*[1]Sheet1!$I$5+[1]Sheet1!$L$5,0)))))))</f>
        <v>4.0208019999999962</v>
      </c>
      <c r="P799">
        <f t="shared" si="42"/>
        <v>4.0208019999999962</v>
      </c>
      <c r="S799">
        <f t="shared" si="43"/>
        <v>0.18095558399999997</v>
      </c>
    </row>
    <row r="800" spans="1:19">
      <c r="A800" s="7">
        <v>42445</v>
      </c>
      <c r="B800" s="8" t="s">
        <v>25</v>
      </c>
      <c r="C800">
        <v>45</v>
      </c>
      <c r="D800" s="8" t="s">
        <v>61</v>
      </c>
      <c r="F800">
        <v>1.76</v>
      </c>
      <c r="J800">
        <f>62+50+92+130+135+145</f>
        <v>614</v>
      </c>
      <c r="K800">
        <v>6</v>
      </c>
      <c r="L800">
        <v>145</v>
      </c>
      <c r="N800" t="str">
        <f t="shared" si="44"/>
        <v>NA</v>
      </c>
      <c r="O800">
        <f>IF(AND(OR(D800="S. acutus",D800="S. californicus",D800="S. tabernaemontani"),G800=0),E800*[1]Sheet1!$D$7+[1]Sheet1!$L$7,IF(AND(OR(D800="S. acutus",D800="S. tabernaemontani"),G800&gt;0),E800*[1]Sheet1!$D$8+N800*[1]Sheet1!$E$8,IF(AND(D800="S. californicus",G800&gt;0),E800*[1]Sheet1!$D$9+N800*[1]Sheet1!$E$9,IF(D800="S. maritimus",F800*[1]Sheet1!$C$10+E800*[1]Sheet1!$D$10+G800*[1]Sheet1!$F$10+[1]Sheet1!$L$10,IF(D800="S. americanus",F800*[1]Sheet1!$C$6+E800*[1]Sheet1!$D$6+[1]Sheet1!$L$6,IF(AND(OR(D800="T. domingensis",D800="T. latifolia"),E800&gt;0),F800*[1]Sheet1!$C$4+E800*[1]Sheet1!$D$4+H800*[1]Sheet1!$J$4+I800*[1]Sheet1!$K$4+[1]Sheet1!$L$4,IF(AND(OR(D800="T. domingensis",D800="T. latifolia"),J800&gt;0),J800*[1]Sheet1!$G$5+K800*[1]Sheet1!$H$5+L800*[1]Sheet1!$I$5+[1]Sheet1!$L$5,0)))))))</f>
        <v>4.7879110000000011</v>
      </c>
      <c r="P800">
        <f t="shared" si="42"/>
        <v>4.7879110000000011</v>
      </c>
      <c r="S800">
        <f t="shared" si="43"/>
        <v>2.4328472959999998</v>
      </c>
    </row>
    <row r="801" spans="1:19">
      <c r="A801" s="7">
        <v>42445</v>
      </c>
      <c r="B801" s="8" t="s">
        <v>25</v>
      </c>
      <c r="C801">
        <v>31</v>
      </c>
      <c r="D801" s="8" t="s">
        <v>61</v>
      </c>
      <c r="F801">
        <v>4.12</v>
      </c>
      <c r="J801">
        <f>72+98+180+120+137</f>
        <v>607</v>
      </c>
      <c r="K801">
        <v>5</v>
      </c>
      <c r="L801">
        <v>137</v>
      </c>
      <c r="N801" t="str">
        <f t="shared" si="44"/>
        <v>NA</v>
      </c>
      <c r="O801">
        <f>IF(AND(OR(D801="S. acutus",D801="S. californicus",D801="S. tabernaemontani"),G801=0),E801*[1]Sheet1!$D$7+[1]Sheet1!$L$7,IF(AND(OR(D801="S. acutus",D801="S. tabernaemontani"),G801&gt;0),E801*[1]Sheet1!$D$8+N801*[1]Sheet1!$E$8,IF(AND(D801="S. californicus",G801&gt;0),E801*[1]Sheet1!$D$9+N801*[1]Sheet1!$E$9,IF(D801="S. maritimus",F801*[1]Sheet1!$C$10+E801*[1]Sheet1!$D$10+G801*[1]Sheet1!$F$10+[1]Sheet1!$L$10,IF(D801="S. americanus",F801*[1]Sheet1!$C$6+E801*[1]Sheet1!$D$6+[1]Sheet1!$L$6,IF(AND(OR(D801="T. domingensis",D801="T. latifolia"),E801&gt;0),F801*[1]Sheet1!$C$4+E801*[1]Sheet1!$D$4+H801*[1]Sheet1!$J$4+I801*[1]Sheet1!$K$4+[1]Sheet1!$L$4,IF(AND(OR(D801="T. domingensis",D801="T. latifolia"),J801&gt;0),J801*[1]Sheet1!$G$5+K801*[1]Sheet1!$H$5+L801*[1]Sheet1!$I$5+[1]Sheet1!$L$5,0)))))))</f>
        <v>13.563939000000005</v>
      </c>
      <c r="P801">
        <f t="shared" si="42"/>
        <v>13.563939000000005</v>
      </c>
      <c r="S801">
        <f t="shared" si="43"/>
        <v>13.331651323999999</v>
      </c>
    </row>
    <row r="802" spans="1:19">
      <c r="A802" s="7">
        <v>42445</v>
      </c>
      <c r="B802" s="8" t="s">
        <v>25</v>
      </c>
      <c r="C802">
        <v>31</v>
      </c>
      <c r="D802" s="8" t="s">
        <v>61</v>
      </c>
      <c r="F802">
        <v>6.27</v>
      </c>
      <c r="J802">
        <f>42+70+95+108+124+136+152</f>
        <v>727</v>
      </c>
      <c r="K802">
        <v>7</v>
      </c>
      <c r="L802">
        <v>152</v>
      </c>
      <c r="N802" t="str">
        <f t="shared" si="44"/>
        <v>NA</v>
      </c>
      <c r="O802">
        <f>IF(AND(OR(D802="S. acutus",D802="S. californicus",D802="S. tabernaemontani"),G802=0),E802*[1]Sheet1!$D$7+[1]Sheet1!$L$7,IF(AND(OR(D802="S. acutus",D802="S. tabernaemontani"),G802&gt;0),E802*[1]Sheet1!$D$8+N802*[1]Sheet1!$E$8,IF(AND(D802="S. californicus",G802&gt;0),E802*[1]Sheet1!$D$9+N802*[1]Sheet1!$E$9,IF(D802="S. maritimus",F802*[1]Sheet1!$C$10+E802*[1]Sheet1!$D$10+G802*[1]Sheet1!$F$10+[1]Sheet1!$L$10,IF(D802="S. americanus",F802*[1]Sheet1!$C$6+E802*[1]Sheet1!$D$6+[1]Sheet1!$L$6,IF(AND(OR(D802="T. domingensis",D802="T. latifolia"),E802&gt;0),F802*[1]Sheet1!$C$4+E802*[1]Sheet1!$D$4+H802*[1]Sheet1!$J$4+I802*[1]Sheet1!$K$4+[1]Sheet1!$L$4,IF(AND(OR(D802="T. domingensis",D802="T. latifolia"),J802&gt;0),J802*[1]Sheet1!$G$5+K802*[1]Sheet1!$H$5+L802*[1]Sheet1!$I$5+[1]Sheet1!$L$5,0)))))))</f>
        <v>6.2511580000000038</v>
      </c>
      <c r="P802">
        <f t="shared" si="42"/>
        <v>6.2511580000000038</v>
      </c>
      <c r="S802">
        <f t="shared" si="43"/>
        <v>30.876253377749993</v>
      </c>
    </row>
    <row r="803" spans="1:19">
      <c r="A803" s="7">
        <v>42445</v>
      </c>
      <c r="B803" s="8" t="s">
        <v>25</v>
      </c>
      <c r="C803">
        <v>31</v>
      </c>
      <c r="D803" s="8" t="s">
        <v>61</v>
      </c>
      <c r="F803">
        <v>1.1599999999999999</v>
      </c>
      <c r="J803">
        <f>36+42+66+81+83</f>
        <v>308</v>
      </c>
      <c r="K803">
        <v>5</v>
      </c>
      <c r="L803">
        <v>83</v>
      </c>
      <c r="N803" t="str">
        <f t="shared" si="44"/>
        <v>NA</v>
      </c>
      <c r="O803">
        <f>IF(AND(OR(D803="S. acutus",D803="S. californicus",D803="S. tabernaemontani"),G803=0),E803*[1]Sheet1!$D$7+[1]Sheet1!$L$7,IF(AND(OR(D803="S. acutus",D803="S. tabernaemontani"),G803&gt;0),E803*[1]Sheet1!$D$8+N803*[1]Sheet1!$E$8,IF(AND(D803="S. californicus",G803&gt;0),E803*[1]Sheet1!$D$9+N803*[1]Sheet1!$E$9,IF(D803="S. maritimus",F803*[1]Sheet1!$C$10+E803*[1]Sheet1!$D$10+G803*[1]Sheet1!$F$10+[1]Sheet1!$L$10,IF(D803="S. americanus",F803*[1]Sheet1!$C$6+E803*[1]Sheet1!$D$6+[1]Sheet1!$L$6,IF(AND(OR(D803="T. domingensis",D803="T. latifolia"),E803&gt;0),F803*[1]Sheet1!$C$4+E803*[1]Sheet1!$D$4+H803*[1]Sheet1!$J$4+I803*[1]Sheet1!$K$4+[1]Sheet1!$L$4,IF(AND(OR(D803="T. domingensis",D803="T. latifolia"),J803&gt;0),J803*[1]Sheet1!$G$5+K803*[1]Sheet1!$H$5+L803*[1]Sheet1!$I$5+[1]Sheet1!$L$5,0)))))))</f>
        <v>1.7984240000000007</v>
      </c>
      <c r="P803">
        <f t="shared" si="42"/>
        <v>1.7984240000000007</v>
      </c>
      <c r="S803">
        <f t="shared" si="43"/>
        <v>1.0568308759999998</v>
      </c>
    </row>
    <row r="804" spans="1:19">
      <c r="A804" s="7">
        <v>42445</v>
      </c>
      <c r="B804" s="8" t="s">
        <v>25</v>
      </c>
      <c r="C804">
        <v>31</v>
      </c>
      <c r="D804" s="8" t="s">
        <v>61</v>
      </c>
      <c r="F804">
        <v>0.98</v>
      </c>
      <c r="J804">
        <f>42+59+73+77+83</f>
        <v>334</v>
      </c>
      <c r="K804">
        <v>5</v>
      </c>
      <c r="L804">
        <v>83</v>
      </c>
      <c r="N804" t="str">
        <f t="shared" si="44"/>
        <v>NA</v>
      </c>
      <c r="O804">
        <f>IF(AND(OR(D804="S. acutus",D804="S. californicus",D804="S. tabernaemontani"),G804=0),E804*[1]Sheet1!$D$7+[1]Sheet1!$L$7,IF(AND(OR(D804="S. acutus",D804="S. tabernaemontani"),G804&gt;0),E804*[1]Sheet1!$D$8+N804*[1]Sheet1!$E$8,IF(AND(D804="S. californicus",G804&gt;0),E804*[1]Sheet1!$D$9+N804*[1]Sheet1!$E$9,IF(D804="S. maritimus",F804*[1]Sheet1!$C$10+E804*[1]Sheet1!$D$10+G804*[1]Sheet1!$F$10+[1]Sheet1!$L$10,IF(D804="S. americanus",F804*[1]Sheet1!$C$6+E804*[1]Sheet1!$D$6+[1]Sheet1!$L$6,IF(AND(OR(D804="T. domingensis",D804="T. latifolia"),E804&gt;0),F804*[1]Sheet1!$C$4+E804*[1]Sheet1!$D$4+H804*[1]Sheet1!$J$4+I804*[1]Sheet1!$K$4+[1]Sheet1!$L$4,IF(AND(OR(D804="T. domingensis",D804="T. latifolia"),J804&gt;0),J804*[1]Sheet1!$G$5+K804*[1]Sheet1!$H$5+L804*[1]Sheet1!$I$5+[1]Sheet1!$L$5,0)))))))</f>
        <v>4.2360539999999993</v>
      </c>
      <c r="P804">
        <f t="shared" si="42"/>
        <v>4.2360539999999993</v>
      </c>
      <c r="S804">
        <f t="shared" si="43"/>
        <v>0.7542957589999999</v>
      </c>
    </row>
    <row r="805" spans="1:19">
      <c r="A805" s="7">
        <v>42445</v>
      </c>
      <c r="B805" s="8" t="s">
        <v>25</v>
      </c>
      <c r="C805">
        <v>31</v>
      </c>
      <c r="D805" s="8" t="s">
        <v>61</v>
      </c>
      <c r="F805">
        <v>2.61</v>
      </c>
      <c r="J805">
        <f>68+107+148+175+185+230</f>
        <v>913</v>
      </c>
      <c r="K805">
        <v>6</v>
      </c>
      <c r="L805">
        <v>230</v>
      </c>
      <c r="N805" t="str">
        <f t="shared" si="44"/>
        <v>NA</v>
      </c>
      <c r="O805">
        <f>IF(AND(OR(D805="S. acutus",D805="S. californicus",D805="S. tabernaemontani"),G805=0),E805*[1]Sheet1!$D$7+[1]Sheet1!$L$7,IF(AND(OR(D805="S. acutus",D805="S. tabernaemontani"),G805&gt;0),E805*[1]Sheet1!$D$8+N805*[1]Sheet1!$E$8,IF(AND(D805="S. californicus",G805&gt;0),E805*[1]Sheet1!$D$9+N805*[1]Sheet1!$E$9,IF(D805="S. maritimus",F805*[1]Sheet1!$C$10+E805*[1]Sheet1!$D$10+G805*[1]Sheet1!$F$10+[1]Sheet1!$L$10,IF(D805="S. americanus",F805*[1]Sheet1!$C$6+E805*[1]Sheet1!$D$6+[1]Sheet1!$L$6,IF(AND(OR(D805="T. domingensis",D805="T. latifolia"),E805&gt;0),F805*[1]Sheet1!$C$4+E805*[1]Sheet1!$D$4+H805*[1]Sheet1!$J$4+I805*[1]Sheet1!$K$4+[1]Sheet1!$L$4,IF(AND(OR(D805="T. domingensis",D805="T. latifolia"),J805&gt;0),J805*[1]Sheet1!$G$5+K805*[1]Sheet1!$H$5+L805*[1]Sheet1!$I$5+[1]Sheet1!$L$5,0)))))))</f>
        <v>7.2148309999999967</v>
      </c>
      <c r="P805">
        <f t="shared" si="42"/>
        <v>7.2148309999999967</v>
      </c>
      <c r="S805">
        <f t="shared" si="43"/>
        <v>5.350206309749999</v>
      </c>
    </row>
    <row r="806" spans="1:19">
      <c r="A806" s="7">
        <v>42445</v>
      </c>
      <c r="B806" s="8" t="s">
        <v>25</v>
      </c>
      <c r="C806">
        <v>31</v>
      </c>
      <c r="D806" s="8" t="s">
        <v>61</v>
      </c>
      <c r="F806">
        <v>0.52</v>
      </c>
      <c r="J806">
        <f>14+15+16</f>
        <v>45</v>
      </c>
      <c r="K806">
        <v>3</v>
      </c>
      <c r="L806">
        <v>16</v>
      </c>
      <c r="N806" t="str">
        <f t="shared" si="44"/>
        <v>NA</v>
      </c>
      <c r="O806">
        <f>IF(AND(OR(D806="S. acutus",D806="S. californicus",D806="S. tabernaemontani"),G806=0),E806*[1]Sheet1!$D$7+[1]Sheet1!$L$7,IF(AND(OR(D806="S. acutus",D806="S. tabernaemontani"),G806&gt;0),E806*[1]Sheet1!$D$8+N806*[1]Sheet1!$E$8,IF(AND(D806="S. californicus",G806&gt;0),E806*[1]Sheet1!$D$9+N806*[1]Sheet1!$E$9,IF(D806="S. maritimus",F806*[1]Sheet1!$C$10+E806*[1]Sheet1!$D$10+G806*[1]Sheet1!$F$10+[1]Sheet1!$L$10,IF(D806="S. americanus",F806*[1]Sheet1!$C$6+E806*[1]Sheet1!$D$6+[1]Sheet1!$L$6,IF(AND(OR(D806="T. domingensis",D806="T. latifolia"),E806&gt;0),F806*[1]Sheet1!$C$4+E806*[1]Sheet1!$D$4+H806*[1]Sheet1!$J$4+I806*[1]Sheet1!$K$4+[1]Sheet1!$L$4,IF(AND(OR(D806="T. domingensis",D806="T. latifolia"),J806&gt;0),J806*[1]Sheet1!$G$5+K806*[1]Sheet1!$H$5+L806*[1]Sheet1!$I$5+[1]Sheet1!$L$5,0)))))))</f>
        <v>11.368979999999997</v>
      </c>
      <c r="P806">
        <f t="shared" si="42"/>
        <v>11.368979999999997</v>
      </c>
      <c r="S806">
        <f t="shared" si="43"/>
        <v>0.21237148400000003</v>
      </c>
    </row>
    <row r="807" spans="1:19">
      <c r="A807" s="7">
        <v>42445</v>
      </c>
      <c r="B807" s="8" t="s">
        <v>25</v>
      </c>
      <c r="C807">
        <v>30</v>
      </c>
      <c r="M807" t="s">
        <v>66</v>
      </c>
      <c r="N807" t="str">
        <f t="shared" si="44"/>
        <v>NA</v>
      </c>
      <c r="O807">
        <f>IF(AND(OR(D807="S. acutus",D807="S. californicus",D807="S. tabernaemontani"),G807=0),E807*[1]Sheet1!$D$7+[1]Sheet1!$L$7,IF(AND(OR(D807="S. acutus",D807="S. tabernaemontani"),G807&gt;0),E807*[1]Sheet1!$D$8+N807*[1]Sheet1!$E$8,IF(AND(D807="S. californicus",G807&gt;0),E807*[1]Sheet1!$D$9+N807*[1]Sheet1!$E$9,IF(D807="S. maritimus",F807*[1]Sheet1!$C$10+E807*[1]Sheet1!$D$10+G807*[1]Sheet1!$F$10+[1]Sheet1!$L$10,IF(D807="S. americanus",F807*[1]Sheet1!$C$6+E807*[1]Sheet1!$D$6+[1]Sheet1!$L$6,IF(AND(OR(D807="T. domingensis",D807="T. latifolia"),E807&gt;0),F807*[1]Sheet1!$C$4+E807*[1]Sheet1!$D$4+H807*[1]Sheet1!$J$4+I807*[1]Sheet1!$K$4+[1]Sheet1!$L$4,IF(AND(OR(D807="T. domingensis",D807="T. latifolia"),J807&gt;0),J807*[1]Sheet1!$G$5+K807*[1]Sheet1!$H$5+L807*[1]Sheet1!$I$5+[1]Sheet1!$L$5,0)))))))</f>
        <v>0</v>
      </c>
      <c r="P807">
        <f t="shared" si="42"/>
        <v>0</v>
      </c>
      <c r="S807">
        <f t="shared" si="43"/>
        <v>0</v>
      </c>
    </row>
    <row r="808" spans="1:19">
      <c r="A808" s="7">
        <v>42445</v>
      </c>
      <c r="B808" s="8" t="s">
        <v>25</v>
      </c>
      <c r="C808">
        <v>6</v>
      </c>
      <c r="M808" t="s">
        <v>62</v>
      </c>
      <c r="N808" t="str">
        <f t="shared" si="44"/>
        <v>NA</v>
      </c>
      <c r="O808">
        <f>IF(AND(OR(D808="S. acutus",D808="S. californicus",D808="S. tabernaemontani"),G808=0),E808*[1]Sheet1!$D$7+[1]Sheet1!$L$7,IF(AND(OR(D808="S. acutus",D808="S. tabernaemontani"),G808&gt;0),E808*[1]Sheet1!$D$8+N808*[1]Sheet1!$E$8,IF(AND(D808="S. californicus",G808&gt;0),E808*[1]Sheet1!$D$9+N808*[1]Sheet1!$E$9,IF(D808="S. maritimus",F808*[1]Sheet1!$C$10+E808*[1]Sheet1!$D$10+G808*[1]Sheet1!$F$10+[1]Sheet1!$L$10,IF(D808="S. americanus",F808*[1]Sheet1!$C$6+E808*[1]Sheet1!$D$6+[1]Sheet1!$L$6,IF(AND(OR(D808="T. domingensis",D808="T. latifolia"),E808&gt;0),F808*[1]Sheet1!$C$4+E808*[1]Sheet1!$D$4+H808*[1]Sheet1!$J$4+I808*[1]Sheet1!$K$4+[1]Sheet1!$L$4,IF(AND(OR(D808="T. domingensis",D808="T. latifolia"),J808&gt;0),J808*[1]Sheet1!$G$5+K808*[1]Sheet1!$H$5+L808*[1]Sheet1!$I$5+[1]Sheet1!$L$5,0)))))))</f>
        <v>0</v>
      </c>
      <c r="P808">
        <f t="shared" si="42"/>
        <v>0</v>
      </c>
      <c r="S808">
        <f t="shared" si="43"/>
        <v>0</v>
      </c>
    </row>
    <row r="809" spans="1:19">
      <c r="A809" s="7">
        <v>42445</v>
      </c>
      <c r="B809" s="8" t="s">
        <v>25</v>
      </c>
      <c r="C809">
        <v>4</v>
      </c>
      <c r="D809" s="8" t="s">
        <v>61</v>
      </c>
      <c r="F809">
        <v>2.69</v>
      </c>
      <c r="J809">
        <f>41+79+83+101+130+131+162</f>
        <v>727</v>
      </c>
      <c r="K809">
        <v>7</v>
      </c>
      <c r="L809">
        <v>162</v>
      </c>
      <c r="N809" t="str">
        <f t="shared" si="44"/>
        <v>NA</v>
      </c>
      <c r="O809">
        <f>IF(AND(OR(D809="S. acutus",D809="S. californicus",D809="S. tabernaemontani"),G809=0),E809*[1]Sheet1!$D$7+[1]Sheet1!$L$7,IF(AND(OR(D809="S. acutus",D809="S. tabernaemontani"),G809&gt;0),E809*[1]Sheet1!$D$8+N809*[1]Sheet1!$E$8,IF(AND(D809="S. californicus",G809&gt;0),E809*[1]Sheet1!$D$9+N809*[1]Sheet1!$E$9,IF(D809="S. maritimus",F809*[1]Sheet1!$C$10+E809*[1]Sheet1!$D$10+G809*[1]Sheet1!$F$10+[1]Sheet1!$L$10,IF(D809="S. americanus",F809*[1]Sheet1!$C$6+E809*[1]Sheet1!$D$6+[1]Sheet1!$L$6,IF(AND(OR(D809="T. domingensis",D809="T. latifolia"),E809&gt;0),F809*[1]Sheet1!$C$4+E809*[1]Sheet1!$D$4+H809*[1]Sheet1!$J$4+I809*[1]Sheet1!$K$4+[1]Sheet1!$L$4,IF(AND(OR(D809="T. domingensis",D809="T. latifolia"),J809&gt;0),J809*[1]Sheet1!$G$5+K809*[1]Sheet1!$H$5+L809*[1]Sheet1!$I$5+[1]Sheet1!$L$5,0)))))))</f>
        <v>3.2387080000000026</v>
      </c>
      <c r="P809">
        <f t="shared" si="42"/>
        <v>3.2387080000000026</v>
      </c>
      <c r="S809">
        <f t="shared" si="43"/>
        <v>5.6832148497499997</v>
      </c>
    </row>
    <row r="810" spans="1:19">
      <c r="A810" s="7">
        <v>42445</v>
      </c>
      <c r="B810" s="8" t="s">
        <v>25</v>
      </c>
      <c r="C810">
        <v>4</v>
      </c>
      <c r="D810" s="8" t="s">
        <v>61</v>
      </c>
      <c r="F810">
        <v>2.65</v>
      </c>
      <c r="J810">
        <f>63+102+135+167+232+230</f>
        <v>929</v>
      </c>
      <c r="K810">
        <v>6</v>
      </c>
      <c r="L810">
        <v>232</v>
      </c>
      <c r="N810" t="str">
        <f t="shared" si="44"/>
        <v>NA</v>
      </c>
      <c r="O810">
        <f>IF(AND(OR(D810="S. acutus",D810="S. californicus",D810="S. tabernaemontani"),G810=0),E810*[1]Sheet1!$D$7+[1]Sheet1!$L$7,IF(AND(OR(D810="S. acutus",D810="S. tabernaemontani"),G810&gt;0),E810*[1]Sheet1!$D$8+N810*[1]Sheet1!$E$8,IF(AND(D810="S. californicus",G810&gt;0),E810*[1]Sheet1!$D$9+N810*[1]Sheet1!$E$9,IF(D810="S. maritimus",F810*[1]Sheet1!$C$10+E810*[1]Sheet1!$D$10+G810*[1]Sheet1!$F$10+[1]Sheet1!$L$10,IF(D810="S. americanus",F810*[1]Sheet1!$C$6+E810*[1]Sheet1!$D$6+[1]Sheet1!$L$6,IF(AND(OR(D810="T. domingensis",D810="T. latifolia"),E810&gt;0),F810*[1]Sheet1!$C$4+E810*[1]Sheet1!$D$4+H810*[1]Sheet1!$J$4+I810*[1]Sheet1!$K$4+[1]Sheet1!$L$4,IF(AND(OR(D810="T. domingensis",D810="T. latifolia"),J810&gt;0),J810*[1]Sheet1!$G$5+K810*[1]Sheet1!$H$5+L810*[1]Sheet1!$I$5+[1]Sheet1!$L$5,0)))))))</f>
        <v>8.1124210000000048</v>
      </c>
      <c r="P810">
        <f t="shared" si="42"/>
        <v>8.1124210000000048</v>
      </c>
      <c r="S810">
        <f t="shared" si="43"/>
        <v>5.5154539437499999</v>
      </c>
    </row>
    <row r="811" spans="1:19">
      <c r="A811" s="7">
        <v>42445</v>
      </c>
      <c r="B811" s="8" t="s">
        <v>25</v>
      </c>
      <c r="C811">
        <v>4</v>
      </c>
      <c r="D811" s="8" t="s">
        <v>65</v>
      </c>
      <c r="E811">
        <v>147</v>
      </c>
      <c r="F811">
        <v>1.47</v>
      </c>
      <c r="G811">
        <v>4</v>
      </c>
      <c r="N811">
        <f t="shared" si="44"/>
        <v>83.161107429749975</v>
      </c>
      <c r="O811">
        <f>IF(AND(OR(D811="S. acutus",D811="S. californicus",D811="S. tabernaemontani"),G811=0),E811*[1]Sheet1!$D$7+[1]Sheet1!$L$7,IF(AND(OR(D811="S. acutus",D811="S. tabernaemontani"),G811&gt;0),E811*[1]Sheet1!$D$8+N811*[1]Sheet1!$E$8,IF(AND(D811="S. californicus",G811&gt;0),E811*[1]Sheet1!$D$9+N811*[1]Sheet1!$E$9,IF(D811="S. maritimus",F811*[1]Sheet1!$C$10+E811*[1]Sheet1!$D$10+G811*[1]Sheet1!$F$10+[1]Sheet1!$L$10,IF(D811="S. americanus",F811*[1]Sheet1!$C$6+E811*[1]Sheet1!$D$6+[1]Sheet1!$L$6,IF(AND(OR(D811="T. domingensis",D811="T. latifolia"),E811&gt;0),F811*[1]Sheet1!$C$4+E811*[1]Sheet1!$D$4+H811*[1]Sheet1!$J$4+I811*[1]Sheet1!$K$4+[1]Sheet1!$L$4,IF(AND(OR(D811="T. domingensis",D811="T. latifolia"),J811&gt;0),J811*[1]Sheet1!$G$5+K811*[1]Sheet1!$H$5+L811*[1]Sheet1!$I$5+[1]Sheet1!$L$5,0)))))))</f>
        <v>8.3967929099034002</v>
      </c>
      <c r="P811">
        <f t="shared" si="42"/>
        <v>8.3967929099034002</v>
      </c>
      <c r="S811">
        <f t="shared" si="43"/>
        <v>1.6971654577499997</v>
      </c>
    </row>
    <row r="812" spans="1:19">
      <c r="A812" s="7">
        <v>42445</v>
      </c>
      <c r="B812" s="8" t="s">
        <v>25</v>
      </c>
      <c r="C812">
        <v>4</v>
      </c>
      <c r="D812" s="8" t="s">
        <v>61</v>
      </c>
      <c r="F812">
        <v>3.42</v>
      </c>
      <c r="J812">
        <f>53+90+120+158+178+198</f>
        <v>797</v>
      </c>
      <c r="K812">
        <v>6</v>
      </c>
      <c r="L812">
        <v>198</v>
      </c>
      <c r="N812" t="str">
        <f t="shared" si="44"/>
        <v>NA</v>
      </c>
      <c r="O812">
        <f>IF(AND(OR(D812="S. acutus",D812="S. californicus",D812="S. tabernaemontani"),G812=0),E812*[1]Sheet1!$D$7+[1]Sheet1!$L$7,IF(AND(OR(D812="S. acutus",D812="S. tabernaemontani"),G812&gt;0),E812*[1]Sheet1!$D$8+N812*[1]Sheet1!$E$8,IF(AND(D812="S. californicus",G812&gt;0),E812*[1]Sheet1!$D$9+N812*[1]Sheet1!$E$9,IF(D812="S. maritimus",F812*[1]Sheet1!$C$10+E812*[1]Sheet1!$D$10+G812*[1]Sheet1!$F$10+[1]Sheet1!$L$10,IF(D812="S. americanus",F812*[1]Sheet1!$C$6+E812*[1]Sheet1!$D$6+[1]Sheet1!$L$6,IF(AND(OR(D812="T. domingensis",D812="T. latifolia"),E812&gt;0),F812*[1]Sheet1!$C$4+E812*[1]Sheet1!$D$4+H812*[1]Sheet1!$J$4+I812*[1]Sheet1!$K$4+[1]Sheet1!$L$4,IF(AND(OR(D812="T. domingensis",D812="T. latifolia"),J812&gt;0),J812*[1]Sheet1!$G$5+K812*[1]Sheet1!$H$5+L812*[1]Sheet1!$I$5+[1]Sheet1!$L$5,0)))))))</f>
        <v>5.9790909999999968</v>
      </c>
      <c r="P812">
        <f t="shared" si="42"/>
        <v>5.9790909999999968</v>
      </c>
      <c r="S812">
        <f t="shared" si="43"/>
        <v>9.1863233189999995</v>
      </c>
    </row>
    <row r="813" spans="1:19">
      <c r="A813" s="7">
        <v>42445</v>
      </c>
      <c r="B813" s="8" t="s">
        <v>25</v>
      </c>
      <c r="C813">
        <v>4</v>
      </c>
      <c r="D813" s="8" t="s">
        <v>61</v>
      </c>
      <c r="F813">
        <v>4.0999999999999996</v>
      </c>
      <c r="J813">
        <f>108+140+148+176+195+197</f>
        <v>964</v>
      </c>
      <c r="K813">
        <v>6</v>
      </c>
      <c r="L813">
        <v>197</v>
      </c>
      <c r="N813" t="str">
        <f t="shared" si="44"/>
        <v>NA</v>
      </c>
      <c r="O813">
        <f>IF(AND(OR(D813="S. acutus",D813="S. californicus",D813="S. tabernaemontani"),G813=0),E813*[1]Sheet1!$D$7+[1]Sheet1!$L$7,IF(AND(OR(D813="S. acutus",D813="S. tabernaemontani"),G813&gt;0),E813*[1]Sheet1!$D$8+N813*[1]Sheet1!$E$8,IF(AND(D813="S. californicus",G813&gt;0),E813*[1]Sheet1!$D$9+N813*[1]Sheet1!$E$9,IF(D813="S. maritimus",F813*[1]Sheet1!$C$10+E813*[1]Sheet1!$D$10+G813*[1]Sheet1!$F$10+[1]Sheet1!$L$10,IF(D813="S. americanus",F813*[1]Sheet1!$C$6+E813*[1]Sheet1!$D$6+[1]Sheet1!$L$6,IF(AND(OR(D813="T. domingensis",D813="T. latifolia"),E813&gt;0),F813*[1]Sheet1!$C$4+E813*[1]Sheet1!$D$4+H813*[1]Sheet1!$J$4+I813*[1]Sheet1!$K$4+[1]Sheet1!$L$4,IF(AND(OR(D813="T. domingensis",D813="T. latifolia"),J813&gt;0),J813*[1]Sheet1!$G$5+K813*[1]Sheet1!$H$5+L813*[1]Sheet1!$I$5+[1]Sheet1!$L$5,0)))))))</f>
        <v>21.937421000000008</v>
      </c>
      <c r="P813">
        <f t="shared" si="42"/>
        <v>21.937421000000008</v>
      </c>
      <c r="S813">
        <f t="shared" si="43"/>
        <v>13.202531974999998</v>
      </c>
    </row>
    <row r="814" spans="1:19">
      <c r="A814" s="7">
        <v>42445</v>
      </c>
      <c r="B814" s="8" t="s">
        <v>25</v>
      </c>
      <c r="C814">
        <v>4</v>
      </c>
      <c r="D814" s="8" t="s">
        <v>61</v>
      </c>
      <c r="F814">
        <v>0.63</v>
      </c>
      <c r="J814">
        <f>48+53+55</f>
        <v>156</v>
      </c>
      <c r="K814">
        <v>3</v>
      </c>
      <c r="L814">
        <v>55</v>
      </c>
      <c r="N814" t="str">
        <f t="shared" si="44"/>
        <v>NA</v>
      </c>
      <c r="O814">
        <f>IF(AND(OR(D814="S. acutus",D814="S. californicus",D814="S. tabernaemontani"),G814=0),E814*[1]Sheet1!$D$7+[1]Sheet1!$L$7,IF(AND(OR(D814="S. acutus",D814="S. tabernaemontani"),G814&gt;0),E814*[1]Sheet1!$D$8+N814*[1]Sheet1!$E$8,IF(AND(D814="S. californicus",G814&gt;0),E814*[1]Sheet1!$D$9+N814*[1]Sheet1!$E$9,IF(D814="S. maritimus",F814*[1]Sheet1!$C$10+E814*[1]Sheet1!$D$10+G814*[1]Sheet1!$F$10+[1]Sheet1!$L$10,IF(D814="S. americanus",F814*[1]Sheet1!$C$6+E814*[1]Sheet1!$D$6+[1]Sheet1!$L$6,IF(AND(OR(D814="T. domingensis",D814="T. latifolia"),E814&gt;0),F814*[1]Sheet1!$C$4+E814*[1]Sheet1!$D$4+H814*[1]Sheet1!$J$4+I814*[1]Sheet1!$K$4+[1]Sheet1!$L$4,IF(AND(OR(D814="T. domingensis",D814="T. latifolia"),J814&gt;0),J814*[1]Sheet1!$G$5+K814*[1]Sheet1!$H$5+L814*[1]Sheet1!$I$5+[1]Sheet1!$L$5,0)))))))</f>
        <v>10.027229999999996</v>
      </c>
      <c r="P814">
        <f t="shared" si="42"/>
        <v>10.027229999999996</v>
      </c>
      <c r="S814">
        <f t="shared" si="43"/>
        <v>0.31172426775000001</v>
      </c>
    </row>
    <row r="815" spans="1:19">
      <c r="A815" s="7"/>
      <c r="B815" s="8"/>
      <c r="S815">
        <f>SUM(S4:S814)</f>
        <v>2361.6274986092453</v>
      </c>
    </row>
  </sheetData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ignoredErrors>
    <ignoredError sqref="N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A11" workbookViewId="0">
      <selection activeCell="AA3" sqref="AA3:AA52"/>
    </sheetView>
  </sheetViews>
  <sheetFormatPr baseColWidth="10" defaultRowHeight="15" x14ac:dyDescent="0"/>
  <sheetData>
    <row r="1" spans="1:34" ht="21" thickBot="1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12"/>
      <c r="AA1" s="12"/>
    </row>
    <row r="2" spans="1:34" ht="106" thickTop="1">
      <c r="A2" s="13" t="s">
        <v>28</v>
      </c>
      <c r="B2" s="13" t="s">
        <v>4</v>
      </c>
      <c r="C2" s="5" t="s">
        <v>29</v>
      </c>
      <c r="D2" s="14" t="s">
        <v>30</v>
      </c>
      <c r="E2" s="13" t="s">
        <v>31</v>
      </c>
      <c r="F2" s="5" t="s">
        <v>32</v>
      </c>
      <c r="G2" s="5" t="s">
        <v>30</v>
      </c>
      <c r="H2" s="13" t="s">
        <v>33</v>
      </c>
      <c r="I2" s="5" t="s">
        <v>34</v>
      </c>
      <c r="J2" s="5" t="s">
        <v>30</v>
      </c>
      <c r="K2" s="13" t="s">
        <v>35</v>
      </c>
      <c r="L2" s="5" t="s">
        <v>36</v>
      </c>
      <c r="M2" s="15" t="s">
        <v>30</v>
      </c>
      <c r="N2" s="13" t="s">
        <v>37</v>
      </c>
      <c r="O2" s="5" t="s">
        <v>38</v>
      </c>
      <c r="P2" s="5" t="s">
        <v>30</v>
      </c>
      <c r="Q2" s="13" t="s">
        <v>39</v>
      </c>
      <c r="R2" s="5" t="s">
        <v>40</v>
      </c>
      <c r="S2" s="15" t="s">
        <v>30</v>
      </c>
      <c r="T2" s="13" t="s">
        <v>41</v>
      </c>
      <c r="U2" s="5" t="s">
        <v>42</v>
      </c>
      <c r="V2" s="5" t="s">
        <v>30</v>
      </c>
      <c r="W2" s="13" t="s">
        <v>43</v>
      </c>
      <c r="X2" s="13" t="s">
        <v>44</v>
      </c>
      <c r="Y2" s="13" t="s">
        <v>45</v>
      </c>
      <c r="Z2" s="13" t="s">
        <v>46</v>
      </c>
      <c r="AA2" s="13" t="s">
        <v>47</v>
      </c>
      <c r="AB2" s="13" t="s">
        <v>48</v>
      </c>
      <c r="AC2" s="13" t="s">
        <v>49</v>
      </c>
      <c r="AD2" s="13" t="s">
        <v>50</v>
      </c>
      <c r="AE2" s="13" t="s">
        <v>51</v>
      </c>
      <c r="AF2" s="16" t="s">
        <v>52</v>
      </c>
      <c r="AG2" s="16" t="s">
        <v>53</v>
      </c>
      <c r="AH2" s="16" t="s">
        <v>54</v>
      </c>
    </row>
    <row r="3" spans="1:34">
      <c r="A3" s="17" t="s">
        <v>55</v>
      </c>
      <c r="B3" s="18">
        <v>48</v>
      </c>
      <c r="C3" s="19">
        <v>0</v>
      </c>
      <c r="D3" s="20"/>
      <c r="E3" s="18">
        <f>C3*4</f>
        <v>0</v>
      </c>
      <c r="F3" s="19">
        <v>0</v>
      </c>
      <c r="G3" s="21"/>
      <c r="H3" s="18">
        <f>F3*4</f>
        <v>0</v>
      </c>
      <c r="I3" s="19">
        <v>0</v>
      </c>
      <c r="J3" s="21"/>
      <c r="K3" s="18">
        <f>I3*4</f>
        <v>0</v>
      </c>
      <c r="L3" s="19">
        <v>0</v>
      </c>
      <c r="M3" s="21"/>
      <c r="N3" s="18">
        <f>L3*4</f>
        <v>0</v>
      </c>
      <c r="O3" s="19">
        <v>0</v>
      </c>
      <c r="P3" s="21"/>
      <c r="Q3" s="18">
        <f>O3*4</f>
        <v>0</v>
      </c>
      <c r="R3" s="19">
        <f>SUM('Plant Measurements'!P139:P141)</f>
        <v>25.952222000000013</v>
      </c>
      <c r="S3" s="21"/>
      <c r="T3" s="18">
        <f>R3*4</f>
        <v>103.80888800000005</v>
      </c>
      <c r="U3" s="19">
        <v>0</v>
      </c>
      <c r="V3" s="21"/>
      <c r="W3" s="18">
        <f>U3*4</f>
        <v>0</v>
      </c>
      <c r="X3" s="18">
        <f>SUM(W3,T3,Q3,N3,K3,H3,E3)</f>
        <v>103.80888800000005</v>
      </c>
      <c r="Y3" s="22">
        <f>AVERAGE(X3:X7)</f>
        <v>250.48868480000002</v>
      </c>
      <c r="Z3" s="23">
        <f>E3+Q3</f>
        <v>0</v>
      </c>
      <c r="AA3" s="23">
        <f>W3+T3</f>
        <v>103.80888800000005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436.69550686475083</v>
      </c>
    </row>
    <row r="4" spans="1:34">
      <c r="A4" s="24" t="s">
        <v>55</v>
      </c>
      <c r="B4" s="25">
        <v>31</v>
      </c>
      <c r="C4" s="26">
        <v>0</v>
      </c>
      <c r="D4" s="27"/>
      <c r="E4" s="18">
        <f t="shared" ref="E4:E52" si="0">C4*4</f>
        <v>0</v>
      </c>
      <c r="F4" s="26">
        <v>0</v>
      </c>
      <c r="G4" s="28"/>
      <c r="H4" s="18">
        <f t="shared" ref="H4:H8" si="1">F4*4</f>
        <v>0</v>
      </c>
      <c r="I4" s="26">
        <v>0</v>
      </c>
      <c r="J4" s="28"/>
      <c r="K4" s="18">
        <f t="shared" ref="K4:K52" si="2">I4*4</f>
        <v>0</v>
      </c>
      <c r="L4" s="26">
        <v>0</v>
      </c>
      <c r="M4" s="28"/>
      <c r="N4" s="18">
        <f t="shared" ref="N4:N52" si="3">L4*4</f>
        <v>0</v>
      </c>
      <c r="O4" s="26">
        <v>0</v>
      </c>
      <c r="P4" s="28"/>
      <c r="Q4" s="18">
        <f t="shared" ref="Q4:Q52" si="4">O4*4</f>
        <v>0</v>
      </c>
      <c r="R4" s="26">
        <f>SUM('Plant Measurements'!P142:P153)</f>
        <v>104.30374199999997</v>
      </c>
      <c r="S4" s="28"/>
      <c r="T4" s="18">
        <f t="shared" ref="T4:T52" si="5">R4*4</f>
        <v>417.21496799999989</v>
      </c>
      <c r="U4" s="26">
        <v>0</v>
      </c>
      <c r="V4" s="28"/>
      <c r="W4" s="18">
        <f t="shared" ref="W4:W52" si="6">U4*4</f>
        <v>0</v>
      </c>
      <c r="X4" s="25">
        <f t="shared" ref="X4:X52" si="7">SUM(W4,T4,Q4,N4,K4,H4,E4)</f>
        <v>417.21496799999989</v>
      </c>
      <c r="Y4" s="29"/>
      <c r="Z4" s="23">
        <f t="shared" ref="Z4:Z52" si="8">E4+Q4</f>
        <v>0</v>
      </c>
      <c r="AA4" s="23">
        <f t="shared" ref="AA4:AA52" si="9">W4+T4</f>
        <v>417.21496799999989</v>
      </c>
      <c r="AB4">
        <f t="shared" ref="AB4:AB52" si="10">IF(X4&gt;0,(Q4+E4)/X4," ")</f>
        <v>0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1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1755.1088874232105</v>
      </c>
    </row>
    <row r="5" spans="1:34">
      <c r="A5" s="24" t="s">
        <v>55</v>
      </c>
      <c r="B5" s="25">
        <v>26</v>
      </c>
      <c r="C5" s="26">
        <v>0</v>
      </c>
      <c r="D5" s="27"/>
      <c r="E5" s="18">
        <f t="shared" si="0"/>
        <v>0</v>
      </c>
      <c r="F5" s="26">
        <v>0</v>
      </c>
      <c r="G5" s="28"/>
      <c r="H5" s="18">
        <f t="shared" si="1"/>
        <v>0</v>
      </c>
      <c r="I5" s="26">
        <v>0</v>
      </c>
      <c r="J5" s="28"/>
      <c r="K5" s="18">
        <f t="shared" si="2"/>
        <v>0</v>
      </c>
      <c r="L5" s="26">
        <v>0</v>
      </c>
      <c r="M5" s="28"/>
      <c r="N5" s="18">
        <f t="shared" si="3"/>
        <v>0</v>
      </c>
      <c r="O5" s="26">
        <v>0</v>
      </c>
      <c r="P5" s="28"/>
      <c r="Q5" s="18">
        <f t="shared" si="4"/>
        <v>0</v>
      </c>
      <c r="R5" s="26">
        <f>SUM('Plant Measurements'!P154:P162)</f>
        <v>41.162868000000017</v>
      </c>
      <c r="S5" s="28"/>
      <c r="T5" s="18">
        <f t="shared" si="5"/>
        <v>164.65147200000007</v>
      </c>
      <c r="U5" s="26">
        <v>0</v>
      </c>
      <c r="V5" s="28"/>
      <c r="W5" s="18">
        <f t="shared" si="6"/>
        <v>0</v>
      </c>
      <c r="X5" s="25">
        <f t="shared" si="7"/>
        <v>164.65147200000007</v>
      </c>
      <c r="Y5" s="29"/>
      <c r="Z5" s="23">
        <f t="shared" si="8"/>
        <v>0</v>
      </c>
      <c r="AA5" s="23">
        <f t="shared" si="9"/>
        <v>164.65147200000007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>
        <f t="shared" si="14"/>
        <v>21033.62801</v>
      </c>
      <c r="AG5">
        <f t="shared" si="15"/>
        <v>4206.7256020000004</v>
      </c>
      <c r="AH5">
        <f t="shared" si="16"/>
        <v>692.64356266938648</v>
      </c>
    </row>
    <row r="6" spans="1:34">
      <c r="A6" s="24" t="s">
        <v>55</v>
      </c>
      <c r="B6" s="25">
        <v>21</v>
      </c>
      <c r="C6" s="26">
        <v>0</v>
      </c>
      <c r="D6" s="27"/>
      <c r="E6" s="18">
        <f t="shared" si="0"/>
        <v>0</v>
      </c>
      <c r="F6" s="26">
        <v>0</v>
      </c>
      <c r="G6" s="28"/>
      <c r="H6" s="18">
        <f t="shared" si="1"/>
        <v>0</v>
      </c>
      <c r="I6" s="26">
        <v>0</v>
      </c>
      <c r="J6" s="28"/>
      <c r="K6" s="18">
        <f t="shared" si="2"/>
        <v>0</v>
      </c>
      <c r="L6" s="26">
        <v>0</v>
      </c>
      <c r="M6" s="28"/>
      <c r="N6" s="18">
        <f t="shared" si="3"/>
        <v>0</v>
      </c>
      <c r="O6" s="26">
        <v>0</v>
      </c>
      <c r="P6" s="28"/>
      <c r="Q6" s="18">
        <f t="shared" si="4"/>
        <v>0</v>
      </c>
      <c r="R6" s="26">
        <f>SUM('Plant Measurements'!P163:P175)</f>
        <v>69.111057000000002</v>
      </c>
      <c r="S6" s="28"/>
      <c r="T6" s="18">
        <f t="shared" si="5"/>
        <v>276.44422800000001</v>
      </c>
      <c r="U6" s="26">
        <v>0</v>
      </c>
      <c r="V6" s="28"/>
      <c r="W6" s="18">
        <f t="shared" si="6"/>
        <v>0</v>
      </c>
      <c r="X6" s="25">
        <f t="shared" si="7"/>
        <v>276.44422800000001</v>
      </c>
      <c r="Y6" s="29"/>
      <c r="Z6" s="23">
        <f t="shared" si="8"/>
        <v>0</v>
      </c>
      <c r="AA6" s="23">
        <f t="shared" si="9"/>
        <v>276.44422800000001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1</v>
      </c>
      <c r="AF6">
        <f t="shared" si="14"/>
        <v>21033.62801</v>
      </c>
      <c r="AG6">
        <f>AF6/5</f>
        <v>4206.7256020000004</v>
      </c>
      <c r="AH6">
        <f t="shared" si="16"/>
        <v>1162.9250114527254</v>
      </c>
    </row>
    <row r="7" spans="1:34">
      <c r="A7" s="30" t="s">
        <v>55</v>
      </c>
      <c r="B7" s="31">
        <v>13</v>
      </c>
      <c r="C7" s="32">
        <v>0</v>
      </c>
      <c r="D7" s="33"/>
      <c r="E7" s="18">
        <f t="shared" si="0"/>
        <v>0</v>
      </c>
      <c r="F7" s="32">
        <v>0</v>
      </c>
      <c r="G7" s="34"/>
      <c r="H7" s="18">
        <f t="shared" si="1"/>
        <v>0</v>
      </c>
      <c r="I7" s="32">
        <v>0</v>
      </c>
      <c r="J7" s="34"/>
      <c r="K7" s="18">
        <f t="shared" si="2"/>
        <v>0</v>
      </c>
      <c r="L7" s="32">
        <v>0</v>
      </c>
      <c r="M7" s="34"/>
      <c r="N7" s="18">
        <f t="shared" si="3"/>
        <v>0</v>
      </c>
      <c r="O7" s="32">
        <v>0</v>
      </c>
      <c r="P7" s="34"/>
      <c r="Q7" s="18">
        <f t="shared" si="4"/>
        <v>0</v>
      </c>
      <c r="R7" s="32">
        <f>SUM('Plant Measurements'!P176:P178,'Plant Measurements'!P180,'Plant Measurements'!P182:P190)</f>
        <v>72.580967000000015</v>
      </c>
      <c r="S7" s="34"/>
      <c r="T7" s="18">
        <f t="shared" si="5"/>
        <v>290.32386800000006</v>
      </c>
      <c r="U7" s="32">
        <v>0</v>
      </c>
      <c r="V7" s="34"/>
      <c r="W7" s="18">
        <f t="shared" si="6"/>
        <v>0</v>
      </c>
      <c r="X7" s="31">
        <f t="shared" si="7"/>
        <v>290.32386800000006</v>
      </c>
      <c r="Y7" s="35"/>
      <c r="Z7" s="23">
        <f t="shared" si="8"/>
        <v>0</v>
      </c>
      <c r="AA7" s="23">
        <f t="shared" si="9"/>
        <v>290.32386800000006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1</v>
      </c>
      <c r="AF7">
        <f t="shared" si="14"/>
        <v>21033.62801</v>
      </c>
      <c r="AG7">
        <f t="shared" si="15"/>
        <v>4206.7256020000004</v>
      </c>
      <c r="AH7">
        <f t="shared" si="16"/>
        <v>1221.3128483872688</v>
      </c>
    </row>
    <row r="8" spans="1:34">
      <c r="A8" s="17" t="s">
        <v>21</v>
      </c>
      <c r="B8" s="18">
        <v>50</v>
      </c>
      <c r="C8" s="19">
        <v>0</v>
      </c>
      <c r="D8" s="20"/>
      <c r="E8" s="18">
        <f t="shared" si="0"/>
        <v>0</v>
      </c>
      <c r="F8" s="19">
        <v>0</v>
      </c>
      <c r="G8" s="21"/>
      <c r="H8" s="18">
        <f t="shared" si="1"/>
        <v>0</v>
      </c>
      <c r="I8" s="19">
        <v>0</v>
      </c>
      <c r="J8" s="21"/>
      <c r="K8" s="18">
        <f t="shared" si="2"/>
        <v>0</v>
      </c>
      <c r="L8" s="19">
        <v>0</v>
      </c>
      <c r="M8" s="21"/>
      <c r="N8" s="18">
        <f t="shared" si="3"/>
        <v>0</v>
      </c>
      <c r="O8" s="19">
        <v>0</v>
      </c>
      <c r="P8" s="21"/>
      <c r="Q8" s="18">
        <f t="shared" si="4"/>
        <v>0</v>
      </c>
      <c r="R8" s="19">
        <f>SUM('Plant Measurements'!P254:P262)</f>
        <v>355.25771800000007</v>
      </c>
      <c r="S8" s="21"/>
      <c r="T8" s="18">
        <f t="shared" si="5"/>
        <v>1421.0308720000003</v>
      </c>
      <c r="U8" s="19">
        <v>0</v>
      </c>
      <c r="V8" s="21"/>
      <c r="W8" s="18">
        <f t="shared" si="6"/>
        <v>0</v>
      </c>
      <c r="X8" s="18">
        <f t="shared" si="7"/>
        <v>1421.0308720000003</v>
      </c>
      <c r="Y8" s="22">
        <f>AVERAGE(X8:X12)</f>
        <v>408.19056000000006</v>
      </c>
      <c r="Z8" s="23">
        <f t="shared" si="8"/>
        <v>0</v>
      </c>
      <c r="AA8" s="23">
        <f t="shared" si="9"/>
        <v>1421.0308720000003</v>
      </c>
      <c r="AB8">
        <f t="shared" si="10"/>
        <v>0</v>
      </c>
      <c r="AC8">
        <f t="shared" si="11"/>
        <v>0</v>
      </c>
      <c r="AD8">
        <f t="shared" si="12"/>
        <v>0</v>
      </c>
      <c r="AE8">
        <f t="shared" si="13"/>
        <v>1</v>
      </c>
      <c r="AF8">
        <f t="shared" si="14"/>
        <v>21033.62801</v>
      </c>
      <c r="AG8">
        <f t="shared" si="15"/>
        <v>4206.7256020000004</v>
      </c>
      <c r="AH8">
        <f t="shared" si="16"/>
        <v>5977.8869504747863</v>
      </c>
    </row>
    <row r="9" spans="1:34">
      <c r="A9" s="24" t="s">
        <v>21</v>
      </c>
      <c r="B9" s="25">
        <v>44</v>
      </c>
      <c r="C9" s="26">
        <v>0</v>
      </c>
      <c r="D9" s="27"/>
      <c r="E9" s="18">
        <f t="shared" si="0"/>
        <v>0</v>
      </c>
      <c r="F9" s="26">
        <v>0</v>
      </c>
      <c r="G9" s="28"/>
      <c r="H9" s="25">
        <f>F9*4</f>
        <v>0</v>
      </c>
      <c r="I9" s="26">
        <v>0</v>
      </c>
      <c r="J9" s="28"/>
      <c r="K9" s="18">
        <f t="shared" si="2"/>
        <v>0</v>
      </c>
      <c r="L9" s="26">
        <v>0</v>
      </c>
      <c r="M9" s="28"/>
      <c r="N9" s="18">
        <f t="shared" si="3"/>
        <v>0</v>
      </c>
      <c r="O9" s="26">
        <v>0</v>
      </c>
      <c r="P9" s="28"/>
      <c r="Q9" s="18">
        <f t="shared" si="4"/>
        <v>0</v>
      </c>
      <c r="R9" s="26">
        <f>SUM('Plant Measurements'!P263:P269)</f>
        <v>29.923808000000008</v>
      </c>
      <c r="S9" s="28"/>
      <c r="T9" s="18">
        <f t="shared" si="5"/>
        <v>119.69523200000003</v>
      </c>
      <c r="U9" s="26">
        <v>0</v>
      </c>
      <c r="V9" s="28"/>
      <c r="W9" s="18">
        <f t="shared" si="6"/>
        <v>0</v>
      </c>
      <c r="X9" s="25">
        <f>SUM(W9,T9,Q9,N9,K9,H9,E9)</f>
        <v>119.69523200000003</v>
      </c>
      <c r="Y9" s="29"/>
      <c r="Z9" s="23">
        <f t="shared" si="8"/>
        <v>0</v>
      </c>
      <c r="AA9" s="23">
        <f t="shared" si="9"/>
        <v>119.69523200000003</v>
      </c>
      <c r="AB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1</v>
      </c>
      <c r="AF9">
        <f t="shared" si="14"/>
        <v>21033.62801</v>
      </c>
      <c r="AG9">
        <f t="shared" si="15"/>
        <v>4206.7256020000004</v>
      </c>
      <c r="AH9">
        <f t="shared" si="16"/>
        <v>503.52499689172981</v>
      </c>
    </row>
    <row r="10" spans="1:34">
      <c r="A10" s="24" t="s">
        <v>21</v>
      </c>
      <c r="B10" s="25">
        <v>37</v>
      </c>
      <c r="C10" s="26">
        <f>SUM('Plant Measurements'!P271:P280  )</f>
        <v>10.100242000000001</v>
      </c>
      <c r="D10" s="27"/>
      <c r="E10" s="18">
        <f t="shared" si="0"/>
        <v>40.400968000000006</v>
      </c>
      <c r="F10" s="26">
        <v>0</v>
      </c>
      <c r="G10" s="28"/>
      <c r="H10" s="25">
        <f t="shared" ref="H10:H42" si="17">F10*4</f>
        <v>0</v>
      </c>
      <c r="I10" s="26">
        <v>0</v>
      </c>
      <c r="J10" s="28"/>
      <c r="K10" s="18">
        <f t="shared" si="2"/>
        <v>0</v>
      </c>
      <c r="L10" s="26">
        <v>0</v>
      </c>
      <c r="M10" s="28"/>
      <c r="N10" s="18">
        <f t="shared" si="3"/>
        <v>0</v>
      </c>
      <c r="O10" s="26">
        <v>0</v>
      </c>
      <c r="P10" s="28"/>
      <c r="Q10" s="18">
        <f t="shared" si="4"/>
        <v>0</v>
      </c>
      <c r="R10" s="26">
        <f>SUM('Plant Measurements'!P270,'Plant Measurements'!P281:P284)</f>
        <v>25.832433999999996</v>
      </c>
      <c r="S10" s="28"/>
      <c r="T10" s="18">
        <f t="shared" si="5"/>
        <v>103.32973599999998</v>
      </c>
      <c r="U10" s="26">
        <v>0</v>
      </c>
      <c r="V10" s="28"/>
      <c r="W10" s="18">
        <f t="shared" si="6"/>
        <v>0</v>
      </c>
      <c r="X10" s="25">
        <f t="shared" si="7"/>
        <v>143.730704</v>
      </c>
      <c r="Y10" s="29"/>
      <c r="Z10" s="23">
        <f t="shared" si="8"/>
        <v>40.400968000000006</v>
      </c>
      <c r="AA10" s="23">
        <f t="shared" si="9"/>
        <v>103.32973599999998</v>
      </c>
      <c r="AB10">
        <f t="shared" si="10"/>
        <v>0.28108794346404931</v>
      </c>
      <c r="AC10">
        <f t="shared" si="11"/>
        <v>0</v>
      </c>
      <c r="AD10">
        <f t="shared" si="12"/>
        <v>0</v>
      </c>
      <c r="AE10">
        <f t="shared" si="13"/>
        <v>0.71891205653595058</v>
      </c>
      <c r="AF10">
        <f t="shared" si="14"/>
        <v>21033.62801</v>
      </c>
      <c r="AG10">
        <f t="shared" si="15"/>
        <v>4206.7256020000004</v>
      </c>
      <c r="AH10">
        <f t="shared" si="16"/>
        <v>604.63563231028388</v>
      </c>
    </row>
    <row r="11" spans="1:34">
      <c r="A11" s="24" t="s">
        <v>21</v>
      </c>
      <c r="B11" s="25">
        <v>21</v>
      </c>
      <c r="C11" s="26">
        <v>0</v>
      </c>
      <c r="D11" s="27"/>
      <c r="E11" s="18">
        <f t="shared" si="0"/>
        <v>0</v>
      </c>
      <c r="F11" s="26">
        <v>0</v>
      </c>
      <c r="G11" s="28"/>
      <c r="H11" s="25">
        <f t="shared" si="17"/>
        <v>0</v>
      </c>
      <c r="I11" s="26">
        <v>0</v>
      </c>
      <c r="J11" s="28"/>
      <c r="K11" s="18">
        <f t="shared" si="2"/>
        <v>0</v>
      </c>
      <c r="L11" s="26">
        <v>0</v>
      </c>
      <c r="M11" s="28"/>
      <c r="N11" s="18">
        <f t="shared" si="3"/>
        <v>0</v>
      </c>
      <c r="O11" s="26">
        <v>0</v>
      </c>
      <c r="P11" s="28"/>
      <c r="Q11" s="18">
        <f t="shared" si="4"/>
        <v>0</v>
      </c>
      <c r="R11" s="26">
        <f>SUM('Plant Measurements'!P285:P297)</f>
        <v>54.358982999999974</v>
      </c>
      <c r="S11" s="28"/>
      <c r="T11" s="18">
        <f t="shared" si="5"/>
        <v>217.43593199999989</v>
      </c>
      <c r="U11" s="26">
        <v>0</v>
      </c>
      <c r="V11" s="28"/>
      <c r="W11" s="18">
        <f t="shared" si="6"/>
        <v>0</v>
      </c>
      <c r="X11" s="25">
        <f t="shared" si="7"/>
        <v>217.43593199999989</v>
      </c>
      <c r="Y11" s="29"/>
      <c r="Z11" s="23">
        <f t="shared" si="8"/>
        <v>0</v>
      </c>
      <c r="AA11" s="23">
        <f t="shared" si="9"/>
        <v>217.43593199999989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914.69330193913072</v>
      </c>
    </row>
    <row r="12" spans="1:34">
      <c r="A12" s="30" t="s">
        <v>21</v>
      </c>
      <c r="B12" s="31">
        <v>3</v>
      </c>
      <c r="C12" s="32">
        <f>SUM('Plant Measurements'!P298)</f>
        <v>9.2200880000000005</v>
      </c>
      <c r="D12" s="33"/>
      <c r="E12" s="18">
        <f t="shared" si="0"/>
        <v>36.880352000000002</v>
      </c>
      <c r="F12" s="32">
        <v>0</v>
      </c>
      <c r="G12" s="34"/>
      <c r="H12" s="25">
        <f t="shared" si="17"/>
        <v>0</v>
      </c>
      <c r="I12" s="32">
        <v>0</v>
      </c>
      <c r="J12" s="34"/>
      <c r="K12" s="18">
        <f t="shared" si="2"/>
        <v>0</v>
      </c>
      <c r="L12" s="32">
        <v>0</v>
      </c>
      <c r="M12" s="34"/>
      <c r="N12" s="18">
        <f t="shared" si="3"/>
        <v>0</v>
      </c>
      <c r="O12" s="32">
        <v>0</v>
      </c>
      <c r="P12" s="34"/>
      <c r="Q12" s="18">
        <f t="shared" si="4"/>
        <v>0</v>
      </c>
      <c r="R12" s="32">
        <f>SUM('Plant Measurements'!P299:P304)</f>
        <v>25.544926999999998</v>
      </c>
      <c r="S12" s="34"/>
      <c r="T12" s="18">
        <f t="shared" si="5"/>
        <v>102.17970799999999</v>
      </c>
      <c r="U12" s="32">
        <v>0</v>
      </c>
      <c r="V12" s="34"/>
      <c r="W12" s="18">
        <f t="shared" si="6"/>
        <v>0</v>
      </c>
      <c r="X12" s="31">
        <f t="shared" si="7"/>
        <v>139.06005999999999</v>
      </c>
      <c r="Y12" s="35"/>
      <c r="Z12" s="23">
        <f t="shared" si="8"/>
        <v>36.880352000000002</v>
      </c>
      <c r="AA12" s="23">
        <f t="shared" si="9"/>
        <v>102.17970799999999</v>
      </c>
      <c r="AB12">
        <f t="shared" si="10"/>
        <v>0.26521167903997744</v>
      </c>
      <c r="AC12">
        <f t="shared" si="11"/>
        <v>0</v>
      </c>
      <c r="AD12">
        <f t="shared" si="12"/>
        <v>0</v>
      </c>
      <c r="AE12">
        <f t="shared" si="13"/>
        <v>0.73478832096002256</v>
      </c>
      <c r="AF12">
        <f t="shared" si="14"/>
        <v>21033.62801</v>
      </c>
      <c r="AG12">
        <f t="shared" si="15"/>
        <v>4206.7256020000004</v>
      </c>
      <c r="AH12">
        <f t="shared" si="16"/>
        <v>584.98751461765607</v>
      </c>
    </row>
    <row r="13" spans="1:34">
      <c r="A13" s="36" t="s">
        <v>19</v>
      </c>
      <c r="B13" s="37">
        <v>48</v>
      </c>
      <c r="C13" s="19">
        <v>0</v>
      </c>
      <c r="D13" s="20"/>
      <c r="E13" s="18">
        <f t="shared" si="0"/>
        <v>0</v>
      </c>
      <c r="F13" s="19">
        <v>0</v>
      </c>
      <c r="G13" s="21"/>
      <c r="H13" s="25">
        <f t="shared" si="17"/>
        <v>0</v>
      </c>
      <c r="I13" s="19">
        <v>0</v>
      </c>
      <c r="J13" s="21"/>
      <c r="K13" s="18">
        <f t="shared" si="2"/>
        <v>0</v>
      </c>
      <c r="L13" s="19">
        <v>0</v>
      </c>
      <c r="M13" s="21"/>
      <c r="N13" s="18">
        <f t="shared" si="3"/>
        <v>0</v>
      </c>
      <c r="O13" s="19">
        <v>0</v>
      </c>
      <c r="P13" s="21"/>
      <c r="Q13" s="18">
        <f t="shared" si="4"/>
        <v>0</v>
      </c>
      <c r="R13" s="19">
        <f>SUM('Plant Measurements'!P4:P27)</f>
        <v>330.23397400000016</v>
      </c>
      <c r="S13" s="21"/>
      <c r="T13" s="18">
        <f t="shared" si="5"/>
        <v>1320.9358960000006</v>
      </c>
      <c r="U13" s="19">
        <v>0</v>
      </c>
      <c r="V13" s="21"/>
      <c r="W13" s="18">
        <f t="shared" si="6"/>
        <v>0</v>
      </c>
      <c r="X13" s="18">
        <f t="shared" si="7"/>
        <v>1320.9358960000006</v>
      </c>
      <c r="Y13" s="22">
        <f>AVERAGE(X13:X17)</f>
        <v>509.84451931766006</v>
      </c>
      <c r="Z13" s="23">
        <f t="shared" si="8"/>
        <v>0</v>
      </c>
      <c r="AA13" s="23">
        <f t="shared" si="9"/>
        <v>1320.9358960000006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1</v>
      </c>
      <c r="AF13">
        <f t="shared" si="14"/>
        <v>21033.62801</v>
      </c>
      <c r="AG13">
        <f t="shared" si="15"/>
        <v>4206.7256020000004</v>
      </c>
      <c r="AH13">
        <f t="shared" si="16"/>
        <v>5556.8148523040127</v>
      </c>
    </row>
    <row r="14" spans="1:34">
      <c r="A14" s="24" t="s">
        <v>19</v>
      </c>
      <c r="B14" s="25">
        <v>43</v>
      </c>
      <c r="C14" s="26">
        <v>0</v>
      </c>
      <c r="D14" s="27"/>
      <c r="E14" s="18">
        <f t="shared" si="0"/>
        <v>0</v>
      </c>
      <c r="F14" s="26">
        <v>0</v>
      </c>
      <c r="G14" s="28"/>
      <c r="H14" s="25">
        <f t="shared" si="17"/>
        <v>0</v>
      </c>
      <c r="I14" s="26">
        <v>0</v>
      </c>
      <c r="J14" s="28"/>
      <c r="K14" s="18">
        <f t="shared" si="2"/>
        <v>0</v>
      </c>
      <c r="L14" s="26">
        <v>0</v>
      </c>
      <c r="M14" s="28"/>
      <c r="N14" s="18">
        <f t="shared" si="3"/>
        <v>0</v>
      </c>
      <c r="O14" s="26">
        <v>0</v>
      </c>
      <c r="P14" s="28"/>
      <c r="Q14" s="18">
        <f t="shared" si="4"/>
        <v>0</v>
      </c>
      <c r="R14" s="26">
        <f>SUM('Plant Measurements'!P28:P48)</f>
        <v>227.25511900000006</v>
      </c>
      <c r="S14" s="28"/>
      <c r="T14" s="18">
        <f t="shared" si="5"/>
        <v>909.02047600000026</v>
      </c>
      <c r="U14" s="26">
        <v>0</v>
      </c>
      <c r="V14" s="28"/>
      <c r="W14" s="18">
        <f t="shared" si="6"/>
        <v>0</v>
      </c>
      <c r="X14" s="25">
        <f t="shared" si="7"/>
        <v>909.02047600000026</v>
      </c>
      <c r="Y14" s="29"/>
      <c r="Z14" s="23">
        <f t="shared" si="8"/>
        <v>0</v>
      </c>
      <c r="AA14" s="23">
        <f t="shared" si="9"/>
        <v>909.02047600000026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1</v>
      </c>
      <c r="AF14">
        <f t="shared" si="14"/>
        <v>21033.62801</v>
      </c>
      <c r="AG14">
        <f t="shared" si="15"/>
        <v>4206.7256020000004</v>
      </c>
      <c r="AH14">
        <f t="shared" si="16"/>
        <v>3823.9997091314281</v>
      </c>
    </row>
    <row r="15" spans="1:34">
      <c r="A15" s="24" t="s">
        <v>19</v>
      </c>
      <c r="B15" s="25">
        <v>13</v>
      </c>
      <c r="C15" s="26">
        <v>0</v>
      </c>
      <c r="D15" s="27"/>
      <c r="E15" s="18">
        <f t="shared" si="0"/>
        <v>0</v>
      </c>
      <c r="F15" s="26">
        <v>0</v>
      </c>
      <c r="G15" s="28"/>
      <c r="H15" s="25">
        <f t="shared" si="17"/>
        <v>0</v>
      </c>
      <c r="I15" s="26">
        <v>0</v>
      </c>
      <c r="J15" s="28"/>
      <c r="K15" s="18">
        <f t="shared" si="2"/>
        <v>0</v>
      </c>
      <c r="L15" s="26">
        <v>0</v>
      </c>
      <c r="M15" s="28"/>
      <c r="N15" s="18">
        <f t="shared" si="3"/>
        <v>0</v>
      </c>
      <c r="O15" s="26">
        <v>0</v>
      </c>
      <c r="P15" s="28"/>
      <c r="Q15" s="18">
        <f t="shared" si="4"/>
        <v>0</v>
      </c>
      <c r="R15" s="26">
        <v>0</v>
      </c>
      <c r="S15" s="28"/>
      <c r="T15" s="18">
        <f t="shared" si="5"/>
        <v>0</v>
      </c>
      <c r="U15" s="26">
        <v>0</v>
      </c>
      <c r="V15" s="28"/>
      <c r="W15" s="18">
        <f t="shared" si="6"/>
        <v>0</v>
      </c>
      <c r="X15" s="25">
        <f t="shared" si="7"/>
        <v>0</v>
      </c>
      <c r="Y15" s="29"/>
      <c r="Z15" s="23">
        <f t="shared" si="8"/>
        <v>0</v>
      </c>
      <c r="AA15" s="23">
        <f t="shared" si="9"/>
        <v>0</v>
      </c>
      <c r="AB15" t="str">
        <f t="shared" si="10"/>
        <v xml:space="preserve"> </v>
      </c>
      <c r="AC15" t="str">
        <f t="shared" si="11"/>
        <v xml:space="preserve"> </v>
      </c>
      <c r="AD15" t="str">
        <f t="shared" si="12"/>
        <v xml:space="preserve"> </v>
      </c>
      <c r="AE15" t="str">
        <f t="shared" si="13"/>
        <v xml:space="preserve"> </v>
      </c>
      <c r="AF15">
        <f t="shared" si="14"/>
        <v>21033.62801</v>
      </c>
      <c r="AG15">
        <f t="shared" si="15"/>
        <v>4206.7256020000004</v>
      </c>
      <c r="AH15">
        <f t="shared" si="16"/>
        <v>0</v>
      </c>
    </row>
    <row r="16" spans="1:34">
      <c r="A16" s="24" t="s">
        <v>19</v>
      </c>
      <c r="B16" s="25">
        <v>8</v>
      </c>
      <c r="C16" s="26">
        <v>0</v>
      </c>
      <c r="D16" s="27"/>
      <c r="E16" s="18">
        <f t="shared" si="0"/>
        <v>0</v>
      </c>
      <c r="F16" s="26">
        <v>0</v>
      </c>
      <c r="G16" s="28"/>
      <c r="H16" s="25">
        <f t="shared" si="17"/>
        <v>0</v>
      </c>
      <c r="I16" s="26">
        <v>0</v>
      </c>
      <c r="J16" s="28"/>
      <c r="K16" s="18">
        <f t="shared" si="2"/>
        <v>0</v>
      </c>
      <c r="L16" s="26">
        <v>0</v>
      </c>
      <c r="M16" s="28"/>
      <c r="N16" s="18">
        <f t="shared" si="3"/>
        <v>0</v>
      </c>
      <c r="O16" s="26">
        <v>0</v>
      </c>
      <c r="P16" s="28"/>
      <c r="Q16" s="18">
        <f t="shared" si="4"/>
        <v>0</v>
      </c>
      <c r="R16" s="26">
        <v>0</v>
      </c>
      <c r="S16" s="28"/>
      <c r="T16" s="18">
        <f t="shared" si="5"/>
        <v>0</v>
      </c>
      <c r="U16" s="26">
        <v>0</v>
      </c>
      <c r="V16" s="28"/>
      <c r="W16" s="18">
        <f t="shared" si="6"/>
        <v>0</v>
      </c>
      <c r="X16" s="25">
        <f t="shared" si="7"/>
        <v>0</v>
      </c>
      <c r="Y16" s="29"/>
      <c r="Z16" s="23">
        <f t="shared" si="8"/>
        <v>0</v>
      </c>
      <c r="AA16" s="23">
        <f t="shared" si="9"/>
        <v>0</v>
      </c>
      <c r="AB16" t="str">
        <f t="shared" si="10"/>
        <v xml:space="preserve"> </v>
      </c>
      <c r="AC16" t="str">
        <f t="shared" si="11"/>
        <v xml:space="preserve"> </v>
      </c>
      <c r="AD16" t="str">
        <f t="shared" si="12"/>
        <v xml:space="preserve"> </v>
      </c>
      <c r="AE16" t="str">
        <f t="shared" si="13"/>
        <v xml:space="preserve"> </v>
      </c>
      <c r="AF16">
        <f t="shared" si="14"/>
        <v>21033.62801</v>
      </c>
      <c r="AG16">
        <f t="shared" si="15"/>
        <v>4206.7256020000004</v>
      </c>
      <c r="AH16">
        <f t="shared" si="16"/>
        <v>0</v>
      </c>
    </row>
    <row r="17" spans="1:34">
      <c r="A17" s="30" t="s">
        <v>19</v>
      </c>
      <c r="B17" s="31">
        <v>2</v>
      </c>
      <c r="C17" s="32">
        <f>SUM('Plant Measurements'!P52:P84,'Plant Measurements'!P86:P95)</f>
        <v>58.084060147074801</v>
      </c>
      <c r="D17" s="33"/>
      <c r="E17" s="18">
        <f t="shared" si="0"/>
        <v>232.33624058829921</v>
      </c>
      <c r="F17" s="32">
        <v>0</v>
      </c>
      <c r="G17" s="34"/>
      <c r="H17" s="25">
        <f t="shared" si="17"/>
        <v>0</v>
      </c>
      <c r="I17" s="32">
        <v>0</v>
      </c>
      <c r="J17" s="34"/>
      <c r="K17" s="18">
        <f t="shared" si="2"/>
        <v>0</v>
      </c>
      <c r="L17" s="32">
        <v>0</v>
      </c>
      <c r="M17" s="34"/>
      <c r="N17" s="18">
        <f t="shared" si="3"/>
        <v>0</v>
      </c>
      <c r="O17" s="32">
        <v>0</v>
      </c>
      <c r="P17" s="34"/>
      <c r="Q17" s="18">
        <f t="shared" si="4"/>
        <v>0</v>
      </c>
      <c r="R17" s="32">
        <f>SUM('Plant Measurements'!P52+'Plant Measurements'!P51,'Plant Measurements'!P85)</f>
        <v>21.732496000000001</v>
      </c>
      <c r="S17" s="34"/>
      <c r="T17" s="18">
        <f t="shared" si="5"/>
        <v>86.929984000000005</v>
      </c>
      <c r="U17" s="32">
        <v>0</v>
      </c>
      <c r="V17" s="34"/>
      <c r="W17" s="18">
        <f t="shared" si="6"/>
        <v>0</v>
      </c>
      <c r="X17" s="31">
        <f t="shared" si="7"/>
        <v>319.26622458829922</v>
      </c>
      <c r="Y17" s="35"/>
      <c r="Z17" s="23">
        <f t="shared" si="8"/>
        <v>232.33624058829921</v>
      </c>
      <c r="AA17" s="23">
        <f t="shared" si="9"/>
        <v>86.929984000000005</v>
      </c>
      <c r="AB17">
        <f t="shared" si="10"/>
        <v>0.72771944757984297</v>
      </c>
      <c r="AC17">
        <f t="shared" si="11"/>
        <v>0</v>
      </c>
      <c r="AD17">
        <f t="shared" si="12"/>
        <v>0</v>
      </c>
      <c r="AE17">
        <f t="shared" si="13"/>
        <v>0.27228055242015692</v>
      </c>
      <c r="AF17">
        <f t="shared" si="14"/>
        <v>21033.62801</v>
      </c>
      <c r="AG17">
        <f t="shared" si="15"/>
        <v>4206.7256020000004</v>
      </c>
      <c r="AH17">
        <f t="shared" si="16"/>
        <v>1343.0654008294805</v>
      </c>
    </row>
    <row r="18" spans="1:34">
      <c r="A18" s="17" t="s">
        <v>56</v>
      </c>
      <c r="B18" s="18">
        <v>33</v>
      </c>
      <c r="C18" s="19">
        <v>0</v>
      </c>
      <c r="D18" s="20"/>
      <c r="E18" s="18">
        <f t="shared" si="0"/>
        <v>0</v>
      </c>
      <c r="F18" s="19">
        <v>0</v>
      </c>
      <c r="G18" s="21"/>
      <c r="H18" s="25">
        <f t="shared" si="17"/>
        <v>0</v>
      </c>
      <c r="I18" s="19">
        <v>0</v>
      </c>
      <c r="J18" s="21"/>
      <c r="K18" s="18">
        <f t="shared" si="2"/>
        <v>0</v>
      </c>
      <c r="L18" s="19">
        <v>0</v>
      </c>
      <c r="M18" s="21"/>
      <c r="N18" s="18">
        <f t="shared" si="3"/>
        <v>0</v>
      </c>
      <c r="O18" s="19">
        <v>0</v>
      </c>
      <c r="P18" s="21"/>
      <c r="Q18" s="18">
        <f t="shared" si="4"/>
        <v>0</v>
      </c>
      <c r="R18" s="19">
        <f>SUM('Plant Measurements'!P96:P101)</f>
        <v>25.056789000000009</v>
      </c>
      <c r="S18" s="21"/>
      <c r="T18" s="18">
        <f t="shared" si="5"/>
        <v>100.22715600000004</v>
      </c>
      <c r="U18" s="19">
        <v>0</v>
      </c>
      <c r="V18" s="21"/>
      <c r="W18" s="18">
        <f t="shared" si="6"/>
        <v>0</v>
      </c>
      <c r="X18" s="18">
        <f t="shared" si="7"/>
        <v>100.22715600000004</v>
      </c>
      <c r="Y18" s="22">
        <f>AVERAGE(X18:X22)</f>
        <v>254.10698080000006</v>
      </c>
      <c r="Z18" s="23">
        <f t="shared" si="8"/>
        <v>0</v>
      </c>
      <c r="AA18" s="23">
        <f t="shared" si="9"/>
        <v>100.22715600000004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1</v>
      </c>
      <c r="AF18">
        <f t="shared" si="14"/>
        <v>21033.62801</v>
      </c>
      <c r="AG18">
        <f t="shared" si="15"/>
        <v>4206.7256020000004</v>
      </c>
      <c r="AH18">
        <f t="shared" si="16"/>
        <v>421.62814316084814</v>
      </c>
    </row>
    <row r="19" spans="1:34">
      <c r="A19" s="24" t="s">
        <v>56</v>
      </c>
      <c r="B19" s="38">
        <v>30</v>
      </c>
      <c r="C19" s="26">
        <v>0</v>
      </c>
      <c r="D19" s="27"/>
      <c r="E19" s="18">
        <f t="shared" si="0"/>
        <v>0</v>
      </c>
      <c r="F19" s="26">
        <v>0</v>
      </c>
      <c r="G19" s="28"/>
      <c r="H19" s="25">
        <f t="shared" si="17"/>
        <v>0</v>
      </c>
      <c r="I19" s="26">
        <v>0</v>
      </c>
      <c r="J19" s="28"/>
      <c r="K19" s="18">
        <f t="shared" si="2"/>
        <v>0</v>
      </c>
      <c r="L19" s="26">
        <v>0</v>
      </c>
      <c r="M19" s="28"/>
      <c r="N19" s="18">
        <f t="shared" si="3"/>
        <v>0</v>
      </c>
      <c r="O19" s="26">
        <v>0</v>
      </c>
      <c r="P19" s="28"/>
      <c r="Q19" s="18">
        <f t="shared" si="4"/>
        <v>0</v>
      </c>
      <c r="R19" s="26">
        <f>SUM('Plant Measurements'!P102:P116)</f>
        <v>189.39753000000005</v>
      </c>
      <c r="S19" s="28"/>
      <c r="T19" s="18">
        <f t="shared" si="5"/>
        <v>757.59012000000018</v>
      </c>
      <c r="U19" s="26">
        <v>0</v>
      </c>
      <c r="V19" s="28"/>
      <c r="W19" s="18">
        <f t="shared" si="6"/>
        <v>0</v>
      </c>
      <c r="X19" s="25">
        <f t="shared" si="7"/>
        <v>757.59012000000018</v>
      </c>
      <c r="Y19" s="29"/>
      <c r="Z19" s="23">
        <f t="shared" si="8"/>
        <v>0</v>
      </c>
      <c r="AA19" s="23">
        <f t="shared" si="9"/>
        <v>757.59012000000018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1</v>
      </c>
      <c r="AF19">
        <f t="shared" si="14"/>
        <v>21033.62801</v>
      </c>
      <c r="AG19">
        <f t="shared" si="15"/>
        <v>4206.7256020000004</v>
      </c>
      <c r="AH19">
        <f t="shared" si="16"/>
        <v>3186.9737536262533</v>
      </c>
    </row>
    <row r="20" spans="1:34">
      <c r="A20" s="24" t="s">
        <v>56</v>
      </c>
      <c r="B20" s="25">
        <v>26</v>
      </c>
      <c r="C20" s="26">
        <v>0</v>
      </c>
      <c r="D20" s="27"/>
      <c r="E20" s="18">
        <f t="shared" si="0"/>
        <v>0</v>
      </c>
      <c r="F20" s="26">
        <v>0</v>
      </c>
      <c r="G20" s="28"/>
      <c r="H20" s="25">
        <f t="shared" si="17"/>
        <v>0</v>
      </c>
      <c r="I20" s="26">
        <v>0</v>
      </c>
      <c r="J20" s="28"/>
      <c r="K20" s="18">
        <f t="shared" si="2"/>
        <v>0</v>
      </c>
      <c r="L20" s="26">
        <v>0</v>
      </c>
      <c r="M20" s="28"/>
      <c r="N20" s="18">
        <f t="shared" si="3"/>
        <v>0</v>
      </c>
      <c r="O20" s="26">
        <v>0</v>
      </c>
      <c r="P20" s="28"/>
      <c r="Q20" s="18">
        <f t="shared" si="4"/>
        <v>0</v>
      </c>
      <c r="R20" s="26">
        <f>SUM('Plant Measurements'!P117:P121)</f>
        <v>33.614245000000011</v>
      </c>
      <c r="S20" s="28"/>
      <c r="T20" s="18">
        <f t="shared" si="5"/>
        <v>134.45698000000004</v>
      </c>
      <c r="U20" s="26">
        <v>0</v>
      </c>
      <c r="V20" s="28"/>
      <c r="W20" s="18">
        <f t="shared" si="6"/>
        <v>0</v>
      </c>
      <c r="X20" s="25">
        <f t="shared" si="7"/>
        <v>134.45698000000004</v>
      </c>
      <c r="Y20" s="29"/>
      <c r="Z20" s="23">
        <f t="shared" si="8"/>
        <v>0</v>
      </c>
      <c r="AA20" s="23">
        <f t="shared" si="9"/>
        <v>134.45698000000004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21033.62801</v>
      </c>
      <c r="AG20">
        <f t="shared" si="15"/>
        <v>4206.7256020000004</v>
      </c>
      <c r="AH20">
        <f t="shared" si="16"/>
        <v>565.62362013360223</v>
      </c>
    </row>
    <row r="21" spans="1:34">
      <c r="A21" s="24" t="s">
        <v>56</v>
      </c>
      <c r="B21" s="25">
        <v>19</v>
      </c>
      <c r="C21" s="26">
        <v>0</v>
      </c>
      <c r="D21" s="27"/>
      <c r="E21" s="18">
        <f t="shared" si="0"/>
        <v>0</v>
      </c>
      <c r="F21" s="26">
        <v>0</v>
      </c>
      <c r="G21" s="28"/>
      <c r="H21" s="25">
        <f t="shared" si="17"/>
        <v>0</v>
      </c>
      <c r="I21" s="26">
        <v>0</v>
      </c>
      <c r="J21" s="28"/>
      <c r="K21" s="18">
        <f t="shared" si="2"/>
        <v>0</v>
      </c>
      <c r="L21" s="26">
        <v>0</v>
      </c>
      <c r="M21" s="28"/>
      <c r="N21" s="18">
        <f t="shared" si="3"/>
        <v>0</v>
      </c>
      <c r="O21" s="26">
        <v>0</v>
      </c>
      <c r="P21" s="28"/>
      <c r="Q21" s="18">
        <f t="shared" si="4"/>
        <v>0</v>
      </c>
      <c r="R21" s="26">
        <f>SUM('Plant Measurements'!P122:P131)</f>
        <v>44.849767</v>
      </c>
      <c r="S21" s="28"/>
      <c r="T21" s="18">
        <f t="shared" si="5"/>
        <v>179.399068</v>
      </c>
      <c r="U21" s="26">
        <v>0</v>
      </c>
      <c r="V21" s="28"/>
      <c r="W21" s="18">
        <f t="shared" si="6"/>
        <v>0</v>
      </c>
      <c r="X21" s="25">
        <f t="shared" si="7"/>
        <v>179.399068</v>
      </c>
      <c r="Y21" s="29"/>
      <c r="Z21" s="23">
        <f t="shared" si="8"/>
        <v>0</v>
      </c>
      <c r="AA21" s="23">
        <f t="shared" si="9"/>
        <v>179.399068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1</v>
      </c>
      <c r="AF21">
        <f t="shared" si="14"/>
        <v>21033.62801</v>
      </c>
      <c r="AG21">
        <f t="shared" si="15"/>
        <v>4206.7256020000004</v>
      </c>
      <c r="AH21">
        <f t="shared" si="16"/>
        <v>754.68265233053899</v>
      </c>
    </row>
    <row r="22" spans="1:34">
      <c r="A22" s="30" t="s">
        <v>56</v>
      </c>
      <c r="B22" s="25">
        <v>18</v>
      </c>
      <c r="C22" s="32">
        <v>0</v>
      </c>
      <c r="D22" s="33"/>
      <c r="E22" s="18">
        <f t="shared" si="0"/>
        <v>0</v>
      </c>
      <c r="F22" s="32">
        <v>0</v>
      </c>
      <c r="G22" s="34"/>
      <c r="H22" s="25">
        <f t="shared" si="17"/>
        <v>0</v>
      </c>
      <c r="I22" s="32">
        <v>0</v>
      </c>
      <c r="J22" s="34"/>
      <c r="K22" s="18">
        <f t="shared" si="2"/>
        <v>0</v>
      </c>
      <c r="L22" s="32">
        <v>0</v>
      </c>
      <c r="M22" s="34"/>
      <c r="N22" s="18">
        <f t="shared" si="3"/>
        <v>0</v>
      </c>
      <c r="O22" s="32">
        <v>0</v>
      </c>
      <c r="P22" s="34"/>
      <c r="Q22" s="18">
        <f t="shared" si="4"/>
        <v>0</v>
      </c>
      <c r="R22" s="32">
        <f>SUM('Plant Measurements'!P132:P138)</f>
        <v>24.715395000000022</v>
      </c>
      <c r="S22" s="34"/>
      <c r="T22" s="18">
        <f t="shared" si="5"/>
        <v>98.861580000000089</v>
      </c>
      <c r="U22" s="32">
        <v>0</v>
      </c>
      <c r="V22" s="34"/>
      <c r="W22" s="18">
        <f t="shared" si="6"/>
        <v>0</v>
      </c>
      <c r="X22" s="31">
        <f t="shared" si="7"/>
        <v>98.861580000000089</v>
      </c>
      <c r="Y22" s="35"/>
      <c r="Z22" s="23">
        <f t="shared" si="8"/>
        <v>0</v>
      </c>
      <c r="AA22" s="23">
        <f t="shared" si="9"/>
        <v>98.861580000000089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1</v>
      </c>
      <c r="AF22">
        <f t="shared" si="14"/>
        <v>21033.62801</v>
      </c>
      <c r="AG22">
        <f t="shared" si="15"/>
        <v>4206.7256020000004</v>
      </c>
      <c r="AH22">
        <f t="shared" si="16"/>
        <v>415.88353964017159</v>
      </c>
    </row>
    <row r="23" spans="1:34">
      <c r="A23" s="17" t="s">
        <v>20</v>
      </c>
      <c r="B23" s="18">
        <v>47</v>
      </c>
      <c r="C23" s="19">
        <v>0</v>
      </c>
      <c r="D23" s="20"/>
      <c r="E23" s="18">
        <f t="shared" si="0"/>
        <v>0</v>
      </c>
      <c r="F23" s="19">
        <v>0</v>
      </c>
      <c r="G23" s="21"/>
      <c r="H23" s="25">
        <f t="shared" si="17"/>
        <v>0</v>
      </c>
      <c r="I23" s="19">
        <v>0</v>
      </c>
      <c r="J23" s="21"/>
      <c r="K23" s="18">
        <f t="shared" si="2"/>
        <v>0</v>
      </c>
      <c r="L23" s="19">
        <v>0</v>
      </c>
      <c r="M23" s="21"/>
      <c r="N23" s="18">
        <f t="shared" si="3"/>
        <v>0</v>
      </c>
      <c r="O23" s="19">
        <v>0</v>
      </c>
      <c r="P23" s="21"/>
      <c r="Q23" s="18">
        <f t="shared" si="4"/>
        <v>0</v>
      </c>
      <c r="R23" s="19">
        <f>SUM('Plant Measurements'!P191:P198)</f>
        <v>36.936865999999988</v>
      </c>
      <c r="S23" s="21"/>
      <c r="T23" s="18">
        <f t="shared" si="5"/>
        <v>147.74746399999995</v>
      </c>
      <c r="U23" s="19">
        <v>0</v>
      </c>
      <c r="V23" s="21"/>
      <c r="W23" s="18">
        <f t="shared" si="6"/>
        <v>0</v>
      </c>
      <c r="X23" s="18">
        <f t="shared" si="7"/>
        <v>147.74746399999995</v>
      </c>
      <c r="Y23" s="22">
        <f>AVERAGE(X23:X27)</f>
        <v>274.27337512059916</v>
      </c>
      <c r="Z23" s="23">
        <f t="shared" si="8"/>
        <v>0</v>
      </c>
      <c r="AA23" s="23">
        <f t="shared" si="9"/>
        <v>147.74746399999995</v>
      </c>
      <c r="AB23">
        <f t="shared" si="10"/>
        <v>0</v>
      </c>
      <c r="AC23">
        <f t="shared" si="11"/>
        <v>0</v>
      </c>
      <c r="AD23">
        <f t="shared" si="12"/>
        <v>0</v>
      </c>
      <c r="AE23">
        <f t="shared" si="13"/>
        <v>1</v>
      </c>
      <c r="AF23">
        <f t="shared" si="14"/>
        <v>21033.62801</v>
      </c>
      <c r="AG23">
        <f t="shared" si="15"/>
        <v>4206.7256020000004</v>
      </c>
      <c r="AH23">
        <f t="shared" si="16"/>
        <v>621.53303943937317</v>
      </c>
    </row>
    <row r="24" spans="1:34">
      <c r="A24" s="24" t="s">
        <v>20</v>
      </c>
      <c r="B24" s="25">
        <v>35</v>
      </c>
      <c r="C24" s="26">
        <v>0</v>
      </c>
      <c r="D24" s="27"/>
      <c r="E24" s="18">
        <f t="shared" si="0"/>
        <v>0</v>
      </c>
      <c r="F24" s="26">
        <v>0</v>
      </c>
      <c r="G24" s="28"/>
      <c r="H24" s="25">
        <f t="shared" si="17"/>
        <v>0</v>
      </c>
      <c r="I24" s="26">
        <v>0</v>
      </c>
      <c r="J24" s="28"/>
      <c r="K24" s="18">
        <f t="shared" si="2"/>
        <v>0</v>
      </c>
      <c r="L24" s="26">
        <v>0</v>
      </c>
      <c r="M24" s="28"/>
      <c r="N24" s="18">
        <f t="shared" si="3"/>
        <v>0</v>
      </c>
      <c r="O24" s="26">
        <v>0</v>
      </c>
      <c r="P24" s="28"/>
      <c r="Q24" s="18">
        <f t="shared" si="4"/>
        <v>0</v>
      </c>
      <c r="R24" s="26">
        <f>SUM('Plant Measurements'!P199:P206)</f>
        <v>51.660408000000025</v>
      </c>
      <c r="S24" s="28"/>
      <c r="T24" s="18">
        <f t="shared" si="5"/>
        <v>206.6416320000001</v>
      </c>
      <c r="U24" s="26">
        <v>0</v>
      </c>
      <c r="V24" s="28"/>
      <c r="W24" s="18">
        <f t="shared" si="6"/>
        <v>0</v>
      </c>
      <c r="X24" s="25">
        <f t="shared" si="7"/>
        <v>206.6416320000001</v>
      </c>
      <c r="Y24" s="29"/>
      <c r="Z24" s="23">
        <f t="shared" si="8"/>
        <v>0</v>
      </c>
      <c r="AA24" s="23">
        <f t="shared" si="9"/>
        <v>206.6416320000001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1</v>
      </c>
      <c r="AF24">
        <f t="shared" si="14"/>
        <v>21033.62801</v>
      </c>
      <c r="AG24">
        <f t="shared" si="15"/>
        <v>4206.7256020000004</v>
      </c>
      <c r="AH24">
        <f t="shared" si="16"/>
        <v>869.28464377346302</v>
      </c>
    </row>
    <row r="25" spans="1:34">
      <c r="A25" s="24" t="s">
        <v>20</v>
      </c>
      <c r="B25" s="25">
        <v>32</v>
      </c>
      <c r="C25" s="26">
        <v>0</v>
      </c>
      <c r="D25" s="27"/>
      <c r="E25" s="18">
        <f t="shared" si="0"/>
        <v>0</v>
      </c>
      <c r="F25" s="26">
        <v>0</v>
      </c>
      <c r="G25" s="28"/>
      <c r="H25" s="25">
        <f t="shared" si="17"/>
        <v>0</v>
      </c>
      <c r="I25" s="26">
        <v>0</v>
      </c>
      <c r="J25" s="28"/>
      <c r="K25" s="18">
        <f t="shared" si="2"/>
        <v>0</v>
      </c>
      <c r="L25" s="26">
        <v>0</v>
      </c>
      <c r="M25" s="28"/>
      <c r="N25" s="18">
        <f t="shared" si="3"/>
        <v>0</v>
      </c>
      <c r="O25" s="26">
        <v>0</v>
      </c>
      <c r="P25" s="28"/>
      <c r="Q25" s="18">
        <f t="shared" si="4"/>
        <v>0</v>
      </c>
      <c r="R25" s="26">
        <f>SUM('Plant Measurements'!P207:P220)</f>
        <v>104.62131699999999</v>
      </c>
      <c r="S25" s="28"/>
      <c r="T25" s="18">
        <f t="shared" si="5"/>
        <v>418.48526799999996</v>
      </c>
      <c r="U25" s="26">
        <v>0</v>
      </c>
      <c r="V25" s="28"/>
      <c r="W25" s="18">
        <f t="shared" si="6"/>
        <v>0</v>
      </c>
      <c r="X25" s="25">
        <f t="shared" si="7"/>
        <v>418.48526799999996</v>
      </c>
      <c r="Y25" s="29"/>
      <c r="Z25" s="23">
        <f t="shared" si="8"/>
        <v>0</v>
      </c>
      <c r="AA25" s="23">
        <f t="shared" si="9"/>
        <v>418.48526799999996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1</v>
      </c>
      <c r="AF25">
        <f t="shared" si="14"/>
        <v>21033.62801</v>
      </c>
      <c r="AG25">
        <f t="shared" si="15"/>
        <v>4206.7256020000004</v>
      </c>
      <c r="AH25">
        <f t="shared" si="16"/>
        <v>1760.4526909554315</v>
      </c>
    </row>
    <row r="26" spans="1:34">
      <c r="A26" s="24" t="s">
        <v>20</v>
      </c>
      <c r="B26" s="25">
        <v>28</v>
      </c>
      <c r="C26" s="26">
        <v>0</v>
      </c>
      <c r="D26" s="27"/>
      <c r="E26" s="18">
        <f t="shared" si="0"/>
        <v>0</v>
      </c>
      <c r="F26" s="26">
        <v>0</v>
      </c>
      <c r="G26" s="28"/>
      <c r="H26" s="25">
        <f t="shared" si="17"/>
        <v>0</v>
      </c>
      <c r="I26" s="26">
        <v>0</v>
      </c>
      <c r="J26" s="28"/>
      <c r="K26" s="18">
        <f t="shared" si="2"/>
        <v>0</v>
      </c>
      <c r="L26" s="26">
        <v>0</v>
      </c>
      <c r="M26" s="28"/>
      <c r="N26" s="18">
        <f t="shared" si="3"/>
        <v>0</v>
      </c>
      <c r="O26" s="26">
        <v>0</v>
      </c>
      <c r="P26" s="28"/>
      <c r="Q26" s="18">
        <f t="shared" si="4"/>
        <v>0</v>
      </c>
      <c r="R26" s="26">
        <f>SUM('Plant Measurements'!P221:P230)</f>
        <v>68.324199000000007</v>
      </c>
      <c r="S26" s="28"/>
      <c r="T26" s="18">
        <f t="shared" si="5"/>
        <v>273.29679600000003</v>
      </c>
      <c r="U26" s="26">
        <v>0</v>
      </c>
      <c r="V26" s="28"/>
      <c r="W26" s="18">
        <f t="shared" si="6"/>
        <v>0</v>
      </c>
      <c r="X26" s="25">
        <f t="shared" si="7"/>
        <v>273.29679600000003</v>
      </c>
      <c r="Y26" s="29"/>
      <c r="Z26" s="23">
        <f t="shared" si="8"/>
        <v>0</v>
      </c>
      <c r="AA26" s="23">
        <f t="shared" si="9"/>
        <v>273.29679600000003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1</v>
      </c>
      <c r="AF26">
        <f t="shared" si="14"/>
        <v>21033.62801</v>
      </c>
      <c r="AG26">
        <f t="shared" si="15"/>
        <v>4206.7256020000004</v>
      </c>
      <c r="AH26">
        <f t="shared" si="16"/>
        <v>1149.6846286777713</v>
      </c>
    </row>
    <row r="27" spans="1:34">
      <c r="A27" s="30" t="s">
        <v>20</v>
      </c>
      <c r="B27" s="31">
        <v>13</v>
      </c>
      <c r="C27" s="32">
        <f>SUM('Plant Measurements'!P231:P253)</f>
        <v>81.298928900748948</v>
      </c>
      <c r="D27" s="33"/>
      <c r="E27" s="18">
        <f t="shared" si="0"/>
        <v>325.19571560299579</v>
      </c>
      <c r="F27" s="32">
        <v>0</v>
      </c>
      <c r="G27" s="34"/>
      <c r="H27" s="25">
        <v>0</v>
      </c>
      <c r="I27" s="32">
        <v>0</v>
      </c>
      <c r="J27" s="34"/>
      <c r="K27" s="18">
        <f t="shared" si="2"/>
        <v>0</v>
      </c>
      <c r="L27" s="32">
        <v>0</v>
      </c>
      <c r="M27" s="34"/>
      <c r="N27" s="18">
        <f t="shared" si="3"/>
        <v>0</v>
      </c>
      <c r="O27" s="32">
        <v>0</v>
      </c>
      <c r="P27" s="34"/>
      <c r="Q27" s="18">
        <f t="shared" si="4"/>
        <v>0</v>
      </c>
      <c r="R27" s="32">
        <v>0</v>
      </c>
      <c r="S27" s="34"/>
      <c r="T27" s="18">
        <f t="shared" si="5"/>
        <v>0</v>
      </c>
      <c r="U27" s="32">
        <v>0</v>
      </c>
      <c r="V27" s="34"/>
      <c r="W27" s="18">
        <f t="shared" si="6"/>
        <v>0</v>
      </c>
      <c r="X27" s="31">
        <f t="shared" si="7"/>
        <v>325.19571560299579</v>
      </c>
      <c r="Y27" s="35"/>
      <c r="Z27" s="23">
        <f t="shared" si="8"/>
        <v>325.19571560299579</v>
      </c>
      <c r="AA27" s="23">
        <f t="shared" si="9"/>
        <v>0</v>
      </c>
      <c r="AB27">
        <f t="shared" si="10"/>
        <v>1</v>
      </c>
      <c r="AC27">
        <f t="shared" si="11"/>
        <v>0</v>
      </c>
      <c r="AD27">
        <f t="shared" si="12"/>
        <v>0</v>
      </c>
      <c r="AE27">
        <f t="shared" si="13"/>
        <v>0</v>
      </c>
      <c r="AF27">
        <f t="shared" si="14"/>
        <v>21033.62801</v>
      </c>
      <c r="AG27">
        <f t="shared" si="15"/>
        <v>4206.7256020000004</v>
      </c>
      <c r="AH27">
        <f t="shared" si="16"/>
        <v>1368.0091424878335</v>
      </c>
    </row>
    <row r="28" spans="1:34">
      <c r="A28" s="17" t="s">
        <v>22</v>
      </c>
      <c r="B28" s="37">
        <v>47</v>
      </c>
      <c r="C28" s="19">
        <v>0</v>
      </c>
      <c r="D28" s="20"/>
      <c r="E28" s="18">
        <f t="shared" si="0"/>
        <v>0</v>
      </c>
      <c r="F28" s="19">
        <v>0</v>
      </c>
      <c r="G28" s="21"/>
      <c r="H28" s="25">
        <f t="shared" si="17"/>
        <v>0</v>
      </c>
      <c r="I28" s="19">
        <f>SUM('Plant Measurements'!P305:P336)</f>
        <v>342.00306387372018</v>
      </c>
      <c r="J28" s="21"/>
      <c r="K28" s="18">
        <f t="shared" si="2"/>
        <v>1368.0122554948807</v>
      </c>
      <c r="L28" s="19">
        <v>0</v>
      </c>
      <c r="M28" s="21"/>
      <c r="N28" s="18">
        <f t="shared" si="3"/>
        <v>0</v>
      </c>
      <c r="O28" s="19">
        <v>0</v>
      </c>
      <c r="P28" s="21"/>
      <c r="Q28" s="18">
        <f t="shared" si="4"/>
        <v>0</v>
      </c>
      <c r="R28" s="19">
        <v>0</v>
      </c>
      <c r="S28" s="21"/>
      <c r="T28" s="18">
        <f t="shared" si="5"/>
        <v>0</v>
      </c>
      <c r="U28" s="19">
        <v>0</v>
      </c>
      <c r="V28" s="21"/>
      <c r="W28" s="18">
        <f t="shared" si="6"/>
        <v>0</v>
      </c>
      <c r="X28" s="18">
        <f t="shared" si="7"/>
        <v>1368.0122554948807</v>
      </c>
      <c r="Y28" s="22">
        <f>AVERAGE(X28:X32)</f>
        <v>799.96113885980174</v>
      </c>
      <c r="Z28" s="23">
        <f t="shared" si="8"/>
        <v>0</v>
      </c>
      <c r="AA28" s="23">
        <f t="shared" si="9"/>
        <v>0</v>
      </c>
      <c r="AB28">
        <f t="shared" si="10"/>
        <v>0</v>
      </c>
      <c r="AC28">
        <f t="shared" si="11"/>
        <v>0</v>
      </c>
      <c r="AD28">
        <f t="shared" si="12"/>
        <v>1</v>
      </c>
      <c r="AE28">
        <f t="shared" si="13"/>
        <v>0</v>
      </c>
      <c r="AF28">
        <f t="shared" si="14"/>
        <v>21033.62801</v>
      </c>
      <c r="AG28">
        <f t="shared" si="15"/>
        <v>4206.7256020000004</v>
      </c>
      <c r="AH28">
        <f t="shared" si="16"/>
        <v>5754.852179040081</v>
      </c>
    </row>
    <row r="29" spans="1:34">
      <c r="A29" s="24" t="s">
        <v>22</v>
      </c>
      <c r="B29" s="25">
        <v>44</v>
      </c>
      <c r="C29" s="26">
        <v>0</v>
      </c>
      <c r="D29" s="27"/>
      <c r="E29" s="18">
        <f t="shared" si="0"/>
        <v>0</v>
      </c>
      <c r="F29" s="26">
        <v>0</v>
      </c>
      <c r="G29" s="28"/>
      <c r="H29" s="25">
        <f t="shared" si="17"/>
        <v>0</v>
      </c>
      <c r="I29" s="26">
        <v>0</v>
      </c>
      <c r="J29" s="28"/>
      <c r="K29" s="18">
        <f t="shared" si="2"/>
        <v>0</v>
      </c>
      <c r="L29" s="26">
        <v>0</v>
      </c>
      <c r="M29" s="28"/>
      <c r="N29" s="18">
        <f t="shared" si="3"/>
        <v>0</v>
      </c>
      <c r="O29" s="26">
        <v>0</v>
      </c>
      <c r="P29" s="28"/>
      <c r="Q29" s="18">
        <f t="shared" si="4"/>
        <v>0</v>
      </c>
      <c r="R29" s="26">
        <f>SUM('Plant Measurements'!P337:P344)</f>
        <v>25.849527000000009</v>
      </c>
      <c r="S29" s="28"/>
      <c r="T29" s="18">
        <f t="shared" si="5"/>
        <v>103.39810800000004</v>
      </c>
      <c r="U29" s="26">
        <v>0</v>
      </c>
      <c r="V29" s="28"/>
      <c r="W29" s="18">
        <f t="shared" si="6"/>
        <v>0</v>
      </c>
      <c r="X29" s="25">
        <f t="shared" si="7"/>
        <v>103.39810800000004</v>
      </c>
      <c r="Y29" s="29"/>
      <c r="Z29" s="23">
        <f t="shared" si="8"/>
        <v>0</v>
      </c>
      <c r="AA29" s="23">
        <f t="shared" si="9"/>
        <v>103.39810800000004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1</v>
      </c>
      <c r="AF29">
        <f t="shared" si="14"/>
        <v>21033.62801</v>
      </c>
      <c r="AG29">
        <f t="shared" si="15"/>
        <v>4206.7256020000004</v>
      </c>
      <c r="AH29">
        <f t="shared" si="16"/>
        <v>434.96746812196125</v>
      </c>
    </row>
    <row r="30" spans="1:34">
      <c r="A30" s="24" t="s">
        <v>22</v>
      </c>
      <c r="B30" s="38">
        <v>20</v>
      </c>
      <c r="C30" s="26">
        <f>SUM('Plant Measurements'!P346:P353)</f>
        <v>35.724900000000005</v>
      </c>
      <c r="D30" s="27"/>
      <c r="E30" s="18">
        <f t="shared" si="0"/>
        <v>142.89960000000002</v>
      </c>
      <c r="F30" s="26">
        <v>0</v>
      </c>
      <c r="G30" s="28"/>
      <c r="H30" s="25">
        <f t="shared" si="17"/>
        <v>0</v>
      </c>
      <c r="I30" s="26">
        <v>0</v>
      </c>
      <c r="J30" s="28"/>
      <c r="K30" s="18">
        <f t="shared" si="2"/>
        <v>0</v>
      </c>
      <c r="L30" s="26">
        <v>0</v>
      </c>
      <c r="M30" s="28"/>
      <c r="N30" s="18">
        <f t="shared" si="3"/>
        <v>0</v>
      </c>
      <c r="O30" s="26">
        <v>0</v>
      </c>
      <c r="P30" s="28"/>
      <c r="Q30" s="18">
        <f t="shared" si="4"/>
        <v>0</v>
      </c>
      <c r="R30" s="26">
        <f>SUM('Plant Measurements'!P345,'Plant Measurements'!P354:P367)</f>
        <v>92.609874000000005</v>
      </c>
      <c r="S30" s="28"/>
      <c r="T30" s="18">
        <f t="shared" si="5"/>
        <v>370.43949600000002</v>
      </c>
      <c r="U30" s="26">
        <v>0</v>
      </c>
      <c r="V30" s="28"/>
      <c r="W30" s="18">
        <f t="shared" si="6"/>
        <v>0</v>
      </c>
      <c r="X30" s="25">
        <f t="shared" si="7"/>
        <v>513.33909600000004</v>
      </c>
      <c r="Y30" s="29"/>
      <c r="Z30" s="23">
        <f t="shared" si="8"/>
        <v>142.89960000000002</v>
      </c>
      <c r="AA30" s="23">
        <f t="shared" si="9"/>
        <v>370.43949600000002</v>
      </c>
      <c r="AB30">
        <f t="shared" si="10"/>
        <v>0.27837271915092943</v>
      </c>
      <c r="AC30">
        <f t="shared" si="11"/>
        <v>0</v>
      </c>
      <c r="AD30">
        <f t="shared" si="12"/>
        <v>0</v>
      </c>
      <c r="AE30">
        <f t="shared" si="13"/>
        <v>0.72162728084907057</v>
      </c>
      <c r="AF30">
        <f t="shared" si="14"/>
        <v>21033.62801</v>
      </c>
      <c r="AG30">
        <f t="shared" si="15"/>
        <v>4206.7256020000004</v>
      </c>
      <c r="AH30">
        <f t="shared" si="16"/>
        <v>2159.4767176507362</v>
      </c>
    </row>
    <row r="31" spans="1:34">
      <c r="A31" s="24" t="s">
        <v>22</v>
      </c>
      <c r="B31" s="25">
        <v>14</v>
      </c>
      <c r="C31" s="26">
        <f>SUM('Plant Measurements'!P377,'Plant Measurements'!P379)</f>
        <v>12.831776000000001</v>
      </c>
      <c r="D31" s="27"/>
      <c r="E31" s="18">
        <f t="shared" si="0"/>
        <v>51.327104000000006</v>
      </c>
      <c r="F31" s="26">
        <v>0</v>
      </c>
      <c r="G31" s="28"/>
      <c r="H31" s="25">
        <f t="shared" si="17"/>
        <v>0</v>
      </c>
      <c r="I31" s="26">
        <v>0</v>
      </c>
      <c r="J31" s="28"/>
      <c r="K31" s="18">
        <f t="shared" si="2"/>
        <v>0</v>
      </c>
      <c r="L31" s="26">
        <v>0</v>
      </c>
      <c r="M31" s="28"/>
      <c r="N31" s="18">
        <f t="shared" si="3"/>
        <v>0</v>
      </c>
      <c r="O31" s="26">
        <v>0</v>
      </c>
      <c r="P31" s="28"/>
      <c r="Q31" s="18">
        <f t="shared" si="4"/>
        <v>0</v>
      </c>
      <c r="R31" s="26">
        <f>SUM('Plant Measurements'!P368:P376,'Plant Measurements'!P378,'Plant Measurements'!P380:P383)</f>
        <v>80.792369000000008</v>
      </c>
      <c r="S31" s="28"/>
      <c r="T31" s="18">
        <f t="shared" si="5"/>
        <v>323.16947600000003</v>
      </c>
      <c r="U31" s="26">
        <v>0</v>
      </c>
      <c r="V31" s="28"/>
      <c r="W31" s="18">
        <f t="shared" si="6"/>
        <v>0</v>
      </c>
      <c r="X31" s="25">
        <f t="shared" si="7"/>
        <v>374.49658000000005</v>
      </c>
      <c r="Y31" s="29"/>
      <c r="Z31" s="23">
        <f t="shared" si="8"/>
        <v>51.327104000000006</v>
      </c>
      <c r="AA31" s="23">
        <f t="shared" si="9"/>
        <v>323.16947600000003</v>
      </c>
      <c r="AB31">
        <f t="shared" si="10"/>
        <v>0.13705626897847772</v>
      </c>
      <c r="AC31">
        <f t="shared" si="11"/>
        <v>0</v>
      </c>
      <c r="AD31">
        <f t="shared" si="12"/>
        <v>0</v>
      </c>
      <c r="AE31">
        <f t="shared" si="13"/>
        <v>0.86294373102152222</v>
      </c>
      <c r="AF31">
        <f t="shared" si="14"/>
        <v>21033.62801</v>
      </c>
      <c r="AG31">
        <f t="shared" si="15"/>
        <v>4206.7256020000004</v>
      </c>
      <c r="AH31">
        <f t="shared" si="16"/>
        <v>1575.4043509474416</v>
      </c>
    </row>
    <row r="32" spans="1:34">
      <c r="A32" s="30" t="s">
        <v>22</v>
      </c>
      <c r="B32" s="25">
        <v>7</v>
      </c>
      <c r="C32" s="32">
        <v>0</v>
      </c>
      <c r="D32" s="33"/>
      <c r="E32" s="18">
        <f t="shared" si="0"/>
        <v>0</v>
      </c>
      <c r="F32" s="32">
        <v>0</v>
      </c>
      <c r="G32" s="34"/>
      <c r="H32" s="25">
        <f t="shared" si="17"/>
        <v>0</v>
      </c>
      <c r="I32" s="32">
        <f>SUM('Plant Measurements'!P384:P398,'Plant Measurements'!P400:P477,'Plant Measurements'!P479:P485)</f>
        <v>398.57712670103194</v>
      </c>
      <c r="J32" s="34"/>
      <c r="K32" s="18">
        <f t="shared" si="2"/>
        <v>1594.3085068041278</v>
      </c>
      <c r="L32" s="32">
        <v>0</v>
      </c>
      <c r="M32" s="34"/>
      <c r="N32" s="18">
        <f t="shared" si="3"/>
        <v>0</v>
      </c>
      <c r="O32" s="32">
        <v>0</v>
      </c>
      <c r="P32" s="34"/>
      <c r="Q32" s="18">
        <f t="shared" si="4"/>
        <v>0</v>
      </c>
      <c r="R32" s="32">
        <f>SUM('Plant Measurements'!P478,'Plant Measurements'!P399)</f>
        <v>11.562787</v>
      </c>
      <c r="S32" s="34"/>
      <c r="T32" s="18">
        <f t="shared" si="5"/>
        <v>46.251148000000001</v>
      </c>
      <c r="U32" s="32">
        <v>0</v>
      </c>
      <c r="V32" s="34"/>
      <c r="W32" s="18">
        <f t="shared" si="6"/>
        <v>0</v>
      </c>
      <c r="X32" s="31">
        <f t="shared" si="7"/>
        <v>1640.5596548041278</v>
      </c>
      <c r="Y32" s="35"/>
      <c r="Z32" s="23">
        <f t="shared" si="8"/>
        <v>0</v>
      </c>
      <c r="AA32" s="23">
        <f t="shared" si="9"/>
        <v>46.251148000000001</v>
      </c>
      <c r="AB32">
        <f t="shared" si="10"/>
        <v>0</v>
      </c>
      <c r="AC32">
        <f t="shared" si="11"/>
        <v>0</v>
      </c>
      <c r="AD32">
        <f t="shared" si="12"/>
        <v>0.97180770119235793</v>
      </c>
      <c r="AE32">
        <f t="shared" si="13"/>
        <v>2.819229880764201E-2</v>
      </c>
      <c r="AF32">
        <f t="shared" si="14"/>
        <v>21033.62801</v>
      </c>
      <c r="AG32">
        <f t="shared" si="15"/>
        <v>4206.7256020000004</v>
      </c>
      <c r="AH32">
        <f t="shared" si="16"/>
        <v>6901.3843014728072</v>
      </c>
    </row>
    <row r="33" spans="1:34">
      <c r="A33" s="17" t="s">
        <v>23</v>
      </c>
      <c r="B33" s="18">
        <v>42</v>
      </c>
      <c r="C33" s="19">
        <v>0</v>
      </c>
      <c r="D33" s="39"/>
      <c r="E33" s="18">
        <f t="shared" si="0"/>
        <v>0</v>
      </c>
      <c r="F33" s="19">
        <v>0</v>
      </c>
      <c r="G33" s="21"/>
      <c r="H33" s="25">
        <f t="shared" si="17"/>
        <v>0</v>
      </c>
      <c r="I33" s="19">
        <v>0</v>
      </c>
      <c r="J33" s="21"/>
      <c r="K33" s="18">
        <f t="shared" si="2"/>
        <v>0</v>
      </c>
      <c r="L33" s="19">
        <v>0</v>
      </c>
      <c r="M33" s="21"/>
      <c r="N33" s="18">
        <f t="shared" si="3"/>
        <v>0</v>
      </c>
      <c r="O33" s="19">
        <v>0</v>
      </c>
      <c r="P33" s="21"/>
      <c r="Q33" s="18">
        <f t="shared" si="4"/>
        <v>0</v>
      </c>
      <c r="R33" s="19">
        <f>SUM('Plant Measurements'!P541:P548)</f>
        <v>56.686090000000007</v>
      </c>
      <c r="S33" s="21"/>
      <c r="T33" s="18">
        <f t="shared" si="5"/>
        <v>226.74436000000003</v>
      </c>
      <c r="U33" s="19">
        <v>0</v>
      </c>
      <c r="V33" s="21"/>
      <c r="W33" s="18">
        <f t="shared" si="6"/>
        <v>0</v>
      </c>
      <c r="X33" s="18">
        <f t="shared" si="7"/>
        <v>226.74436000000003</v>
      </c>
      <c r="Y33" s="22">
        <f>AVERAGE(X33:X37)</f>
        <v>344.40133520000006</v>
      </c>
      <c r="Z33" s="23">
        <f t="shared" si="8"/>
        <v>0</v>
      </c>
      <c r="AA33" s="23">
        <f t="shared" si="9"/>
        <v>226.74436000000003</v>
      </c>
      <c r="AB33">
        <f t="shared" si="10"/>
        <v>0</v>
      </c>
      <c r="AC33">
        <f t="shared" si="11"/>
        <v>0</v>
      </c>
      <c r="AD33">
        <f t="shared" si="12"/>
        <v>0</v>
      </c>
      <c r="AE33">
        <f t="shared" si="13"/>
        <v>1</v>
      </c>
      <c r="AF33">
        <f t="shared" si="14"/>
        <v>21033.62801</v>
      </c>
      <c r="AG33">
        <f t="shared" si="15"/>
        <v>4206.7256020000004</v>
      </c>
      <c r="AH33">
        <f t="shared" si="16"/>
        <v>953.85130432110486</v>
      </c>
    </row>
    <row r="34" spans="1:34">
      <c r="A34" s="24" t="s">
        <v>23</v>
      </c>
      <c r="B34" s="25">
        <v>34</v>
      </c>
      <c r="C34" s="26">
        <v>0</v>
      </c>
      <c r="D34" s="27"/>
      <c r="E34" s="18">
        <f t="shared" si="0"/>
        <v>0</v>
      </c>
      <c r="F34" s="26">
        <v>0</v>
      </c>
      <c r="G34" s="28"/>
      <c r="H34" s="25">
        <f t="shared" si="17"/>
        <v>0</v>
      </c>
      <c r="I34" s="26">
        <v>0</v>
      </c>
      <c r="J34" s="28"/>
      <c r="K34" s="18">
        <f t="shared" si="2"/>
        <v>0</v>
      </c>
      <c r="L34" s="26">
        <v>0</v>
      </c>
      <c r="M34" s="28"/>
      <c r="N34" s="18">
        <f t="shared" si="3"/>
        <v>0</v>
      </c>
      <c r="O34" s="26">
        <v>0</v>
      </c>
      <c r="P34" s="28"/>
      <c r="Q34" s="18">
        <f t="shared" si="4"/>
        <v>0</v>
      </c>
      <c r="R34" s="26">
        <f>SUM('Plant Measurements'!P549:P555)</f>
        <v>43.291808000000017</v>
      </c>
      <c r="S34" s="28"/>
      <c r="T34" s="18">
        <f t="shared" si="5"/>
        <v>173.16723200000007</v>
      </c>
      <c r="U34" s="26">
        <v>0</v>
      </c>
      <c r="V34" s="28"/>
      <c r="W34" s="18">
        <f t="shared" si="6"/>
        <v>0</v>
      </c>
      <c r="X34" s="25">
        <f t="shared" si="7"/>
        <v>173.16723200000007</v>
      </c>
      <c r="Y34" s="29"/>
      <c r="Z34" s="23">
        <f t="shared" si="8"/>
        <v>0</v>
      </c>
      <c r="AA34" s="23">
        <f t="shared" si="9"/>
        <v>173.16723200000007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1</v>
      </c>
      <c r="AF34">
        <f t="shared" si="14"/>
        <v>21033.62801</v>
      </c>
      <c r="AG34">
        <f t="shared" si="15"/>
        <v>4206.7256020000004</v>
      </c>
      <c r="AH34">
        <f t="shared" si="16"/>
        <v>728.46702828187404</v>
      </c>
    </row>
    <row r="35" spans="1:34">
      <c r="A35" s="24" t="s">
        <v>23</v>
      </c>
      <c r="B35" s="25">
        <v>33</v>
      </c>
      <c r="C35" s="26">
        <v>0</v>
      </c>
      <c r="D35" s="27"/>
      <c r="E35" s="18">
        <f t="shared" si="0"/>
        <v>0</v>
      </c>
      <c r="F35" s="26">
        <v>0</v>
      </c>
      <c r="G35" s="28"/>
      <c r="H35" s="25">
        <f t="shared" si="17"/>
        <v>0</v>
      </c>
      <c r="I35" s="26">
        <v>0</v>
      </c>
      <c r="J35" s="28"/>
      <c r="K35" s="18">
        <f t="shared" si="2"/>
        <v>0</v>
      </c>
      <c r="L35" s="26">
        <v>0</v>
      </c>
      <c r="M35" s="28"/>
      <c r="N35" s="18">
        <f t="shared" si="3"/>
        <v>0</v>
      </c>
      <c r="O35" s="26">
        <v>0</v>
      </c>
      <c r="P35" s="28"/>
      <c r="Q35" s="18">
        <f t="shared" si="4"/>
        <v>0</v>
      </c>
      <c r="R35" s="26">
        <f>SUM('Plant Measurements'!P556:P585)</f>
        <v>188.23315900000009</v>
      </c>
      <c r="S35" s="28"/>
      <c r="T35" s="18">
        <f t="shared" si="5"/>
        <v>752.93263600000034</v>
      </c>
      <c r="U35" s="26">
        <v>0</v>
      </c>
      <c r="V35" s="28"/>
      <c r="W35" s="18">
        <f t="shared" si="6"/>
        <v>0</v>
      </c>
      <c r="X35" s="25">
        <f t="shared" si="7"/>
        <v>752.93263600000034</v>
      </c>
      <c r="Y35" s="29"/>
      <c r="Z35" s="23">
        <f t="shared" si="8"/>
        <v>0</v>
      </c>
      <c r="AA35" s="23">
        <f t="shared" si="9"/>
        <v>752.93263600000034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1</v>
      </c>
      <c r="AF35">
        <f t="shared" si="14"/>
        <v>21033.62801</v>
      </c>
      <c r="AG35">
        <f t="shared" si="15"/>
        <v>4206.7256020000004</v>
      </c>
      <c r="AH35">
        <f t="shared" si="16"/>
        <v>3167.3809964425486</v>
      </c>
    </row>
    <row r="36" spans="1:34">
      <c r="A36" s="24" t="s">
        <v>23</v>
      </c>
      <c r="B36" s="25">
        <v>21</v>
      </c>
      <c r="C36" s="26">
        <v>0</v>
      </c>
      <c r="D36" s="27"/>
      <c r="E36" s="18">
        <f t="shared" si="0"/>
        <v>0</v>
      </c>
      <c r="F36" s="26">
        <v>0</v>
      </c>
      <c r="G36" s="28"/>
      <c r="H36" s="25">
        <f t="shared" si="17"/>
        <v>0</v>
      </c>
      <c r="I36" s="26">
        <v>0</v>
      </c>
      <c r="J36" s="28"/>
      <c r="K36" s="18">
        <f t="shared" si="2"/>
        <v>0</v>
      </c>
      <c r="L36" s="26">
        <v>0</v>
      </c>
      <c r="M36" s="28"/>
      <c r="N36" s="18">
        <f t="shared" si="3"/>
        <v>0</v>
      </c>
      <c r="O36" s="26">
        <v>0</v>
      </c>
      <c r="P36" s="28"/>
      <c r="Q36" s="18">
        <f t="shared" si="4"/>
        <v>0</v>
      </c>
      <c r="R36" s="26">
        <f>SUM('Plant Measurements'!P586:P600)</f>
        <v>142.29061200000001</v>
      </c>
      <c r="S36" s="28"/>
      <c r="T36" s="18">
        <f t="shared" si="5"/>
        <v>569.16244800000004</v>
      </c>
      <c r="U36" s="26">
        <v>0</v>
      </c>
      <c r="V36" s="28"/>
      <c r="W36" s="18">
        <f t="shared" si="6"/>
        <v>0</v>
      </c>
      <c r="X36" s="25">
        <f t="shared" si="7"/>
        <v>569.16244800000004</v>
      </c>
      <c r="Y36" s="29"/>
      <c r="Z36" s="23">
        <f t="shared" si="8"/>
        <v>0</v>
      </c>
      <c r="AA36" s="23">
        <f t="shared" si="9"/>
        <v>569.16244800000004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1</v>
      </c>
      <c r="AF36">
        <f t="shared" si="14"/>
        <v>21033.62801</v>
      </c>
      <c r="AG36">
        <f t="shared" si="15"/>
        <v>4206.7256020000004</v>
      </c>
      <c r="AH36">
        <f t="shared" si="16"/>
        <v>2394.3102416985944</v>
      </c>
    </row>
    <row r="37" spans="1:34">
      <c r="A37" s="30" t="s">
        <v>23</v>
      </c>
      <c r="B37" s="31">
        <v>5</v>
      </c>
      <c r="C37" s="32">
        <v>0</v>
      </c>
      <c r="D37" s="33"/>
      <c r="E37" s="18">
        <f t="shared" si="0"/>
        <v>0</v>
      </c>
      <c r="F37" s="32">
        <v>0</v>
      </c>
      <c r="G37" s="34"/>
      <c r="H37" s="25">
        <f t="shared" si="17"/>
        <v>0</v>
      </c>
      <c r="I37" s="32">
        <v>0</v>
      </c>
      <c r="J37" s="34"/>
      <c r="K37" s="18">
        <f t="shared" si="2"/>
        <v>0</v>
      </c>
      <c r="L37" s="32">
        <v>0</v>
      </c>
      <c r="M37" s="34"/>
      <c r="N37" s="18">
        <f t="shared" si="3"/>
        <v>0</v>
      </c>
      <c r="O37" s="32">
        <v>0</v>
      </c>
      <c r="P37" s="34"/>
      <c r="Q37" s="18">
        <f t="shared" si="4"/>
        <v>0</v>
      </c>
      <c r="R37" s="32">
        <v>0</v>
      </c>
      <c r="S37" s="34"/>
      <c r="T37" s="18">
        <f t="shared" si="5"/>
        <v>0</v>
      </c>
      <c r="U37" s="32">
        <v>0</v>
      </c>
      <c r="V37" s="34"/>
      <c r="W37" s="18">
        <f t="shared" si="6"/>
        <v>0</v>
      </c>
      <c r="X37" s="31">
        <f t="shared" si="7"/>
        <v>0</v>
      </c>
      <c r="Y37" s="35"/>
      <c r="Z37" s="23">
        <f t="shared" si="8"/>
        <v>0</v>
      </c>
      <c r="AA37" s="23">
        <f t="shared" si="9"/>
        <v>0</v>
      </c>
      <c r="AB37" t="str">
        <f t="shared" si="10"/>
        <v xml:space="preserve"> </v>
      </c>
      <c r="AC37" t="str">
        <f t="shared" si="11"/>
        <v xml:space="preserve"> </v>
      </c>
      <c r="AD37" t="str">
        <f t="shared" si="12"/>
        <v xml:space="preserve"> </v>
      </c>
      <c r="AE37" t="str">
        <f t="shared" si="13"/>
        <v xml:space="preserve"> </v>
      </c>
      <c r="AF37">
        <f t="shared" si="14"/>
        <v>21033.62801</v>
      </c>
      <c r="AG37">
        <f t="shared" si="15"/>
        <v>4206.7256020000004</v>
      </c>
      <c r="AH37">
        <f t="shared" si="16"/>
        <v>0</v>
      </c>
    </row>
    <row r="38" spans="1:34">
      <c r="A38" s="17" t="s">
        <v>24</v>
      </c>
      <c r="B38" s="18">
        <v>43</v>
      </c>
      <c r="C38" s="19">
        <v>0</v>
      </c>
      <c r="D38" s="20"/>
      <c r="E38" s="18">
        <f t="shared" si="0"/>
        <v>0</v>
      </c>
      <c r="F38" s="19">
        <v>0</v>
      </c>
      <c r="G38" s="21"/>
      <c r="H38" s="25">
        <f t="shared" si="17"/>
        <v>0</v>
      </c>
      <c r="I38" s="19">
        <v>0</v>
      </c>
      <c r="J38" s="21"/>
      <c r="K38" s="18">
        <f t="shared" si="2"/>
        <v>0</v>
      </c>
      <c r="L38" s="19">
        <v>0</v>
      </c>
      <c r="M38" s="21"/>
      <c r="N38" s="18">
        <f t="shared" si="3"/>
        <v>0</v>
      </c>
      <c r="O38" s="19">
        <v>0</v>
      </c>
      <c r="P38" s="21"/>
      <c r="Q38" s="18">
        <f t="shared" si="4"/>
        <v>0</v>
      </c>
      <c r="R38" s="19">
        <f>SUM('Plant Measurements'!P602:P614)</f>
        <v>40.32275300000002</v>
      </c>
      <c r="S38" s="21"/>
      <c r="T38" s="18">
        <f t="shared" si="5"/>
        <v>161.29101200000008</v>
      </c>
      <c r="U38" s="19">
        <v>0</v>
      </c>
      <c r="V38" s="21"/>
      <c r="W38" s="18">
        <f t="shared" si="6"/>
        <v>0</v>
      </c>
      <c r="X38" s="18">
        <f t="shared" si="7"/>
        <v>161.29101200000008</v>
      </c>
      <c r="Y38" s="22">
        <f>AVERAGE(X38:X42)</f>
        <v>736.63633765466841</v>
      </c>
      <c r="Z38" s="23">
        <f t="shared" si="8"/>
        <v>0</v>
      </c>
      <c r="AA38" s="23">
        <f t="shared" si="9"/>
        <v>161.29101200000008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1</v>
      </c>
      <c r="AF38">
        <f t="shared" si="14"/>
        <v>21033.62801</v>
      </c>
      <c r="AG38">
        <f t="shared" si="15"/>
        <v>4206.7256020000004</v>
      </c>
      <c r="AH38">
        <f t="shared" si="16"/>
        <v>678.50702955288966</v>
      </c>
    </row>
    <row r="39" spans="1:34">
      <c r="A39" s="24" t="s">
        <v>24</v>
      </c>
      <c r="B39" s="25">
        <v>35</v>
      </c>
      <c r="C39" s="26">
        <v>0</v>
      </c>
      <c r="D39" s="27"/>
      <c r="E39" s="18">
        <f t="shared" si="0"/>
        <v>0</v>
      </c>
      <c r="F39" s="26">
        <v>0</v>
      </c>
      <c r="G39" s="28"/>
      <c r="H39" s="25">
        <f t="shared" si="17"/>
        <v>0</v>
      </c>
      <c r="I39" s="26">
        <v>0</v>
      </c>
      <c r="J39" s="28"/>
      <c r="K39" s="18">
        <f t="shared" si="2"/>
        <v>0</v>
      </c>
      <c r="L39" s="26">
        <v>0</v>
      </c>
      <c r="M39" s="28"/>
      <c r="N39" s="18">
        <f t="shared" si="3"/>
        <v>0</v>
      </c>
      <c r="O39" s="26">
        <v>0</v>
      </c>
      <c r="P39" s="28"/>
      <c r="Q39" s="18">
        <f t="shared" si="4"/>
        <v>0</v>
      </c>
      <c r="R39" s="26">
        <f>SUM('Plant Measurements'!P615:P622)</f>
        <v>40.871508000000041</v>
      </c>
      <c r="S39" s="28"/>
      <c r="T39" s="18">
        <f t="shared" si="5"/>
        <v>163.48603200000016</v>
      </c>
      <c r="U39" s="26">
        <v>0</v>
      </c>
      <c r="V39" s="28"/>
      <c r="W39" s="18">
        <f t="shared" si="6"/>
        <v>0</v>
      </c>
      <c r="X39" s="25">
        <f t="shared" si="7"/>
        <v>163.48603200000016</v>
      </c>
      <c r="Y39" s="29"/>
      <c r="Z39" s="23">
        <f t="shared" si="8"/>
        <v>0</v>
      </c>
      <c r="AA39" s="23">
        <f t="shared" si="9"/>
        <v>163.48603200000016</v>
      </c>
      <c r="AB39">
        <f t="shared" si="10"/>
        <v>0</v>
      </c>
      <c r="AC39">
        <f t="shared" si="11"/>
        <v>0</v>
      </c>
      <c r="AD39">
        <f t="shared" si="12"/>
        <v>0</v>
      </c>
      <c r="AE39">
        <f t="shared" si="13"/>
        <v>1</v>
      </c>
      <c r="AF39">
        <f t="shared" si="14"/>
        <v>21033.62801</v>
      </c>
      <c r="AG39">
        <f t="shared" si="15"/>
        <v>4206.7256020000004</v>
      </c>
      <c r="AH39">
        <f t="shared" si="16"/>
        <v>687.74087638379206</v>
      </c>
    </row>
    <row r="40" spans="1:34">
      <c r="A40" s="24" t="s">
        <v>24</v>
      </c>
      <c r="B40" s="25">
        <v>30</v>
      </c>
      <c r="C40" s="26">
        <f>SUM('Plant Measurements'!P623:P664)</f>
        <v>254.5670310151495</v>
      </c>
      <c r="D40" s="27"/>
      <c r="E40" s="18">
        <f t="shared" si="0"/>
        <v>1018.268124060598</v>
      </c>
      <c r="F40" s="26">
        <v>0</v>
      </c>
      <c r="G40" s="28"/>
      <c r="H40" s="25">
        <f t="shared" si="17"/>
        <v>0</v>
      </c>
      <c r="I40" s="26">
        <v>0</v>
      </c>
      <c r="J40" s="28"/>
      <c r="K40" s="18">
        <f t="shared" si="2"/>
        <v>0</v>
      </c>
      <c r="L40" s="26">
        <v>0</v>
      </c>
      <c r="M40" s="28"/>
      <c r="N40" s="18">
        <f t="shared" si="3"/>
        <v>0</v>
      </c>
      <c r="O40" s="26">
        <v>0</v>
      </c>
      <c r="P40" s="28"/>
      <c r="Q40" s="18">
        <f t="shared" si="4"/>
        <v>0</v>
      </c>
      <c r="R40" s="26">
        <v>0</v>
      </c>
      <c r="S40" s="28"/>
      <c r="T40" s="18">
        <f t="shared" si="5"/>
        <v>0</v>
      </c>
      <c r="U40" s="26">
        <v>0</v>
      </c>
      <c r="V40" s="28"/>
      <c r="W40" s="18">
        <f t="shared" si="6"/>
        <v>0</v>
      </c>
      <c r="X40" s="25">
        <f t="shared" si="7"/>
        <v>1018.268124060598</v>
      </c>
      <c r="Y40" s="29"/>
      <c r="Z40" s="23">
        <f t="shared" si="8"/>
        <v>1018.268124060598</v>
      </c>
      <c r="AA40" s="23">
        <f t="shared" si="9"/>
        <v>0</v>
      </c>
      <c r="AB40">
        <f t="shared" si="10"/>
        <v>1</v>
      </c>
      <c r="AC40">
        <f t="shared" si="11"/>
        <v>0</v>
      </c>
      <c r="AD40">
        <f t="shared" si="12"/>
        <v>0</v>
      </c>
      <c r="AE40">
        <f t="shared" si="13"/>
        <v>0</v>
      </c>
      <c r="AF40">
        <f t="shared" si="14"/>
        <v>21033.62801</v>
      </c>
      <c r="AG40">
        <f t="shared" si="15"/>
        <v>4206.7256020000004</v>
      </c>
      <c r="AH40">
        <f t="shared" si="16"/>
        <v>4283.57458718623</v>
      </c>
    </row>
    <row r="41" spans="1:34">
      <c r="A41" s="24" t="s">
        <v>24</v>
      </c>
      <c r="B41" s="25">
        <v>28</v>
      </c>
      <c r="C41" s="26">
        <f>SUM('Plant Measurements'!P665:P740)</f>
        <v>454.42635215786584</v>
      </c>
      <c r="D41" s="27"/>
      <c r="E41" s="18">
        <f t="shared" si="0"/>
        <v>1817.7054086314633</v>
      </c>
      <c r="F41" s="26">
        <v>0</v>
      </c>
      <c r="G41" s="28"/>
      <c r="H41" s="25">
        <f t="shared" si="17"/>
        <v>0</v>
      </c>
      <c r="I41" s="26">
        <v>0</v>
      </c>
      <c r="J41" s="28"/>
      <c r="K41" s="18">
        <f t="shared" si="2"/>
        <v>0</v>
      </c>
      <c r="L41" s="26">
        <v>0</v>
      </c>
      <c r="M41" s="28"/>
      <c r="N41" s="18">
        <f t="shared" si="3"/>
        <v>0</v>
      </c>
      <c r="O41" s="26">
        <v>0</v>
      </c>
      <c r="P41" s="28"/>
      <c r="Q41" s="18">
        <f t="shared" si="4"/>
        <v>0</v>
      </c>
      <c r="R41" s="26">
        <v>0</v>
      </c>
      <c r="S41" s="28"/>
      <c r="T41" s="18">
        <f t="shared" si="5"/>
        <v>0</v>
      </c>
      <c r="U41" s="26">
        <v>0</v>
      </c>
      <c r="V41" s="28"/>
      <c r="W41" s="18">
        <f t="shared" si="6"/>
        <v>0</v>
      </c>
      <c r="X41" s="25">
        <f t="shared" si="7"/>
        <v>1817.7054086314633</v>
      </c>
      <c r="Y41" s="29"/>
      <c r="Z41" s="23">
        <f t="shared" si="8"/>
        <v>1817.7054086314633</v>
      </c>
      <c r="AA41" s="23">
        <f t="shared" si="9"/>
        <v>0</v>
      </c>
      <c r="AB41">
        <f t="shared" si="10"/>
        <v>1</v>
      </c>
      <c r="AC41">
        <f t="shared" si="11"/>
        <v>0</v>
      </c>
      <c r="AD41">
        <f t="shared" si="12"/>
        <v>0</v>
      </c>
      <c r="AE41">
        <f t="shared" si="13"/>
        <v>0</v>
      </c>
      <c r="AF41">
        <f t="shared" si="14"/>
        <v>21033.62801</v>
      </c>
      <c r="AG41">
        <f t="shared" si="15"/>
        <v>4206.7256020000004</v>
      </c>
      <c r="AH41">
        <f t="shared" si="16"/>
        <v>7646.5878793838492</v>
      </c>
    </row>
    <row r="42" spans="1:34">
      <c r="A42" s="30" t="s">
        <v>24</v>
      </c>
      <c r="B42" s="31">
        <v>6</v>
      </c>
      <c r="C42" s="32">
        <v>0</v>
      </c>
      <c r="D42" s="33"/>
      <c r="E42" s="18">
        <f>C42*4</f>
        <v>0</v>
      </c>
      <c r="F42" s="32">
        <v>0</v>
      </c>
      <c r="G42" s="34"/>
      <c r="H42" s="25">
        <f t="shared" si="17"/>
        <v>0</v>
      </c>
      <c r="I42" s="32">
        <f>SUM('Plant Measurements'!P741:P788)</f>
        <v>130.60777789532008</v>
      </c>
      <c r="J42" s="34"/>
      <c r="K42" s="18">
        <f t="shared" si="2"/>
        <v>522.43111158128033</v>
      </c>
      <c r="L42" s="32">
        <v>0</v>
      </c>
      <c r="M42" s="34"/>
      <c r="N42" s="18">
        <f t="shared" si="3"/>
        <v>0</v>
      </c>
      <c r="O42" s="32">
        <v>0</v>
      </c>
      <c r="P42" s="34"/>
      <c r="Q42" s="18">
        <f t="shared" si="4"/>
        <v>0</v>
      </c>
      <c r="R42" s="32">
        <v>0</v>
      </c>
      <c r="S42" s="34"/>
      <c r="T42" s="18">
        <f t="shared" si="5"/>
        <v>0</v>
      </c>
      <c r="U42" s="32">
        <v>0</v>
      </c>
      <c r="V42" s="34"/>
      <c r="W42" s="18">
        <f t="shared" si="6"/>
        <v>0</v>
      </c>
      <c r="X42" s="31">
        <f t="shared" si="7"/>
        <v>522.43111158128033</v>
      </c>
      <c r="Y42" s="35"/>
      <c r="Z42" s="23">
        <f t="shared" si="8"/>
        <v>0</v>
      </c>
      <c r="AA42" s="23">
        <f t="shared" si="9"/>
        <v>0</v>
      </c>
      <c r="AB42">
        <f t="shared" si="10"/>
        <v>0</v>
      </c>
      <c r="AC42">
        <f t="shared" si="11"/>
        <v>0</v>
      </c>
      <c r="AD42">
        <f t="shared" si="12"/>
        <v>1</v>
      </c>
      <c r="AE42">
        <f t="shared" si="13"/>
        <v>0</v>
      </c>
      <c r="AF42">
        <f t="shared" si="14"/>
        <v>21033.62801</v>
      </c>
      <c r="AG42">
        <f t="shared" si="15"/>
        <v>4206.7256020000004</v>
      </c>
      <c r="AH42">
        <f t="shared" si="16"/>
        <v>2197.724332370291</v>
      </c>
    </row>
    <row r="43" spans="1:34">
      <c r="A43" s="17" t="s">
        <v>57</v>
      </c>
      <c r="B43" s="18">
        <v>48</v>
      </c>
      <c r="C43" s="19">
        <v>0</v>
      </c>
      <c r="D43" s="40"/>
      <c r="E43" s="18">
        <f>C43*4</f>
        <v>0</v>
      </c>
      <c r="F43" s="19">
        <v>0</v>
      </c>
      <c r="G43" s="21"/>
      <c r="H43" s="25">
        <f t="shared" ref="H43:H52" si="18">F43*4</f>
        <v>0</v>
      </c>
      <c r="I43" s="19">
        <v>0</v>
      </c>
      <c r="J43" s="21"/>
      <c r="K43" s="18">
        <f t="shared" si="2"/>
        <v>0</v>
      </c>
      <c r="L43" s="19">
        <v>0</v>
      </c>
      <c r="M43" s="21"/>
      <c r="N43" s="18">
        <f t="shared" si="3"/>
        <v>0</v>
      </c>
      <c r="O43" s="19">
        <v>0</v>
      </c>
      <c r="P43" s="21"/>
      <c r="Q43" s="18">
        <f t="shared" si="4"/>
        <v>0</v>
      </c>
      <c r="R43" s="19">
        <f>SUM('Plant Measurements'!P486:P493)</f>
        <v>473.62475000000001</v>
      </c>
      <c r="S43" s="21"/>
      <c r="T43" s="18">
        <f t="shared" si="5"/>
        <v>1894.499</v>
      </c>
      <c r="U43" s="19">
        <v>0</v>
      </c>
      <c r="V43" s="20"/>
      <c r="W43" s="18">
        <f t="shared" si="6"/>
        <v>0</v>
      </c>
      <c r="X43" s="18">
        <f t="shared" si="7"/>
        <v>1894.499</v>
      </c>
      <c r="Y43" s="22">
        <f>AVERAGE(X43:X47)</f>
        <v>623.68939920000014</v>
      </c>
      <c r="Z43" s="23">
        <f t="shared" si="8"/>
        <v>0</v>
      </c>
      <c r="AA43" s="23">
        <f t="shared" si="9"/>
        <v>1894.499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7969.6374462633994</v>
      </c>
    </row>
    <row r="44" spans="1:34">
      <c r="A44" s="24" t="s">
        <v>57</v>
      </c>
      <c r="B44" s="25">
        <v>32</v>
      </c>
      <c r="C44" s="26">
        <v>0</v>
      </c>
      <c r="D44" s="27"/>
      <c r="E44" s="18">
        <f>C44*4</f>
        <v>0</v>
      </c>
      <c r="F44" s="26">
        <v>0</v>
      </c>
      <c r="G44" s="28"/>
      <c r="H44" s="25">
        <f t="shared" si="18"/>
        <v>0</v>
      </c>
      <c r="I44" s="26">
        <v>0</v>
      </c>
      <c r="J44" s="28"/>
      <c r="K44" s="18">
        <f t="shared" si="2"/>
        <v>0</v>
      </c>
      <c r="L44" s="26">
        <v>0</v>
      </c>
      <c r="M44" s="28"/>
      <c r="N44" s="18">
        <f t="shared" si="3"/>
        <v>0</v>
      </c>
      <c r="O44" s="26">
        <v>0</v>
      </c>
      <c r="P44" s="28"/>
      <c r="Q44" s="18">
        <f t="shared" si="4"/>
        <v>0</v>
      </c>
      <c r="R44" s="26">
        <f>SUM('Plant Measurements'!P494:P504)</f>
        <v>112.29728100000001</v>
      </c>
      <c r="S44" s="28"/>
      <c r="T44" s="18">
        <f t="shared" si="5"/>
        <v>449.18912400000005</v>
      </c>
      <c r="U44" s="26">
        <v>0</v>
      </c>
      <c r="V44" s="28"/>
      <c r="W44" s="18">
        <f t="shared" si="6"/>
        <v>0</v>
      </c>
      <c r="X44" s="25">
        <f t="shared" si="7"/>
        <v>449.18912400000005</v>
      </c>
      <c r="Y44" s="29"/>
      <c r="Z44" s="23">
        <f t="shared" si="8"/>
        <v>0</v>
      </c>
      <c r="AA44" s="23">
        <f t="shared" si="9"/>
        <v>449.18912400000005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1</v>
      </c>
      <c r="AF44">
        <f t="shared" si="14"/>
        <v>21033.62801</v>
      </c>
      <c r="AG44">
        <f t="shared" si="15"/>
        <v>4206.7256020000004</v>
      </c>
      <c r="AH44">
        <f t="shared" si="16"/>
        <v>1889.6153880707532</v>
      </c>
    </row>
    <row r="45" spans="1:34">
      <c r="A45" s="24" t="s">
        <v>57</v>
      </c>
      <c r="B45" s="25">
        <v>15</v>
      </c>
      <c r="C45" s="26">
        <v>0</v>
      </c>
      <c r="D45" s="27"/>
      <c r="E45" s="18">
        <f>C45*4</f>
        <v>0</v>
      </c>
      <c r="F45" s="26">
        <v>0</v>
      </c>
      <c r="G45" s="28"/>
      <c r="H45" s="25">
        <f t="shared" si="18"/>
        <v>0</v>
      </c>
      <c r="I45" s="26">
        <v>0</v>
      </c>
      <c r="J45" s="28"/>
      <c r="K45" s="18">
        <f t="shared" si="2"/>
        <v>0</v>
      </c>
      <c r="L45" s="26">
        <v>0</v>
      </c>
      <c r="M45" s="28"/>
      <c r="N45" s="18">
        <f t="shared" si="3"/>
        <v>0</v>
      </c>
      <c r="O45" s="26">
        <v>0</v>
      </c>
      <c r="P45" s="28"/>
      <c r="Q45" s="18">
        <f t="shared" si="4"/>
        <v>0</v>
      </c>
      <c r="R45" s="26">
        <f>SUM('Plant Measurements'!P505:P525)</f>
        <v>114.06762000000005</v>
      </c>
      <c r="S45" s="28"/>
      <c r="T45" s="18">
        <f t="shared" si="5"/>
        <v>456.27048000000019</v>
      </c>
      <c r="U45" s="26">
        <v>0</v>
      </c>
      <c r="V45" s="28"/>
      <c r="W45" s="18">
        <f t="shared" si="6"/>
        <v>0</v>
      </c>
      <c r="X45" s="25">
        <f t="shared" si="7"/>
        <v>456.27048000000019</v>
      </c>
      <c r="Y45" s="29"/>
      <c r="Z45" s="23">
        <f t="shared" si="8"/>
        <v>0</v>
      </c>
      <c r="AA45" s="23">
        <f t="shared" si="9"/>
        <v>456.27048000000019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1919.40470965283</v>
      </c>
    </row>
    <row r="46" spans="1:34">
      <c r="A46" s="24" t="s">
        <v>57</v>
      </c>
      <c r="B46" s="25">
        <v>12</v>
      </c>
      <c r="C46" s="26">
        <v>0</v>
      </c>
      <c r="D46" s="27"/>
      <c r="E46" s="18">
        <f>C46*4</f>
        <v>0</v>
      </c>
      <c r="F46" s="26">
        <v>0</v>
      </c>
      <c r="G46" s="28"/>
      <c r="H46" s="25">
        <f t="shared" si="18"/>
        <v>0</v>
      </c>
      <c r="I46" s="26">
        <v>0</v>
      </c>
      <c r="J46" s="28"/>
      <c r="K46" s="18">
        <f t="shared" si="2"/>
        <v>0</v>
      </c>
      <c r="L46" s="26">
        <v>0</v>
      </c>
      <c r="M46" s="28"/>
      <c r="N46" s="18">
        <f t="shared" si="3"/>
        <v>0</v>
      </c>
      <c r="O46" s="26">
        <v>0</v>
      </c>
      <c r="P46" s="28"/>
      <c r="Q46" s="18">
        <f t="shared" si="4"/>
        <v>0</v>
      </c>
      <c r="R46" s="26">
        <f>SUM('Plant Measurements'!P526:P539)</f>
        <v>79.622097999999994</v>
      </c>
      <c r="S46" s="28"/>
      <c r="T46" s="18">
        <f t="shared" si="5"/>
        <v>318.48839199999998</v>
      </c>
      <c r="U46" s="26">
        <v>0</v>
      </c>
      <c r="V46" s="28"/>
      <c r="W46" s="18">
        <f t="shared" si="6"/>
        <v>0</v>
      </c>
      <c r="X46" s="25">
        <f t="shared" si="7"/>
        <v>318.48839199999998</v>
      </c>
      <c r="Y46" s="29"/>
      <c r="Z46" s="23">
        <f t="shared" si="8"/>
        <v>0</v>
      </c>
      <c r="AA46" s="23">
        <f t="shared" si="9"/>
        <v>318.48839199999998</v>
      </c>
      <c r="AB46">
        <f t="shared" si="10"/>
        <v>0</v>
      </c>
      <c r="AC46">
        <f t="shared" si="11"/>
        <v>0</v>
      </c>
      <c r="AD46">
        <f t="shared" si="12"/>
        <v>0</v>
      </c>
      <c r="AE46">
        <f t="shared" si="13"/>
        <v>1</v>
      </c>
      <c r="AF46">
        <f t="shared" si="14"/>
        <v>21033.62801</v>
      </c>
      <c r="AG46">
        <f t="shared" si="15"/>
        <v>4206.7256020000004</v>
      </c>
      <c r="AH46">
        <f t="shared" si="16"/>
        <v>1339.7932725662122</v>
      </c>
    </row>
    <row r="47" spans="1:34">
      <c r="A47" s="30" t="s">
        <v>57</v>
      </c>
      <c r="B47" s="31">
        <v>4</v>
      </c>
      <c r="C47" s="32">
        <v>0</v>
      </c>
      <c r="D47" s="33"/>
      <c r="E47" s="18">
        <f t="shared" si="0"/>
        <v>0</v>
      </c>
      <c r="F47" s="32">
        <v>0</v>
      </c>
      <c r="G47" s="34"/>
      <c r="H47" s="25">
        <f t="shared" si="18"/>
        <v>0</v>
      </c>
      <c r="I47" s="32">
        <v>0</v>
      </c>
      <c r="J47" s="34"/>
      <c r="K47" s="18">
        <f t="shared" si="2"/>
        <v>0</v>
      </c>
      <c r="L47" s="32">
        <v>0</v>
      </c>
      <c r="M47" s="34"/>
      <c r="N47" s="18">
        <f t="shared" si="3"/>
        <v>0</v>
      </c>
      <c r="O47" s="32">
        <v>0</v>
      </c>
      <c r="P47" s="34"/>
      <c r="Q47" s="18">
        <f t="shared" si="4"/>
        <v>0</v>
      </c>
      <c r="R47" s="32">
        <v>0</v>
      </c>
      <c r="S47" s="34"/>
      <c r="T47" s="18">
        <f t="shared" si="5"/>
        <v>0</v>
      </c>
      <c r="U47" s="32">
        <v>0</v>
      </c>
      <c r="V47" s="34"/>
      <c r="W47" s="18">
        <f t="shared" si="6"/>
        <v>0</v>
      </c>
      <c r="X47" s="31">
        <f t="shared" si="7"/>
        <v>0</v>
      </c>
      <c r="Y47" s="35"/>
      <c r="Z47" s="23">
        <f t="shared" si="8"/>
        <v>0</v>
      </c>
      <c r="AA47" s="23">
        <f t="shared" si="9"/>
        <v>0</v>
      </c>
      <c r="AB47" t="str">
        <f t="shared" si="10"/>
        <v xml:space="preserve"> </v>
      </c>
      <c r="AC47" t="str">
        <f t="shared" si="11"/>
        <v xml:space="preserve"> </v>
      </c>
      <c r="AD47" t="str">
        <f t="shared" si="12"/>
        <v xml:space="preserve"> </v>
      </c>
      <c r="AE47" t="str">
        <f t="shared" si="13"/>
        <v xml:space="preserve"> </v>
      </c>
      <c r="AF47">
        <f t="shared" si="14"/>
        <v>21033.62801</v>
      </c>
      <c r="AG47">
        <f t="shared" si="15"/>
        <v>4206.7256020000004</v>
      </c>
      <c r="AH47">
        <f t="shared" si="16"/>
        <v>0</v>
      </c>
    </row>
    <row r="48" spans="1:34">
      <c r="A48" s="17" t="s">
        <v>25</v>
      </c>
      <c r="B48" s="18">
        <v>45</v>
      </c>
      <c r="C48" s="19">
        <v>0</v>
      </c>
      <c r="D48" s="20"/>
      <c r="E48" s="18">
        <f t="shared" si="0"/>
        <v>0</v>
      </c>
      <c r="F48" s="19">
        <v>0</v>
      </c>
      <c r="G48" s="21"/>
      <c r="H48" s="25">
        <f t="shared" si="18"/>
        <v>0</v>
      </c>
      <c r="I48" s="19">
        <v>0</v>
      </c>
      <c r="J48" s="21"/>
      <c r="K48" s="18">
        <f t="shared" si="2"/>
        <v>0</v>
      </c>
      <c r="L48" s="19">
        <v>0</v>
      </c>
      <c r="M48" s="21"/>
      <c r="N48" s="18">
        <f t="shared" si="3"/>
        <v>0</v>
      </c>
      <c r="O48" s="19">
        <v>0</v>
      </c>
      <c r="P48" s="21"/>
      <c r="Q48" s="18">
        <f t="shared" si="4"/>
        <v>0</v>
      </c>
      <c r="R48" s="19">
        <f>SUM('Plant Measurements'!P789:P800)</f>
        <v>35.848428000000013</v>
      </c>
      <c r="S48" s="21"/>
      <c r="T48" s="18">
        <f t="shared" si="5"/>
        <v>143.39371200000005</v>
      </c>
      <c r="U48" s="19">
        <v>0</v>
      </c>
      <c r="V48" s="21"/>
      <c r="W48" s="18">
        <f t="shared" si="6"/>
        <v>0</v>
      </c>
      <c r="X48" s="18">
        <f t="shared" si="7"/>
        <v>143.39371200000005</v>
      </c>
      <c r="Y48" s="22">
        <f>AVERAGE(X48:X52)</f>
        <v>110.37878232792272</v>
      </c>
      <c r="Z48" s="23">
        <f>E48+Q48</f>
        <v>0</v>
      </c>
      <c r="AA48" s="23">
        <f t="shared" si="9"/>
        <v>143.39371200000005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1</v>
      </c>
      <c r="AF48">
        <f t="shared" si="14"/>
        <v>21033.62801</v>
      </c>
      <c r="AG48">
        <f t="shared" si="15"/>
        <v>4206.7256020000004</v>
      </c>
      <c r="AH48">
        <f t="shared" si="16"/>
        <v>603.21799943621488</v>
      </c>
    </row>
    <row r="49" spans="1:34">
      <c r="A49" s="24" t="s">
        <v>25</v>
      </c>
      <c r="B49" s="25">
        <v>31</v>
      </c>
      <c r="C49" s="26">
        <v>0</v>
      </c>
      <c r="D49" s="27"/>
      <c r="E49" s="18">
        <f t="shared" si="0"/>
        <v>0</v>
      </c>
      <c r="F49" s="26">
        <v>0</v>
      </c>
      <c r="G49" s="28"/>
      <c r="H49" s="25">
        <f t="shared" si="18"/>
        <v>0</v>
      </c>
      <c r="I49" s="26">
        <v>0</v>
      </c>
      <c r="J49" s="28"/>
      <c r="K49" s="18">
        <f t="shared" si="2"/>
        <v>0</v>
      </c>
      <c r="L49" s="26">
        <v>0</v>
      </c>
      <c r="M49" s="28"/>
      <c r="N49" s="18">
        <f t="shared" si="3"/>
        <v>0</v>
      </c>
      <c r="O49" s="26">
        <v>0</v>
      </c>
      <c r="P49" s="28"/>
      <c r="Q49" s="18">
        <f t="shared" si="4"/>
        <v>0</v>
      </c>
      <c r="R49" s="26">
        <f>SUM('Plant Measurements'!P801:P806)</f>
        <v>44.433385999999999</v>
      </c>
      <c r="S49" s="28"/>
      <c r="T49" s="18">
        <f t="shared" si="5"/>
        <v>177.73354399999999</v>
      </c>
      <c r="U49" s="26">
        <v>0</v>
      </c>
      <c r="V49" s="28"/>
      <c r="W49" s="18">
        <f t="shared" si="6"/>
        <v>0</v>
      </c>
      <c r="X49" s="25">
        <f t="shared" si="7"/>
        <v>177.73354399999999</v>
      </c>
      <c r="Y49" s="29"/>
      <c r="Z49" s="23">
        <f t="shared" si="8"/>
        <v>0</v>
      </c>
      <c r="AA49" s="23">
        <f t="shared" si="9"/>
        <v>177.73354399999999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747.67624987899353</v>
      </c>
    </row>
    <row r="50" spans="1:34">
      <c r="A50" s="24" t="s">
        <v>25</v>
      </c>
      <c r="B50" s="25">
        <v>30</v>
      </c>
      <c r="C50" s="26">
        <v>0</v>
      </c>
      <c r="D50" s="27"/>
      <c r="E50" s="18">
        <f t="shared" si="0"/>
        <v>0</v>
      </c>
      <c r="F50" s="26">
        <v>0</v>
      </c>
      <c r="G50" s="28"/>
      <c r="H50" s="25">
        <f t="shared" si="18"/>
        <v>0</v>
      </c>
      <c r="I50" s="26">
        <v>0</v>
      </c>
      <c r="J50" s="28"/>
      <c r="K50" s="18">
        <f t="shared" si="2"/>
        <v>0</v>
      </c>
      <c r="L50" s="26">
        <v>0</v>
      </c>
      <c r="M50" s="28"/>
      <c r="N50" s="18">
        <f t="shared" si="3"/>
        <v>0</v>
      </c>
      <c r="O50" s="26">
        <v>0</v>
      </c>
      <c r="P50" s="28"/>
      <c r="Q50" s="18">
        <f t="shared" si="4"/>
        <v>0</v>
      </c>
      <c r="R50" s="26">
        <v>0</v>
      </c>
      <c r="S50" s="28"/>
      <c r="T50" s="18">
        <f t="shared" si="5"/>
        <v>0</v>
      </c>
      <c r="U50" s="26">
        <v>0</v>
      </c>
      <c r="V50" s="28"/>
      <c r="W50" s="18">
        <f t="shared" si="6"/>
        <v>0</v>
      </c>
      <c r="X50" s="25">
        <f t="shared" si="7"/>
        <v>0</v>
      </c>
      <c r="Y50" s="29"/>
      <c r="Z50" s="23">
        <f t="shared" si="8"/>
        <v>0</v>
      </c>
      <c r="AA50" s="23">
        <f t="shared" si="9"/>
        <v>0</v>
      </c>
      <c r="AB50" t="str">
        <f t="shared" si="10"/>
        <v xml:space="preserve"> </v>
      </c>
      <c r="AC50" t="str">
        <f t="shared" si="11"/>
        <v xml:space="preserve"> </v>
      </c>
      <c r="AD50" t="str">
        <f t="shared" si="12"/>
        <v xml:space="preserve"> </v>
      </c>
      <c r="AE50" t="str">
        <f t="shared" si="13"/>
        <v xml:space="preserve"> </v>
      </c>
      <c r="AF50">
        <f t="shared" si="14"/>
        <v>21033.62801</v>
      </c>
      <c r="AG50">
        <f t="shared" si="15"/>
        <v>4206.7256020000004</v>
      </c>
      <c r="AH50">
        <f t="shared" si="16"/>
        <v>0</v>
      </c>
    </row>
    <row r="51" spans="1:34">
      <c r="A51" s="24" t="s">
        <v>25</v>
      </c>
      <c r="B51" s="25">
        <v>6</v>
      </c>
      <c r="C51" s="26">
        <v>0</v>
      </c>
      <c r="D51" s="27"/>
      <c r="E51" s="18">
        <f t="shared" si="0"/>
        <v>0</v>
      </c>
      <c r="F51" s="26">
        <v>0</v>
      </c>
      <c r="G51" s="28"/>
      <c r="H51" s="25">
        <f t="shared" si="18"/>
        <v>0</v>
      </c>
      <c r="I51" s="26">
        <v>0</v>
      </c>
      <c r="J51" s="28"/>
      <c r="K51" s="18">
        <f t="shared" si="2"/>
        <v>0</v>
      </c>
      <c r="L51" s="26">
        <v>0</v>
      </c>
      <c r="M51" s="28"/>
      <c r="N51" s="18">
        <f t="shared" si="3"/>
        <v>0</v>
      </c>
      <c r="O51" s="26">
        <v>0</v>
      </c>
      <c r="P51" s="28"/>
      <c r="Q51" s="18">
        <f t="shared" si="4"/>
        <v>0</v>
      </c>
      <c r="R51" s="26">
        <v>0</v>
      </c>
      <c r="S51" s="28"/>
      <c r="T51" s="18">
        <f t="shared" si="5"/>
        <v>0</v>
      </c>
      <c r="U51" s="26">
        <v>0</v>
      </c>
      <c r="V51" s="28"/>
      <c r="W51" s="18">
        <f t="shared" si="6"/>
        <v>0</v>
      </c>
      <c r="X51" s="25">
        <f t="shared" si="7"/>
        <v>0</v>
      </c>
      <c r="Y51" s="29"/>
      <c r="Z51" s="23">
        <f t="shared" si="8"/>
        <v>0</v>
      </c>
      <c r="AA51" s="23">
        <f t="shared" si="9"/>
        <v>0</v>
      </c>
      <c r="AB51" t="str">
        <f t="shared" si="10"/>
        <v xml:space="preserve"> </v>
      </c>
      <c r="AC51" t="str">
        <f t="shared" si="11"/>
        <v xml:space="preserve"> </v>
      </c>
      <c r="AD51" t="str">
        <f t="shared" si="12"/>
        <v xml:space="preserve"> </v>
      </c>
      <c r="AE51" t="str">
        <f t="shared" si="13"/>
        <v xml:space="preserve"> </v>
      </c>
      <c r="AF51">
        <f t="shared" si="14"/>
        <v>21033.62801</v>
      </c>
      <c r="AG51">
        <f t="shared" si="15"/>
        <v>4206.7256020000004</v>
      </c>
      <c r="AH51">
        <f t="shared" si="16"/>
        <v>0</v>
      </c>
    </row>
    <row r="52" spans="1:34">
      <c r="A52" s="30" t="s">
        <v>25</v>
      </c>
      <c r="B52" s="31">
        <v>4</v>
      </c>
      <c r="C52" s="32">
        <v>0</v>
      </c>
      <c r="D52" s="33"/>
      <c r="E52" s="18">
        <f t="shared" si="0"/>
        <v>0</v>
      </c>
      <c r="F52" s="32">
        <v>0</v>
      </c>
      <c r="G52" s="34"/>
      <c r="H52" s="25">
        <f t="shared" si="18"/>
        <v>0</v>
      </c>
      <c r="I52" s="32">
        <f>SUM('Plant Measurements'!O811)</f>
        <v>8.3967929099034002</v>
      </c>
      <c r="J52" s="34"/>
      <c r="K52" s="18">
        <f t="shared" si="2"/>
        <v>33.587171639613601</v>
      </c>
      <c r="L52" s="32">
        <v>0</v>
      </c>
      <c r="M52" s="34"/>
      <c r="N52" s="18">
        <f t="shared" si="3"/>
        <v>0</v>
      </c>
      <c r="O52" s="32">
        <v>0</v>
      </c>
      <c r="P52" s="34"/>
      <c r="Q52" s="18">
        <f t="shared" si="4"/>
        <v>0</v>
      </c>
      <c r="R52" s="32">
        <f>SUM('Plant Measurements'!P809:P810,'Plant Measurements'!P812:P814)</f>
        <v>49.294871000000008</v>
      </c>
      <c r="S52" s="34"/>
      <c r="T52" s="18">
        <f t="shared" si="5"/>
        <v>197.17948400000003</v>
      </c>
      <c r="U52" s="32">
        <v>0</v>
      </c>
      <c r="V52" s="34"/>
      <c r="W52" s="18">
        <f t="shared" si="6"/>
        <v>0</v>
      </c>
      <c r="X52" s="31">
        <f t="shared" si="7"/>
        <v>230.76665563961365</v>
      </c>
      <c r="Y52" s="35"/>
      <c r="Z52" s="23">
        <f t="shared" si="8"/>
        <v>0</v>
      </c>
      <c r="AA52" s="23">
        <f t="shared" si="9"/>
        <v>197.17948400000003</v>
      </c>
      <c r="AB52">
        <f t="shared" si="10"/>
        <v>0</v>
      </c>
      <c r="AC52">
        <f t="shared" si="11"/>
        <v>0</v>
      </c>
      <c r="AD52">
        <f t="shared" si="12"/>
        <v>0.14554603457124415</v>
      </c>
      <c r="AE52">
        <f t="shared" si="13"/>
        <v>0.85445396542875585</v>
      </c>
      <c r="AF52">
        <f t="shared" si="14"/>
        <v>21033.62801</v>
      </c>
      <c r="AG52">
        <f t="shared" si="15"/>
        <v>4206.7256020000004</v>
      </c>
      <c r="AH52">
        <f t="shared" si="16"/>
        <v>970.77199836708041</v>
      </c>
    </row>
    <row r="53" spans="1:34">
      <c r="Y53" t="s">
        <v>58</v>
      </c>
      <c r="AB53">
        <f>AVERAGE(AB3:AB52)</f>
        <v>0.10657836495939264</v>
      </c>
      <c r="AC53">
        <f t="shared" ref="AC53:AE53" si="19">AVERAGE(AC3:AC52)</f>
        <v>0</v>
      </c>
      <c r="AD53">
        <f t="shared" si="19"/>
        <v>7.0848948540081863E-2</v>
      </c>
      <c r="AE53">
        <f t="shared" si="19"/>
        <v>0.8225726865005254</v>
      </c>
      <c r="AG53" t="s">
        <v>59</v>
      </c>
      <c r="AH53">
        <f>SUM(AH3:AH52)</f>
        <v>90696.39638661081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2015-06-18T17:11:46Z</dcterms:created>
  <dcterms:modified xsi:type="dcterms:W3CDTF">2017-05-11T20:04:30Z</dcterms:modified>
</cp:coreProperties>
</file>