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620" yWindow="1920" windowWidth="40260" windowHeight="24460" tabRatio="784"/>
  </bookViews>
  <sheets>
    <sheet name="Plant Measurements" sheetId="1" r:id="rId1"/>
    <sheet name="Quadrat Totals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12" i="1" l="1"/>
  <c r="J11" i="1"/>
  <c r="J4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R52" i="2"/>
  <c r="I52" i="2"/>
  <c r="R51" i="2"/>
  <c r="R50" i="2"/>
  <c r="R49" i="2"/>
  <c r="R48" i="2"/>
  <c r="R47" i="2"/>
  <c r="I47" i="2"/>
  <c r="R46" i="2"/>
  <c r="R45" i="2"/>
  <c r="R44" i="2"/>
  <c r="I43" i="2"/>
  <c r="I42" i="2"/>
  <c r="I41" i="2"/>
  <c r="R40" i="2"/>
  <c r="R39" i="2"/>
  <c r="R38" i="2"/>
  <c r="C36" i="2"/>
  <c r="R36" i="2"/>
  <c r="R35" i="2"/>
  <c r="R34" i="2"/>
  <c r="R33" i="2"/>
  <c r="I33" i="2"/>
  <c r="I32" i="2"/>
  <c r="R31" i="2"/>
  <c r="O285" i="1"/>
  <c r="O286" i="1"/>
  <c r="O287" i="1"/>
  <c r="R30" i="2"/>
  <c r="C29" i="2"/>
  <c r="R28" i="2"/>
  <c r="R27" i="2"/>
  <c r="R26" i="2"/>
  <c r="R25" i="2"/>
  <c r="R24" i="2"/>
  <c r="R23" i="2"/>
  <c r="R22" i="2"/>
  <c r="R21" i="2"/>
  <c r="I20" i="2"/>
  <c r="R18" i="2"/>
  <c r="J162" i="1"/>
  <c r="O162" i="1"/>
  <c r="J164" i="1"/>
  <c r="O164" i="1"/>
  <c r="J166" i="1"/>
  <c r="O166" i="1"/>
  <c r="J167" i="1"/>
  <c r="O167" i="1"/>
  <c r="R16" i="2"/>
  <c r="O161" i="1"/>
  <c r="R15" i="2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60" i="1"/>
  <c r="O160" i="1"/>
  <c r="R14" i="2"/>
  <c r="J149" i="1"/>
  <c r="O149" i="1"/>
  <c r="J150" i="1"/>
  <c r="O150" i="1"/>
  <c r="J151" i="1"/>
  <c r="O151" i="1"/>
  <c r="R13" i="2"/>
  <c r="O118" i="1"/>
  <c r="O120" i="1"/>
  <c r="O122" i="1"/>
  <c r="O123" i="1"/>
  <c r="O124" i="1"/>
  <c r="O132" i="1"/>
  <c r="O133" i="1"/>
  <c r="O134" i="1"/>
  <c r="O135" i="1"/>
  <c r="O136" i="1"/>
  <c r="O137" i="1"/>
  <c r="O139" i="1"/>
  <c r="O140" i="1"/>
  <c r="O141" i="1"/>
  <c r="O142" i="1"/>
  <c r="O143" i="1"/>
  <c r="O144" i="1"/>
  <c r="O145" i="1"/>
  <c r="O146" i="1"/>
  <c r="O147" i="1"/>
  <c r="C11" i="2"/>
  <c r="O125" i="1"/>
  <c r="O126" i="1"/>
  <c r="O127" i="1"/>
  <c r="O128" i="1"/>
  <c r="O129" i="1"/>
  <c r="O130" i="1"/>
  <c r="O138" i="1"/>
  <c r="S140" i="1"/>
  <c r="J100" i="1"/>
  <c r="O100" i="1"/>
  <c r="J102" i="1"/>
  <c r="O102" i="1"/>
  <c r="J103" i="1"/>
  <c r="O103" i="1"/>
  <c r="J104" i="1"/>
  <c r="O104" i="1"/>
  <c r="J105" i="1"/>
  <c r="O105" i="1"/>
  <c r="J107" i="1"/>
  <c r="O107" i="1"/>
  <c r="J108" i="1"/>
  <c r="O108" i="1"/>
  <c r="J109" i="1"/>
  <c r="O109" i="1"/>
  <c r="J111" i="1"/>
  <c r="O111" i="1"/>
  <c r="J112" i="1"/>
  <c r="O112" i="1"/>
  <c r="J113" i="1"/>
  <c r="O113" i="1"/>
  <c r="J115" i="1"/>
  <c r="O115" i="1"/>
  <c r="J116" i="1"/>
  <c r="O116" i="1"/>
  <c r="R10" i="2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R8" i="2"/>
  <c r="O83" i="1"/>
  <c r="O84" i="1"/>
  <c r="O85" i="1"/>
  <c r="I8" i="2"/>
  <c r="J69" i="1"/>
  <c r="O69" i="1"/>
  <c r="P69" i="1"/>
  <c r="J70" i="1"/>
  <c r="O70" i="1"/>
  <c r="P70" i="1"/>
  <c r="J71" i="1"/>
  <c r="O71" i="1"/>
  <c r="P71" i="1"/>
  <c r="J72" i="1"/>
  <c r="O72" i="1"/>
  <c r="P72" i="1"/>
  <c r="J73" i="1"/>
  <c r="O73" i="1"/>
  <c r="P73" i="1"/>
  <c r="J74" i="1"/>
  <c r="O74" i="1"/>
  <c r="P74" i="1"/>
  <c r="J75" i="1"/>
  <c r="O75" i="1"/>
  <c r="P75" i="1"/>
  <c r="J76" i="1"/>
  <c r="O76" i="1"/>
  <c r="P76" i="1"/>
  <c r="J78" i="1"/>
  <c r="O78" i="1"/>
  <c r="P78" i="1"/>
  <c r="J79" i="1"/>
  <c r="O79" i="1"/>
  <c r="P79" i="1"/>
  <c r="J80" i="1"/>
  <c r="O80" i="1"/>
  <c r="P80" i="1"/>
  <c r="J81" i="1"/>
  <c r="O81" i="1"/>
  <c r="P81" i="1"/>
  <c r="R6" i="2"/>
  <c r="J61" i="1"/>
  <c r="O61" i="1"/>
  <c r="P61" i="1"/>
  <c r="J62" i="1"/>
  <c r="O62" i="1"/>
  <c r="P62" i="1"/>
  <c r="J63" i="1"/>
  <c r="O63" i="1"/>
  <c r="P63" i="1"/>
  <c r="J64" i="1"/>
  <c r="O64" i="1"/>
  <c r="P64" i="1"/>
  <c r="J65" i="1"/>
  <c r="O65" i="1"/>
  <c r="P65" i="1"/>
  <c r="J66" i="1"/>
  <c r="O66" i="1"/>
  <c r="P66" i="1"/>
  <c r="J67" i="1"/>
  <c r="O67" i="1"/>
  <c r="P67" i="1"/>
  <c r="J68" i="1"/>
  <c r="O68" i="1"/>
  <c r="P68" i="1"/>
  <c r="R5" i="2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C5" i="2"/>
  <c r="J28" i="1"/>
  <c r="O28" i="1"/>
  <c r="P28" i="1"/>
  <c r="J29" i="1"/>
  <c r="O29" i="1"/>
  <c r="P29" i="1"/>
  <c r="J30" i="1"/>
  <c r="O30" i="1"/>
  <c r="P30" i="1"/>
  <c r="J31" i="1"/>
  <c r="O31" i="1"/>
  <c r="P31" i="1"/>
  <c r="J32" i="1"/>
  <c r="O32" i="1"/>
  <c r="P32" i="1"/>
  <c r="J33" i="1"/>
  <c r="O33" i="1"/>
  <c r="P33" i="1"/>
  <c r="J34" i="1"/>
  <c r="O34" i="1"/>
  <c r="P34" i="1"/>
  <c r="J35" i="1"/>
  <c r="O35" i="1"/>
  <c r="P35" i="1"/>
  <c r="J36" i="1"/>
  <c r="O36" i="1"/>
  <c r="P36" i="1"/>
  <c r="J37" i="1"/>
  <c r="O37" i="1"/>
  <c r="P37" i="1"/>
  <c r="J38" i="1"/>
  <c r="O38" i="1"/>
  <c r="P38" i="1"/>
  <c r="J39" i="1"/>
  <c r="O39" i="1"/>
  <c r="P39" i="1"/>
  <c r="J40" i="1"/>
  <c r="O40" i="1"/>
  <c r="P40" i="1"/>
  <c r="J41" i="1"/>
  <c r="O41" i="1"/>
  <c r="P41" i="1"/>
  <c r="J42" i="1"/>
  <c r="O42" i="1"/>
  <c r="P42" i="1"/>
  <c r="J43" i="1"/>
  <c r="O43" i="1"/>
  <c r="P43" i="1"/>
  <c r="J44" i="1"/>
  <c r="O44" i="1"/>
  <c r="P44" i="1"/>
  <c r="J45" i="1"/>
  <c r="O45" i="1"/>
  <c r="P45" i="1"/>
  <c r="J46" i="1"/>
  <c r="O46" i="1"/>
  <c r="P46" i="1"/>
  <c r="J47" i="1"/>
  <c r="O47" i="1"/>
  <c r="P47" i="1"/>
  <c r="J48" i="1"/>
  <c r="O48" i="1"/>
  <c r="P48" i="1"/>
  <c r="J49" i="1"/>
  <c r="O49" i="1"/>
  <c r="P49" i="1"/>
  <c r="J50" i="1"/>
  <c r="O50" i="1"/>
  <c r="P50" i="1"/>
  <c r="J51" i="1"/>
  <c r="O51" i="1"/>
  <c r="P51" i="1"/>
  <c r="R4" i="2"/>
  <c r="O4" i="1"/>
  <c r="P4" i="1"/>
  <c r="J5" i="1"/>
  <c r="O5" i="1"/>
  <c r="P5" i="1"/>
  <c r="J6" i="1"/>
  <c r="O6" i="1"/>
  <c r="P6" i="1"/>
  <c r="J7" i="1"/>
  <c r="O7" i="1"/>
  <c r="P7" i="1"/>
  <c r="J8" i="1"/>
  <c r="O8" i="1"/>
  <c r="P8" i="1"/>
  <c r="J9" i="1"/>
  <c r="O9" i="1"/>
  <c r="P9" i="1"/>
  <c r="J10" i="1"/>
  <c r="O10" i="1"/>
  <c r="P10" i="1"/>
  <c r="O11" i="1"/>
  <c r="P11" i="1"/>
  <c r="O12" i="1"/>
  <c r="P12" i="1"/>
  <c r="J13" i="1"/>
  <c r="O13" i="1"/>
  <c r="P13" i="1"/>
  <c r="J14" i="1"/>
  <c r="O14" i="1"/>
  <c r="P14" i="1"/>
  <c r="J15" i="1"/>
  <c r="O15" i="1"/>
  <c r="P15" i="1"/>
  <c r="J16" i="1"/>
  <c r="O16" i="1"/>
  <c r="P16" i="1"/>
  <c r="J17" i="1"/>
  <c r="O17" i="1"/>
  <c r="P17" i="1"/>
  <c r="J18" i="1"/>
  <c r="O18" i="1"/>
  <c r="P18" i="1"/>
  <c r="J19" i="1"/>
  <c r="O19" i="1"/>
  <c r="P19" i="1"/>
  <c r="J20" i="1"/>
  <c r="O20" i="1"/>
  <c r="P20" i="1"/>
  <c r="J21" i="1"/>
  <c r="O21" i="1"/>
  <c r="P21" i="1"/>
  <c r="J22" i="1"/>
  <c r="O22" i="1"/>
  <c r="P22" i="1"/>
  <c r="J23" i="1"/>
  <c r="O23" i="1"/>
  <c r="P23" i="1"/>
  <c r="J24" i="1"/>
  <c r="O24" i="1"/>
  <c r="P24" i="1"/>
  <c r="J25" i="1"/>
  <c r="O25" i="1"/>
  <c r="P25" i="1"/>
  <c r="J26" i="1"/>
  <c r="O26" i="1"/>
  <c r="P26" i="1"/>
  <c r="J27" i="1"/>
  <c r="O27" i="1"/>
  <c r="P27" i="1"/>
  <c r="R3" i="2"/>
  <c r="J52" i="1"/>
  <c r="O52" i="1"/>
  <c r="P52" i="1"/>
  <c r="J243" i="1"/>
  <c r="O243" i="1"/>
  <c r="J244" i="1"/>
  <c r="O244" i="1"/>
  <c r="J245" i="1"/>
  <c r="O245" i="1"/>
  <c r="J246" i="1"/>
  <c r="O246" i="1"/>
  <c r="J247" i="1"/>
  <c r="O247" i="1"/>
  <c r="J248" i="1"/>
  <c r="O248" i="1"/>
  <c r="J249" i="1"/>
  <c r="O249" i="1"/>
  <c r="J250" i="1"/>
  <c r="O250" i="1"/>
  <c r="J251" i="1"/>
  <c r="O251" i="1"/>
  <c r="J252" i="1"/>
  <c r="O252" i="1"/>
  <c r="J253" i="1"/>
  <c r="O253" i="1"/>
  <c r="J254" i="1"/>
  <c r="O254" i="1"/>
  <c r="J255" i="1"/>
  <c r="O255" i="1"/>
  <c r="J256" i="1"/>
  <c r="O256" i="1"/>
  <c r="J257" i="1"/>
  <c r="O257" i="1"/>
  <c r="J258" i="1"/>
  <c r="O258" i="1"/>
  <c r="J259" i="1"/>
  <c r="O259" i="1"/>
  <c r="J260" i="1"/>
  <c r="O260" i="1"/>
  <c r="J261" i="1"/>
  <c r="O261" i="1"/>
  <c r="J262" i="1"/>
  <c r="O262" i="1"/>
  <c r="J241" i="1"/>
  <c r="O241" i="1"/>
  <c r="J242" i="1"/>
  <c r="O242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J364" i="1"/>
  <c r="O364" i="1"/>
  <c r="J365" i="1"/>
  <c r="O365" i="1"/>
  <c r="J366" i="1"/>
  <c r="O366" i="1"/>
  <c r="J367" i="1"/>
  <c r="O367" i="1"/>
  <c r="J368" i="1"/>
  <c r="O368" i="1"/>
  <c r="J369" i="1"/>
  <c r="O369" i="1"/>
  <c r="J370" i="1"/>
  <c r="O370" i="1"/>
  <c r="J371" i="1"/>
  <c r="O371" i="1"/>
  <c r="J372" i="1"/>
  <c r="O372" i="1"/>
  <c r="J373" i="1"/>
  <c r="O373" i="1"/>
  <c r="J374" i="1"/>
  <c r="O374" i="1"/>
  <c r="J375" i="1"/>
  <c r="O375" i="1"/>
  <c r="J376" i="1"/>
  <c r="O376" i="1"/>
  <c r="J377" i="1"/>
  <c r="O377" i="1"/>
  <c r="J378" i="1"/>
  <c r="O378" i="1"/>
  <c r="J379" i="1"/>
  <c r="O379" i="1"/>
  <c r="J380" i="1"/>
  <c r="O380" i="1"/>
  <c r="J381" i="1"/>
  <c r="O381" i="1"/>
  <c r="J382" i="1"/>
  <c r="O382" i="1"/>
  <c r="J383" i="1"/>
  <c r="O383" i="1"/>
  <c r="J384" i="1"/>
  <c r="O384" i="1"/>
  <c r="J385" i="1"/>
  <c r="O385" i="1"/>
  <c r="J386" i="1"/>
  <c r="O386" i="1"/>
  <c r="J387" i="1"/>
  <c r="O387" i="1"/>
  <c r="J388" i="1"/>
  <c r="O388" i="1"/>
  <c r="J389" i="1"/>
  <c r="O389" i="1"/>
  <c r="J390" i="1"/>
  <c r="O390" i="1"/>
  <c r="J391" i="1"/>
  <c r="O391" i="1"/>
  <c r="J392" i="1"/>
  <c r="O392" i="1"/>
  <c r="J393" i="1"/>
  <c r="O393" i="1"/>
  <c r="J394" i="1"/>
  <c r="O394" i="1"/>
  <c r="J395" i="1"/>
  <c r="O395" i="1"/>
  <c r="J396" i="1"/>
  <c r="O396" i="1"/>
  <c r="O397" i="1"/>
  <c r="O398" i="1"/>
  <c r="O399" i="1"/>
  <c r="J400" i="1"/>
  <c r="O400" i="1"/>
  <c r="J401" i="1"/>
  <c r="O401" i="1"/>
  <c r="J402" i="1"/>
  <c r="O402" i="1"/>
  <c r="J403" i="1"/>
  <c r="O403" i="1"/>
  <c r="O404" i="1"/>
  <c r="J405" i="1"/>
  <c r="O405" i="1"/>
  <c r="J406" i="1"/>
  <c r="O406" i="1"/>
  <c r="J407" i="1"/>
  <c r="O407" i="1"/>
  <c r="J408" i="1"/>
  <c r="O408" i="1"/>
  <c r="J409" i="1"/>
  <c r="O409" i="1"/>
  <c r="J410" i="1"/>
  <c r="O410" i="1"/>
  <c r="J411" i="1"/>
  <c r="O411" i="1"/>
  <c r="J412" i="1"/>
  <c r="O412" i="1"/>
  <c r="J413" i="1"/>
  <c r="O413" i="1"/>
  <c r="J414" i="1"/>
  <c r="O414" i="1"/>
  <c r="J415" i="1"/>
  <c r="O415" i="1"/>
  <c r="J416" i="1"/>
  <c r="O416" i="1"/>
  <c r="J417" i="1"/>
  <c r="O417" i="1"/>
  <c r="J418" i="1"/>
  <c r="O418" i="1"/>
  <c r="J419" i="1"/>
  <c r="O419" i="1"/>
  <c r="J420" i="1"/>
  <c r="O420" i="1"/>
  <c r="J421" i="1"/>
  <c r="O421" i="1"/>
  <c r="J422" i="1"/>
  <c r="O422" i="1"/>
  <c r="J423" i="1"/>
  <c r="O423" i="1"/>
  <c r="J424" i="1"/>
  <c r="O424" i="1"/>
  <c r="J425" i="1"/>
  <c r="O425" i="1"/>
  <c r="J426" i="1"/>
  <c r="O426" i="1"/>
  <c r="J427" i="1"/>
  <c r="O427" i="1"/>
  <c r="J428" i="1"/>
  <c r="O428" i="1"/>
  <c r="O429" i="1"/>
  <c r="J430" i="1"/>
  <c r="O430" i="1"/>
  <c r="J431" i="1"/>
  <c r="O431" i="1"/>
  <c r="J432" i="1"/>
  <c r="O432" i="1"/>
  <c r="J433" i="1"/>
  <c r="O433" i="1"/>
  <c r="J434" i="1"/>
  <c r="O434" i="1"/>
  <c r="J435" i="1"/>
  <c r="O435" i="1"/>
  <c r="J436" i="1"/>
  <c r="O436" i="1"/>
  <c r="J437" i="1"/>
  <c r="O437" i="1"/>
  <c r="J438" i="1"/>
  <c r="O438" i="1"/>
  <c r="J439" i="1"/>
  <c r="O439" i="1"/>
  <c r="J440" i="1"/>
  <c r="O440" i="1"/>
  <c r="J441" i="1"/>
  <c r="O441" i="1"/>
  <c r="J442" i="1"/>
  <c r="O442" i="1"/>
  <c r="J443" i="1"/>
  <c r="O443" i="1"/>
  <c r="J444" i="1"/>
  <c r="O444" i="1"/>
  <c r="J445" i="1"/>
  <c r="O445" i="1"/>
  <c r="J446" i="1"/>
  <c r="O446" i="1"/>
  <c r="J447" i="1"/>
  <c r="O447" i="1"/>
  <c r="J448" i="1"/>
  <c r="O448" i="1"/>
  <c r="J449" i="1"/>
  <c r="O449" i="1"/>
  <c r="J450" i="1"/>
  <c r="O450" i="1"/>
  <c r="J451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J584" i="1"/>
  <c r="O584" i="1"/>
  <c r="J585" i="1"/>
  <c r="O585" i="1"/>
  <c r="J586" i="1"/>
  <c r="O586" i="1"/>
  <c r="J587" i="1"/>
  <c r="O587" i="1"/>
  <c r="J588" i="1"/>
  <c r="O588" i="1"/>
  <c r="J589" i="1"/>
  <c r="O589" i="1"/>
  <c r="J590" i="1"/>
  <c r="O590" i="1"/>
  <c r="J591" i="1"/>
  <c r="O591" i="1"/>
  <c r="J592" i="1"/>
  <c r="O592" i="1"/>
  <c r="J593" i="1"/>
  <c r="O593" i="1"/>
  <c r="J594" i="1"/>
  <c r="O594" i="1"/>
  <c r="J595" i="1"/>
  <c r="O595" i="1"/>
  <c r="J596" i="1"/>
  <c r="O596" i="1"/>
  <c r="J597" i="1"/>
  <c r="O597" i="1"/>
  <c r="J598" i="1"/>
  <c r="O598" i="1"/>
  <c r="J599" i="1"/>
  <c r="O599" i="1"/>
  <c r="J600" i="1"/>
  <c r="O600" i="1"/>
  <c r="J601" i="1"/>
  <c r="O601" i="1"/>
  <c r="J602" i="1"/>
  <c r="O602" i="1"/>
  <c r="J603" i="1"/>
  <c r="O603" i="1"/>
  <c r="J604" i="1"/>
  <c r="O604" i="1"/>
  <c r="J605" i="1"/>
  <c r="O605" i="1"/>
  <c r="J606" i="1"/>
  <c r="O606" i="1"/>
  <c r="J607" i="1"/>
  <c r="O607" i="1"/>
  <c r="J608" i="1"/>
  <c r="O608" i="1"/>
  <c r="J609" i="1"/>
  <c r="O609" i="1"/>
  <c r="J610" i="1"/>
  <c r="O610" i="1"/>
  <c r="J611" i="1"/>
  <c r="O611" i="1"/>
  <c r="J612" i="1"/>
  <c r="O612" i="1"/>
  <c r="J613" i="1"/>
  <c r="O613" i="1"/>
  <c r="J614" i="1"/>
  <c r="O614" i="1"/>
  <c r="J615" i="1"/>
  <c r="O615" i="1"/>
  <c r="J616" i="1"/>
  <c r="O616" i="1"/>
  <c r="J617" i="1"/>
  <c r="O617" i="1"/>
  <c r="J618" i="1"/>
  <c r="O618" i="1"/>
  <c r="J619" i="1"/>
  <c r="O619" i="1"/>
  <c r="J620" i="1"/>
  <c r="O620" i="1"/>
  <c r="J621" i="1"/>
  <c r="O621" i="1"/>
  <c r="J622" i="1"/>
  <c r="O622" i="1"/>
  <c r="J623" i="1"/>
  <c r="O623" i="1"/>
  <c r="J624" i="1"/>
  <c r="O624" i="1"/>
  <c r="J625" i="1"/>
  <c r="O625" i="1"/>
  <c r="J626" i="1"/>
  <c r="O626" i="1"/>
  <c r="J627" i="1"/>
  <c r="O627" i="1"/>
  <c r="J628" i="1"/>
  <c r="O628" i="1"/>
  <c r="J658" i="1"/>
  <c r="O658" i="1"/>
  <c r="J659" i="1"/>
  <c r="O659" i="1"/>
  <c r="J656" i="1"/>
  <c r="O656" i="1"/>
  <c r="J651" i="1"/>
  <c r="O651" i="1"/>
  <c r="J652" i="1"/>
  <c r="O652" i="1"/>
  <c r="J653" i="1"/>
  <c r="O653" i="1"/>
  <c r="J649" i="1"/>
  <c r="O649" i="1"/>
  <c r="O641" i="1"/>
  <c r="O642" i="1"/>
  <c r="J643" i="1"/>
  <c r="O643" i="1"/>
  <c r="J644" i="1"/>
  <c r="O644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J399" i="1"/>
  <c r="S399" i="1"/>
  <c r="S398" i="1"/>
  <c r="J397" i="1"/>
  <c r="S397" i="1"/>
  <c r="S403" i="1"/>
  <c r="S402" i="1"/>
  <c r="S401" i="1"/>
  <c r="S400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65" i="1"/>
  <c r="S316" i="1"/>
  <c r="S315" i="1"/>
  <c r="S314" i="1"/>
  <c r="S313" i="1"/>
  <c r="S312" i="1"/>
  <c r="S364" i="1"/>
  <c r="S644" i="1"/>
  <c r="S642" i="1"/>
  <c r="S643" i="1"/>
  <c r="S641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J287" i="1"/>
  <c r="S287" i="1"/>
  <c r="J286" i="1"/>
  <c r="S286" i="1"/>
  <c r="J285" i="1"/>
  <c r="S285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J240" i="1"/>
  <c r="J239" i="1"/>
  <c r="J238" i="1"/>
  <c r="J117" i="1"/>
  <c r="J114" i="1"/>
  <c r="J110" i="1"/>
  <c r="J106" i="1"/>
  <c r="J101" i="1"/>
  <c r="O101" i="1"/>
  <c r="S101" i="1"/>
  <c r="S102" i="1"/>
  <c r="S103" i="1"/>
  <c r="S104" i="1"/>
  <c r="S105" i="1"/>
  <c r="O106" i="1"/>
  <c r="S106" i="1"/>
  <c r="S107" i="1"/>
  <c r="S108" i="1"/>
  <c r="S109" i="1"/>
  <c r="O110" i="1"/>
  <c r="S110" i="1"/>
  <c r="S111" i="1"/>
  <c r="S112" i="1"/>
  <c r="S113" i="1"/>
  <c r="O114" i="1"/>
  <c r="S114" i="1"/>
  <c r="S115" i="1"/>
  <c r="S116" i="1"/>
  <c r="O117" i="1"/>
  <c r="S117" i="1"/>
  <c r="O238" i="1"/>
  <c r="S238" i="1"/>
  <c r="O239" i="1"/>
  <c r="S239" i="1"/>
  <c r="O240" i="1"/>
  <c r="S240" i="1"/>
  <c r="S241" i="1"/>
  <c r="S242" i="1"/>
  <c r="O99" i="1"/>
  <c r="J165" i="1"/>
  <c r="J163" i="1"/>
  <c r="J159" i="1"/>
  <c r="J688" i="1"/>
  <c r="J687" i="1"/>
  <c r="J686" i="1"/>
  <c r="J685" i="1"/>
  <c r="J684" i="1"/>
  <c r="J683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7" i="1"/>
  <c r="J655" i="1"/>
  <c r="J654" i="1"/>
  <c r="J650" i="1"/>
  <c r="J648" i="1"/>
  <c r="J647" i="1"/>
  <c r="J646" i="1"/>
  <c r="J645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284" i="1"/>
  <c r="J283" i="1"/>
  <c r="J282" i="1"/>
  <c r="J281" i="1"/>
  <c r="J279" i="1"/>
  <c r="J278" i="1"/>
  <c r="J277" i="1"/>
  <c r="J276" i="1"/>
  <c r="J275" i="1"/>
  <c r="J274" i="1"/>
  <c r="J273" i="1"/>
  <c r="J272" i="1"/>
  <c r="J280" i="1"/>
  <c r="J169" i="1"/>
  <c r="O169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77" i="1"/>
  <c r="J193" i="1"/>
  <c r="J191" i="1"/>
  <c r="J192" i="1"/>
  <c r="J201" i="1"/>
  <c r="J200" i="1"/>
  <c r="J199" i="1"/>
  <c r="J198" i="1"/>
  <c r="J197" i="1"/>
  <c r="J196" i="1"/>
  <c r="J195" i="1"/>
  <c r="J194" i="1"/>
  <c r="J173" i="1"/>
  <c r="J172" i="1"/>
  <c r="J171" i="1"/>
  <c r="J170" i="1"/>
  <c r="O165" i="1"/>
  <c r="O163" i="1"/>
  <c r="O159" i="1"/>
  <c r="O688" i="1"/>
  <c r="O679" i="1"/>
  <c r="O686" i="1"/>
  <c r="O687" i="1"/>
  <c r="O681" i="1"/>
  <c r="O682" i="1"/>
  <c r="O672" i="1"/>
  <c r="O673" i="1"/>
  <c r="O674" i="1"/>
  <c r="O683" i="1"/>
  <c r="O677" i="1"/>
  <c r="O678" i="1"/>
  <c r="O685" i="1"/>
  <c r="O667" i="1"/>
  <c r="O668" i="1"/>
  <c r="O669" i="1"/>
  <c r="O670" i="1"/>
  <c r="O671" i="1"/>
  <c r="O664" i="1"/>
  <c r="O665" i="1"/>
  <c r="O666" i="1"/>
  <c r="O654" i="1"/>
  <c r="O655" i="1"/>
  <c r="O657" i="1"/>
  <c r="O638" i="1"/>
  <c r="O639" i="1"/>
  <c r="O645" i="1"/>
  <c r="O646" i="1"/>
  <c r="O647" i="1"/>
  <c r="O648" i="1"/>
  <c r="O299" i="1"/>
  <c r="O300" i="1"/>
  <c r="O301" i="1"/>
  <c r="O302" i="1"/>
  <c r="O303" i="1"/>
  <c r="O304" i="1"/>
  <c r="O282" i="1"/>
  <c r="O283" i="1"/>
  <c r="O284" i="1"/>
  <c r="O288" i="1"/>
  <c r="O289" i="1"/>
  <c r="O290" i="1"/>
  <c r="O275" i="1"/>
  <c r="O270" i="1"/>
  <c r="O271" i="1"/>
  <c r="O277" i="1"/>
  <c r="O278" i="1"/>
  <c r="O279" i="1"/>
  <c r="O280" i="1"/>
  <c r="O281" i="1"/>
  <c r="O269" i="1"/>
  <c r="O131" i="1"/>
  <c r="O274" i="1"/>
  <c r="O119" i="1"/>
  <c r="O121" i="1"/>
  <c r="O227" i="1"/>
  <c r="O228" i="1"/>
  <c r="O229" i="1"/>
  <c r="O230" i="1"/>
  <c r="O232" i="1"/>
  <c r="O233" i="1"/>
  <c r="O234" i="1"/>
  <c r="O235" i="1"/>
  <c r="O236" i="1"/>
  <c r="O237" i="1"/>
  <c r="O218" i="1"/>
  <c r="O219" i="1"/>
  <c r="O220" i="1"/>
  <c r="O221" i="1"/>
  <c r="O222" i="1"/>
  <c r="O223" i="1"/>
  <c r="O224" i="1"/>
  <c r="O225" i="1"/>
  <c r="O181" i="1"/>
  <c r="O190" i="1"/>
  <c r="O192" i="1"/>
  <c r="O206" i="1"/>
  <c r="O207" i="1"/>
  <c r="O209" i="1"/>
  <c r="O211" i="1"/>
  <c r="O212" i="1"/>
  <c r="O215" i="1"/>
  <c r="O216" i="1"/>
  <c r="O217" i="1"/>
  <c r="O214" i="1"/>
  <c r="O193" i="1"/>
  <c r="O194" i="1"/>
  <c r="O195" i="1"/>
  <c r="O196" i="1"/>
  <c r="O197" i="1"/>
  <c r="O198" i="1"/>
  <c r="O200" i="1"/>
  <c r="O201" i="1"/>
  <c r="O174" i="1"/>
  <c r="O175" i="1"/>
  <c r="O176" i="1"/>
  <c r="O177" i="1"/>
  <c r="O178" i="1"/>
  <c r="O179" i="1"/>
  <c r="O180" i="1"/>
  <c r="O202" i="1"/>
  <c r="O203" i="1"/>
  <c r="O204" i="1"/>
  <c r="O205" i="1"/>
  <c r="O170" i="1"/>
  <c r="O171" i="1"/>
  <c r="O172" i="1"/>
  <c r="O173" i="1"/>
  <c r="O630" i="1"/>
  <c r="O631" i="1"/>
  <c r="O633" i="1"/>
  <c r="O634" i="1"/>
  <c r="O635" i="1"/>
  <c r="O636" i="1"/>
  <c r="O662" i="1"/>
  <c r="O663" i="1"/>
  <c r="O578" i="1"/>
  <c r="O579" i="1"/>
  <c r="O582" i="1"/>
  <c r="O583" i="1"/>
  <c r="O629" i="1"/>
  <c r="O310" i="1"/>
  <c r="O311" i="1"/>
  <c r="O574" i="1"/>
  <c r="O575" i="1"/>
  <c r="O576" i="1"/>
  <c r="O294" i="1"/>
  <c r="O296" i="1"/>
  <c r="O297" i="1"/>
  <c r="O298" i="1"/>
  <c r="O306" i="1"/>
  <c r="O307" i="1"/>
  <c r="O308" i="1"/>
  <c r="O309" i="1"/>
  <c r="O267" i="1"/>
  <c r="O268" i="1"/>
  <c r="O291" i="1"/>
  <c r="O272" i="1"/>
  <c r="O191" i="1"/>
  <c r="O184" i="1"/>
  <c r="O186" i="1"/>
  <c r="O187" i="1"/>
  <c r="O199" i="1"/>
  <c r="O183" i="1"/>
  <c r="O684" i="1"/>
  <c r="O676" i="1"/>
  <c r="O661" i="1"/>
  <c r="O650" i="1"/>
  <c r="O637" i="1"/>
  <c r="O226" i="1"/>
  <c r="O189" i="1"/>
  <c r="O185" i="1"/>
  <c r="O182" i="1"/>
  <c r="O680" i="1"/>
  <c r="O660" i="1"/>
  <c r="O675" i="1"/>
  <c r="O577" i="1"/>
  <c r="O580" i="1"/>
  <c r="O581" i="1"/>
  <c r="O632" i="1"/>
  <c r="O640" i="1"/>
  <c r="O276" i="1"/>
  <c r="O292" i="1"/>
  <c r="O293" i="1"/>
  <c r="O295" i="1"/>
  <c r="O305" i="1"/>
  <c r="O264" i="1"/>
  <c r="O265" i="1"/>
  <c r="O266" i="1"/>
  <c r="O208" i="1"/>
  <c r="O210" i="1"/>
  <c r="O213" i="1"/>
  <c r="O231" i="1"/>
  <c r="O273" i="1"/>
  <c r="O263" i="1"/>
  <c r="O188" i="1"/>
  <c r="O77" i="1"/>
  <c r="P77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157" i="1"/>
  <c r="S156" i="1"/>
  <c r="S155" i="1"/>
  <c r="S154" i="1"/>
  <c r="S153" i="1"/>
  <c r="S152" i="1"/>
  <c r="S151" i="1"/>
  <c r="S150" i="1"/>
  <c r="S149" i="1"/>
  <c r="S688" i="1"/>
  <c r="S682" i="1"/>
  <c r="S681" i="1"/>
  <c r="S687" i="1"/>
  <c r="S680" i="1"/>
  <c r="S686" i="1"/>
  <c r="S679" i="1"/>
  <c r="S666" i="1"/>
  <c r="S665" i="1"/>
  <c r="S664" i="1"/>
  <c r="S663" i="1"/>
  <c r="S662" i="1"/>
  <c r="S671" i="1"/>
  <c r="S670" i="1"/>
  <c r="S669" i="1"/>
  <c r="S668" i="1"/>
  <c r="S667" i="1"/>
  <c r="S685" i="1"/>
  <c r="S678" i="1"/>
  <c r="S684" i="1"/>
  <c r="S677" i="1"/>
  <c r="S49" i="1"/>
  <c r="S54" i="1"/>
  <c r="S53" i="1"/>
  <c r="S48" i="1"/>
  <c r="S52" i="1"/>
  <c r="S51" i="1"/>
  <c r="S46" i="1"/>
  <c r="S45" i="1"/>
  <c r="S44" i="1"/>
  <c r="S43" i="1"/>
  <c r="S42" i="1"/>
  <c r="S41" i="1"/>
  <c r="S40" i="1"/>
  <c r="S39" i="1"/>
  <c r="S38" i="1"/>
  <c r="S37" i="1"/>
  <c r="S33" i="1"/>
  <c r="S36" i="1"/>
  <c r="S35" i="1"/>
  <c r="S34" i="1"/>
  <c r="S32" i="1"/>
  <c r="S31" i="1"/>
  <c r="S30" i="1"/>
  <c r="S47" i="1"/>
  <c r="S25" i="1"/>
  <c r="S29" i="1"/>
  <c r="S28" i="1"/>
  <c r="S27" i="1"/>
  <c r="S26" i="1"/>
  <c r="S267" i="1"/>
  <c r="S266" i="1"/>
  <c r="S265" i="1"/>
  <c r="S264" i="1"/>
  <c r="S263" i="1"/>
  <c r="S274" i="1"/>
  <c r="S273" i="1"/>
  <c r="S272" i="1"/>
  <c r="S147" i="1"/>
  <c r="S143" i="1"/>
  <c r="S141" i="1"/>
  <c r="S269" i="1"/>
  <c r="S146" i="1"/>
  <c r="S139" i="1"/>
  <c r="S142" i="1"/>
  <c r="S138" i="1"/>
  <c r="S145" i="1"/>
  <c r="S144" i="1"/>
  <c r="S175" i="1"/>
  <c r="S197" i="1"/>
  <c r="S196" i="1"/>
  <c r="S195" i="1"/>
  <c r="S194" i="1"/>
  <c r="S193" i="1"/>
  <c r="S173" i="1"/>
  <c r="S172" i="1"/>
  <c r="S171" i="1"/>
  <c r="S170" i="1"/>
  <c r="S174" i="1"/>
  <c r="S201" i="1"/>
  <c r="S176" i="1"/>
  <c r="S224" i="1"/>
  <c r="S169" i="1"/>
  <c r="S226" i="1"/>
  <c r="S200" i="1"/>
  <c r="S225" i="1"/>
  <c r="S223" i="1"/>
  <c r="S222" i="1"/>
  <c r="S199" i="1"/>
  <c r="S221" i="1"/>
  <c r="S198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2" i="1"/>
  <c r="S81" i="1"/>
  <c r="S80" i="1"/>
  <c r="S205" i="1"/>
  <c r="S79" i="1"/>
  <c r="S78" i="1"/>
  <c r="S77" i="1"/>
  <c r="S204" i="1"/>
  <c r="S203" i="1"/>
  <c r="S683" i="1"/>
  <c r="S634" i="1"/>
  <c r="S633" i="1"/>
  <c r="S632" i="1"/>
  <c r="S631" i="1"/>
  <c r="S630" i="1"/>
  <c r="S629" i="1"/>
  <c r="S637" i="1"/>
  <c r="S628" i="1"/>
  <c r="S583" i="1"/>
  <c r="S675" i="1"/>
  <c r="S674" i="1"/>
  <c r="S582" i="1"/>
  <c r="S581" i="1"/>
  <c r="S673" i="1"/>
  <c r="S676" i="1"/>
  <c r="S580" i="1"/>
  <c r="S579" i="1"/>
  <c r="S578" i="1"/>
  <c r="S672" i="1"/>
  <c r="S577" i="1"/>
  <c r="S576" i="1"/>
  <c r="S575" i="1"/>
  <c r="S636" i="1"/>
  <c r="S574" i="1"/>
  <c r="S635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0" i="1"/>
  <c r="S289" i="1"/>
  <c r="S288" i="1"/>
  <c r="S284" i="1"/>
  <c r="S283" i="1"/>
  <c r="S282" i="1"/>
  <c r="S160" i="1"/>
  <c r="S159" i="1"/>
  <c r="S158" i="1"/>
  <c r="S163" i="1"/>
  <c r="S162" i="1"/>
  <c r="S161" i="1"/>
  <c r="S100" i="1"/>
  <c r="S99" i="1"/>
  <c r="S167" i="1"/>
  <c r="S166" i="1"/>
  <c r="S165" i="1"/>
  <c r="S659" i="1"/>
  <c r="S658" i="1"/>
  <c r="S657" i="1"/>
  <c r="S656" i="1"/>
  <c r="S164" i="1"/>
  <c r="S661" i="1"/>
  <c r="S655" i="1"/>
  <c r="S660" i="1"/>
  <c r="S654" i="1"/>
  <c r="S653" i="1"/>
  <c r="S652" i="1"/>
  <c r="S651" i="1"/>
  <c r="S650" i="1"/>
  <c r="S649" i="1"/>
  <c r="S648" i="1"/>
  <c r="S647" i="1"/>
  <c r="S645" i="1"/>
  <c r="S640" i="1"/>
  <c r="S639" i="1"/>
  <c r="S638" i="1"/>
  <c r="S646" i="1"/>
  <c r="S137" i="1"/>
  <c r="S133" i="1"/>
  <c r="S132" i="1"/>
  <c r="S136" i="1"/>
  <c r="S131" i="1"/>
  <c r="S135" i="1"/>
  <c r="S134" i="1"/>
  <c r="S130" i="1"/>
  <c r="S129" i="1"/>
  <c r="S128" i="1"/>
  <c r="S127" i="1"/>
  <c r="S126" i="1"/>
  <c r="S125" i="1"/>
  <c r="S124" i="1"/>
  <c r="S123" i="1"/>
  <c r="S122" i="1"/>
  <c r="S119" i="1"/>
  <c r="S118" i="1"/>
  <c r="S121" i="1"/>
  <c r="S98" i="1"/>
  <c r="S97" i="1"/>
  <c r="S92" i="1"/>
  <c r="S120" i="1"/>
  <c r="S96" i="1"/>
  <c r="S91" i="1"/>
  <c r="S95" i="1"/>
  <c r="S90" i="1"/>
  <c r="S94" i="1"/>
  <c r="S93" i="1"/>
  <c r="S85" i="1"/>
  <c r="S84" i="1"/>
  <c r="S83" i="1"/>
  <c r="S88" i="1"/>
  <c r="S87" i="1"/>
  <c r="S86" i="1"/>
  <c r="S237" i="1"/>
  <c r="S236" i="1"/>
  <c r="S235" i="1"/>
  <c r="S234" i="1"/>
  <c r="S233" i="1"/>
  <c r="S232" i="1"/>
  <c r="S231" i="1"/>
  <c r="S230" i="1"/>
  <c r="S229" i="1"/>
  <c r="S228" i="1"/>
  <c r="S227" i="1"/>
  <c r="S89" i="1"/>
  <c r="S177" i="1"/>
  <c r="S181" i="1"/>
  <c r="S180" i="1"/>
  <c r="S179" i="1"/>
  <c r="S178" i="1"/>
  <c r="S298" i="1"/>
  <c r="S297" i="1"/>
  <c r="S296" i="1"/>
  <c r="S295" i="1"/>
  <c r="S294" i="1"/>
  <c r="S293" i="1"/>
  <c r="S292" i="1"/>
  <c r="S291" i="1"/>
  <c r="S281" i="1"/>
  <c r="S280" i="1"/>
  <c r="S279" i="1"/>
  <c r="S278" i="1"/>
  <c r="S277" i="1"/>
  <c r="S270" i="1"/>
  <c r="S276" i="1"/>
  <c r="S275" i="1"/>
  <c r="S24" i="1"/>
  <c r="S271" i="1"/>
  <c r="S23" i="1"/>
  <c r="S22" i="1"/>
  <c r="S18" i="1"/>
  <c r="S14" i="1"/>
  <c r="S21" i="1"/>
  <c r="S17" i="1"/>
  <c r="S20" i="1"/>
  <c r="S19" i="1"/>
  <c r="S16" i="1"/>
  <c r="S15" i="1"/>
  <c r="S13" i="1"/>
  <c r="S9" i="1"/>
  <c r="S8" i="1"/>
  <c r="S7" i="1"/>
  <c r="S6" i="1"/>
  <c r="S12" i="1"/>
  <c r="S11" i="1"/>
  <c r="S189" i="1"/>
  <c r="S188" i="1"/>
  <c r="S5" i="1"/>
  <c r="S10" i="1"/>
  <c r="S192" i="1"/>
  <c r="S191" i="1"/>
  <c r="S4" i="1"/>
  <c r="S187" i="1"/>
  <c r="S186" i="1"/>
  <c r="S185" i="1"/>
  <c r="S190" i="1"/>
  <c r="S183" i="1"/>
  <c r="S182" i="1"/>
  <c r="S184" i="1"/>
  <c r="S268" i="1"/>
  <c r="S76" i="1"/>
  <c r="S75" i="1"/>
  <c r="S74" i="1"/>
  <c r="S73" i="1"/>
  <c r="S72" i="1"/>
  <c r="S71" i="1"/>
  <c r="S70" i="1"/>
  <c r="S69" i="1"/>
  <c r="S60" i="1"/>
  <c r="S68" i="1"/>
  <c r="S59" i="1"/>
  <c r="S58" i="1"/>
  <c r="S67" i="1"/>
  <c r="S66" i="1"/>
  <c r="S65" i="1"/>
  <c r="S64" i="1"/>
  <c r="S63" i="1"/>
  <c r="S62" i="1"/>
  <c r="S61" i="1"/>
  <c r="S57" i="1"/>
  <c r="S56" i="1"/>
  <c r="S50" i="1"/>
  <c r="S55" i="1"/>
</calcChain>
</file>

<file path=xl/sharedStrings.xml><?xml version="1.0" encoding="utf-8"?>
<sst xmlns="http://schemas.openxmlformats.org/spreadsheetml/2006/main" count="1479" uniqueCount="68">
  <si>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</si>
  <si>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</si>
  <si>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</si>
  <si>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</si>
  <si>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</si>
  <si>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</si>
  <si>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</si>
  <si>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</si>
  <si>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</si>
  <si>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</si>
  <si>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</si>
  <si>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</si>
  <si>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</si>
  <si>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</si>
  <si>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</si>
  <si>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</si>
  <si>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</si>
  <si>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</si>
  <si>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</si>
  <si>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</si>
  <si>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</si>
  <si>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</si>
  <si>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</si>
  <si>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</si>
  <si>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</si>
  <si>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</si>
  <si>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</si>
  <si>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</si>
  <si>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</si>
  <si>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</si>
  <si>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</si>
  <si>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</si>
  <si>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</si>
  <si>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</si>
  <si>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</si>
  <si>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</si>
  <si>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</si>
  <si>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</si>
  <si>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</si>
  <si>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</si>
  <si>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</si>
  <si>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</si>
  <si>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</si>
  <si>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</si>
  <si>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</si>
  <si>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</si>
  <si>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</si>
  <si>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</si>
  <si>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</si>
  <si>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</si>
  <si>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</si>
  <si>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</si>
  <si>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</si>
  <si>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</si>
  <si>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</si>
  <si>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</si>
  <si>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</si>
  <si>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 xml:space="preserve">Calculated Volume (if neceS. acutusary) cm^3 </t>
  </si>
  <si>
    <t>Calculated BiomaS. acutus (g)</t>
  </si>
  <si>
    <t>Clean biomaS. acutus (g) (only values)</t>
  </si>
  <si>
    <t>S. californicus</t>
  </si>
  <si>
    <t>S. acutus</t>
  </si>
  <si>
    <t>T. latifolia</t>
  </si>
  <si>
    <t>Airboat trail</t>
  </si>
  <si>
    <t>Airboat Trail</t>
  </si>
  <si>
    <t>THATCHED</t>
  </si>
  <si>
    <t xml:space="preserve"> </t>
  </si>
  <si>
    <t>no water, no 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</si>
</sst>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3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5" fillId="0" borderId="0" xfId="0" quotePrefix="1" applyFont="1"/>
    <xf numFmtId="0" fontId="9" fillId="0" borderId="13" xfId="0" applyFont="1" applyBorder="1"/>
    <xf numFmtId="0" fontId="9" fillId="0" borderId="9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</cellXfs>
  <cellStyles count="13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8"/>
  <sheetViews>
    <sheetView tabSelected="1" zoomScale="125" zoomScaleNormal="125" zoomScalePageLayoutView="125" workbookViewId="0">
      <selection activeCell="J12" sqref="J12"/>
    </sheetView>
  </sheetViews>
  <sheetFormatPr baseColWidth="10" defaultRowHeight="15" x14ac:dyDescent="0"/>
  <cols>
    <col min="4" max="4" width="13.1640625" bestFit="1" customWidth="1"/>
  </cols>
  <sheetData>
    <row r="1" spans="1:1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9"/>
      <c r="Q1" s="1"/>
      <c r="R1" s="1"/>
    </row>
    <row r="2" spans="1:19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10"/>
      <c r="Q2" s="2"/>
      <c r="R2" s="2"/>
    </row>
    <row r="3" spans="1:19" ht="75">
      <c r="A3" t="s">
        <v>1</v>
      </c>
      <c r="B3" s="3" t="s">
        <v>2</v>
      </c>
      <c r="C3" t="s">
        <v>3</v>
      </c>
      <c r="D3" s="4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57</v>
      </c>
      <c r="O3" s="5" t="s">
        <v>58</v>
      </c>
      <c r="P3" s="5" t="s">
        <v>59</v>
      </c>
      <c r="Q3" s="5" t="s">
        <v>14</v>
      </c>
      <c r="R3" s="5" t="s">
        <v>15</v>
      </c>
      <c r="S3" s="5" t="s">
        <v>23</v>
      </c>
    </row>
    <row r="4" spans="1:19">
      <c r="A4" s="8">
        <v>42809</v>
      </c>
      <c r="B4" s="7" t="s">
        <v>52</v>
      </c>
      <c r="C4" s="7">
        <v>32</v>
      </c>
      <c r="D4" s="7" t="s">
        <v>62</v>
      </c>
      <c r="F4" s="7">
        <v>1.1499999999999999</v>
      </c>
      <c r="J4" s="7">
        <f>30+46+47+65</f>
        <v>188</v>
      </c>
      <c r="K4">
        <v>4</v>
      </c>
      <c r="L4">
        <v>65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2.9925869999999968</v>
      </c>
      <c r="P4">
        <f t="shared" ref="P4:P51" si="0">IF(O4&lt;0," ",O4)</f>
        <v>2.9925869999999968</v>
      </c>
      <c r="S4">
        <f t="shared" ref="S4:S35" si="1">3.14159*((F4/2)^2)</f>
        <v>1.0386881937499999</v>
      </c>
    </row>
    <row r="5" spans="1:19">
      <c r="A5" s="8">
        <v>42809</v>
      </c>
      <c r="B5" s="7" t="s">
        <v>52</v>
      </c>
      <c r="C5" s="7">
        <v>32</v>
      </c>
      <c r="D5" s="7" t="s">
        <v>62</v>
      </c>
      <c r="F5" s="7">
        <v>0.78</v>
      </c>
      <c r="J5" s="7">
        <f>43+56</f>
        <v>99</v>
      </c>
      <c r="K5">
        <v>2</v>
      </c>
      <c r="L5">
        <v>56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11.404302999999999</v>
      </c>
      <c r="P5">
        <f t="shared" si="0"/>
        <v>11.404302999999999</v>
      </c>
      <c r="S5">
        <f t="shared" si="1"/>
        <v>0.47783583900000004</v>
      </c>
    </row>
    <row r="6" spans="1:19">
      <c r="A6" s="8">
        <v>42809</v>
      </c>
      <c r="B6" s="7" t="s">
        <v>52</v>
      </c>
      <c r="C6" s="7">
        <v>32</v>
      </c>
      <c r="D6" s="7" t="s">
        <v>62</v>
      </c>
      <c r="F6" s="7">
        <v>1.21</v>
      </c>
      <c r="J6" s="7">
        <f>33+61+62+75</f>
        <v>231</v>
      </c>
      <c r="K6">
        <v>4</v>
      </c>
      <c r="L6">
        <v>75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4.0116019999999999</v>
      </c>
      <c r="P6">
        <f t="shared" si="0"/>
        <v>4.0116019999999999</v>
      </c>
      <c r="S6">
        <f t="shared" si="1"/>
        <v>1.1499004797499999</v>
      </c>
    </row>
    <row r="7" spans="1:19">
      <c r="A7" s="8">
        <v>42809</v>
      </c>
      <c r="B7" s="7" t="s">
        <v>52</v>
      </c>
      <c r="C7" s="7">
        <v>32</v>
      </c>
      <c r="D7" s="7" t="s">
        <v>62</v>
      </c>
      <c r="F7" s="7">
        <v>0.84</v>
      </c>
      <c r="J7" s="7">
        <f>29+46+48</f>
        <v>123</v>
      </c>
      <c r="K7">
        <v>3</v>
      </c>
      <c r="L7">
        <v>48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9.0420299999999969</v>
      </c>
      <c r="P7">
        <f t="shared" si="0"/>
        <v>9.0420299999999969</v>
      </c>
      <c r="S7">
        <f t="shared" si="1"/>
        <v>0.55417647599999986</v>
      </c>
    </row>
    <row r="8" spans="1:19">
      <c r="A8" s="8">
        <v>42809</v>
      </c>
      <c r="B8" s="7" t="s">
        <v>52</v>
      </c>
      <c r="C8" s="7">
        <v>32</v>
      </c>
      <c r="D8" s="7" t="s">
        <v>62</v>
      </c>
      <c r="F8" s="7">
        <v>0.52</v>
      </c>
      <c r="J8" s="7">
        <f>23+29</f>
        <v>52</v>
      </c>
      <c r="K8">
        <v>2</v>
      </c>
      <c r="L8">
        <v>29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15.131432999999994</v>
      </c>
      <c r="P8">
        <f t="shared" si="0"/>
        <v>15.131432999999994</v>
      </c>
      <c r="S8">
        <f t="shared" si="1"/>
        <v>0.21237148400000003</v>
      </c>
    </row>
    <row r="9" spans="1:19">
      <c r="A9" s="8">
        <v>42809</v>
      </c>
      <c r="B9" s="7" t="s">
        <v>52</v>
      </c>
      <c r="C9" s="7">
        <v>32</v>
      </c>
      <c r="D9" s="7" t="s">
        <v>62</v>
      </c>
      <c r="F9" s="7">
        <v>0.83</v>
      </c>
      <c r="J9">
        <f>15+36+43+57</f>
        <v>151</v>
      </c>
      <c r="K9">
        <v>4</v>
      </c>
      <c r="L9">
        <v>57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1.9336120000000001</v>
      </c>
      <c r="P9">
        <f t="shared" si="0"/>
        <v>1.9336120000000001</v>
      </c>
      <c r="S9">
        <f t="shared" si="1"/>
        <v>0.54106033774999995</v>
      </c>
    </row>
    <row r="10" spans="1:19">
      <c r="A10" s="8">
        <v>42809</v>
      </c>
      <c r="B10" s="7" t="s">
        <v>52</v>
      </c>
      <c r="C10" s="7">
        <v>32</v>
      </c>
      <c r="D10" s="7" t="s">
        <v>62</v>
      </c>
      <c r="F10" s="7">
        <v>1.21</v>
      </c>
      <c r="J10" s="7">
        <f>59+91+100</f>
        <v>250</v>
      </c>
      <c r="K10">
        <v>3</v>
      </c>
      <c r="L10">
        <v>100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5.2841750000000012</v>
      </c>
      <c r="P10">
        <f t="shared" si="0"/>
        <v>5.2841750000000012</v>
      </c>
      <c r="S10">
        <f t="shared" si="1"/>
        <v>1.1499004797499999</v>
      </c>
    </row>
    <row r="11" spans="1:19">
      <c r="A11" s="8">
        <v>42809</v>
      </c>
      <c r="B11" s="7" t="s">
        <v>52</v>
      </c>
      <c r="C11" s="7">
        <v>32</v>
      </c>
      <c r="D11" s="7" t="s">
        <v>62</v>
      </c>
      <c r="F11" s="7">
        <v>0.85</v>
      </c>
      <c r="J11">
        <f>34+42+61</f>
        <v>137</v>
      </c>
      <c r="K11">
        <v>3</v>
      </c>
      <c r="L11">
        <v>61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6.4384149999999991</v>
      </c>
      <c r="P11">
        <f t="shared" si="0"/>
        <v>6.4384149999999991</v>
      </c>
      <c r="S11">
        <f t="shared" si="1"/>
        <v>0.56744969374999987</v>
      </c>
    </row>
    <row r="12" spans="1:19">
      <c r="A12" s="8">
        <v>42809</v>
      </c>
      <c r="B12" s="7" t="s">
        <v>52</v>
      </c>
      <c r="C12" s="7">
        <v>32</v>
      </c>
      <c r="D12" s="7" t="s">
        <v>62</v>
      </c>
      <c r="F12" s="7">
        <v>0.59</v>
      </c>
      <c r="J12">
        <f>22+27</f>
        <v>49</v>
      </c>
      <c r="K12">
        <v>2</v>
      </c>
      <c r="L12">
        <v>27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15.452658</v>
      </c>
      <c r="P12">
        <f t="shared" si="0"/>
        <v>15.452658</v>
      </c>
      <c r="S12">
        <f t="shared" si="1"/>
        <v>0.27339686974999994</v>
      </c>
    </row>
    <row r="13" spans="1:19">
      <c r="A13" s="8">
        <v>42809</v>
      </c>
      <c r="B13" s="7" t="s">
        <v>52</v>
      </c>
      <c r="C13" s="7">
        <v>32</v>
      </c>
      <c r="D13" s="7" t="s">
        <v>62</v>
      </c>
      <c r="F13" s="7">
        <v>0.78</v>
      </c>
      <c r="J13">
        <f>29+41+50</f>
        <v>120</v>
      </c>
      <c r="K13">
        <v>3</v>
      </c>
      <c r="L13">
        <v>50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8.1582749999999962</v>
      </c>
      <c r="P13">
        <f t="shared" si="0"/>
        <v>8.1582749999999962</v>
      </c>
      <c r="S13">
        <f t="shared" si="1"/>
        <v>0.47783583900000004</v>
      </c>
    </row>
    <row r="14" spans="1:19">
      <c r="A14" s="8">
        <v>42809</v>
      </c>
      <c r="B14" s="7" t="s">
        <v>52</v>
      </c>
      <c r="C14" s="7">
        <v>32</v>
      </c>
      <c r="D14" s="7" t="s">
        <v>62</v>
      </c>
      <c r="F14" s="7">
        <v>0.88</v>
      </c>
      <c r="J14">
        <f>38+53+59</f>
        <v>150</v>
      </c>
      <c r="K14">
        <v>3</v>
      </c>
      <c r="L14">
        <v>59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8.259719999999998</v>
      </c>
      <c r="P14">
        <f t="shared" si="0"/>
        <v>8.259719999999998</v>
      </c>
      <c r="S14">
        <f t="shared" si="1"/>
        <v>0.60821182399999996</v>
      </c>
    </row>
    <row r="15" spans="1:19">
      <c r="A15" s="8">
        <v>42809</v>
      </c>
      <c r="B15" s="7" t="s">
        <v>52</v>
      </c>
      <c r="C15" s="7">
        <v>32</v>
      </c>
      <c r="D15" s="7" t="s">
        <v>62</v>
      </c>
      <c r="F15" s="7">
        <v>1.08</v>
      </c>
      <c r="J15">
        <f>19+52+63+39</f>
        <v>173</v>
      </c>
      <c r="K15">
        <v>4</v>
      </c>
      <c r="L15">
        <v>63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2.1887520000000009</v>
      </c>
      <c r="P15">
        <f t="shared" si="0"/>
        <v>2.1887520000000009</v>
      </c>
      <c r="S15">
        <f t="shared" si="1"/>
        <v>0.91608764400000009</v>
      </c>
    </row>
    <row r="16" spans="1:19">
      <c r="A16" s="8">
        <v>42809</v>
      </c>
      <c r="B16" s="7" t="s">
        <v>52</v>
      </c>
      <c r="C16" s="7">
        <v>32</v>
      </c>
      <c r="D16" s="7" t="s">
        <v>62</v>
      </c>
      <c r="F16" s="7">
        <v>0.53</v>
      </c>
      <c r="J16">
        <f>25+26+34</f>
        <v>85</v>
      </c>
      <c r="K16">
        <v>3</v>
      </c>
      <c r="L16">
        <v>34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9.6967699999999972</v>
      </c>
      <c r="P16">
        <f t="shared" si="0"/>
        <v>9.6967699999999972</v>
      </c>
      <c r="S16">
        <f t="shared" si="1"/>
        <v>0.22061815775000002</v>
      </c>
    </row>
    <row r="17" spans="1:19">
      <c r="A17" s="8">
        <v>42809</v>
      </c>
      <c r="B17" s="7" t="s">
        <v>52</v>
      </c>
      <c r="C17" s="7">
        <v>32</v>
      </c>
      <c r="D17" s="7" t="s">
        <v>62</v>
      </c>
      <c r="F17" s="7">
        <v>0.79</v>
      </c>
      <c r="G17" s="7"/>
      <c r="H17" s="7"/>
      <c r="I17" s="7"/>
      <c r="J17">
        <f>11+15+17</f>
        <v>43</v>
      </c>
      <c r="K17">
        <v>3</v>
      </c>
      <c r="L17">
        <v>17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10.880224999999996</v>
      </c>
      <c r="P17">
        <f t="shared" si="0"/>
        <v>10.880224999999996</v>
      </c>
      <c r="S17">
        <f t="shared" si="1"/>
        <v>0.49016657975000005</v>
      </c>
    </row>
    <row r="18" spans="1:19">
      <c r="A18" s="8">
        <v>42809</v>
      </c>
      <c r="B18" s="7" t="s">
        <v>52</v>
      </c>
      <c r="C18" s="7">
        <v>32</v>
      </c>
      <c r="D18" s="7" t="s">
        <v>62</v>
      </c>
      <c r="F18" s="7">
        <v>1.1000000000000001</v>
      </c>
      <c r="J18">
        <f>33+46+67+68</f>
        <v>214</v>
      </c>
      <c r="K18">
        <v>4</v>
      </c>
      <c r="L18">
        <v>68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4.5264820000000014</v>
      </c>
      <c r="P18">
        <f t="shared" si="0"/>
        <v>4.5264820000000014</v>
      </c>
      <c r="S18">
        <f t="shared" si="1"/>
        <v>0.95033097500000008</v>
      </c>
    </row>
    <row r="19" spans="1:19">
      <c r="A19" s="8">
        <v>42809</v>
      </c>
      <c r="B19" s="7" t="s">
        <v>52</v>
      </c>
      <c r="C19" s="7">
        <v>32</v>
      </c>
      <c r="D19" s="7" t="s">
        <v>62</v>
      </c>
      <c r="F19" s="7">
        <v>0.46</v>
      </c>
      <c r="G19" s="7"/>
      <c r="J19">
        <f>14+33</f>
        <v>47</v>
      </c>
      <c r="K19">
        <v>2</v>
      </c>
      <c r="L19">
        <v>33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13.457677999999998</v>
      </c>
      <c r="P19">
        <f t="shared" si="0"/>
        <v>13.457677999999998</v>
      </c>
      <c r="S19">
        <f t="shared" si="1"/>
        <v>0.166190111</v>
      </c>
    </row>
    <row r="20" spans="1:19">
      <c r="A20" s="8">
        <v>42809</v>
      </c>
      <c r="B20" s="7" t="s">
        <v>52</v>
      </c>
      <c r="C20" s="7">
        <v>32</v>
      </c>
      <c r="D20" s="7" t="s">
        <v>62</v>
      </c>
      <c r="F20" s="7">
        <v>0.82</v>
      </c>
      <c r="J20">
        <f>16+17</f>
        <v>33</v>
      </c>
      <c r="K20">
        <v>2</v>
      </c>
      <c r="L20">
        <v>17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16.965027999999997</v>
      </c>
      <c r="P20">
        <f t="shared" si="0"/>
        <v>16.965027999999997</v>
      </c>
      <c r="S20">
        <f t="shared" si="1"/>
        <v>0.52810127899999992</v>
      </c>
    </row>
    <row r="21" spans="1:19">
      <c r="A21" s="8">
        <v>42809</v>
      </c>
      <c r="B21" s="7" t="s">
        <v>52</v>
      </c>
      <c r="C21" s="7">
        <v>32</v>
      </c>
      <c r="D21" s="7" t="s">
        <v>62</v>
      </c>
      <c r="F21" s="7">
        <v>0.61</v>
      </c>
      <c r="G21" s="7"/>
      <c r="J21">
        <f>22+38+52</f>
        <v>112</v>
      </c>
      <c r="K21">
        <v>3</v>
      </c>
      <c r="L21">
        <v>52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6.8057449999999982</v>
      </c>
      <c r="P21">
        <f t="shared" si="0"/>
        <v>6.8057449999999982</v>
      </c>
      <c r="S21">
        <f t="shared" si="1"/>
        <v>0.29224640974999999</v>
      </c>
    </row>
    <row r="22" spans="1:19">
      <c r="A22" s="8">
        <v>42809</v>
      </c>
      <c r="B22" s="7" t="s">
        <v>52</v>
      </c>
      <c r="C22" s="7">
        <v>32</v>
      </c>
      <c r="D22" s="7" t="s">
        <v>62</v>
      </c>
      <c r="F22" s="7">
        <v>0.75</v>
      </c>
      <c r="J22">
        <f>28+35+46</f>
        <v>109</v>
      </c>
      <c r="K22">
        <v>3</v>
      </c>
      <c r="L22">
        <v>46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8.3319499999999991</v>
      </c>
      <c r="P22">
        <f t="shared" si="0"/>
        <v>8.3319499999999991</v>
      </c>
      <c r="S22">
        <f t="shared" si="1"/>
        <v>0.44178609375</v>
      </c>
    </row>
    <row r="23" spans="1:19">
      <c r="A23" s="8">
        <v>42809</v>
      </c>
      <c r="B23" s="7" t="s">
        <v>52</v>
      </c>
      <c r="C23" s="7">
        <v>32</v>
      </c>
      <c r="D23" s="7" t="s">
        <v>62</v>
      </c>
      <c r="F23" s="7">
        <v>1.03</v>
      </c>
      <c r="J23">
        <f>27+52+60+81</f>
        <v>220</v>
      </c>
      <c r="K23">
        <v>4</v>
      </c>
      <c r="L23">
        <v>81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1.1728269999999981</v>
      </c>
      <c r="P23">
        <f t="shared" si="0"/>
        <v>1.1728269999999981</v>
      </c>
      <c r="S23">
        <f t="shared" si="1"/>
        <v>0.83322820774999995</v>
      </c>
    </row>
    <row r="24" spans="1:19">
      <c r="A24" s="8">
        <v>42809</v>
      </c>
      <c r="B24" s="7" t="s">
        <v>52</v>
      </c>
      <c r="C24" s="7">
        <v>32</v>
      </c>
      <c r="D24" s="7" t="s">
        <v>62</v>
      </c>
      <c r="F24" s="7">
        <v>0.9</v>
      </c>
      <c r="J24">
        <f>43+48</f>
        <v>91</v>
      </c>
      <c r="K24">
        <v>2</v>
      </c>
      <c r="L24">
        <v>48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13.064222999999998</v>
      </c>
      <c r="P24">
        <f t="shared" si="0"/>
        <v>13.064222999999998</v>
      </c>
      <c r="S24">
        <f t="shared" si="1"/>
        <v>0.636171975</v>
      </c>
    </row>
    <row r="25" spans="1:19">
      <c r="A25" s="8">
        <v>42809</v>
      </c>
      <c r="B25" s="7" t="s">
        <v>52</v>
      </c>
      <c r="C25" s="7">
        <v>32</v>
      </c>
      <c r="D25" s="7" t="s">
        <v>62</v>
      </c>
      <c r="F25" s="7">
        <v>1.1200000000000001</v>
      </c>
      <c r="J25">
        <f>28+17+18</f>
        <v>63</v>
      </c>
      <c r="K25">
        <v>3</v>
      </c>
      <c r="L25">
        <v>28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9.4416299999999964</v>
      </c>
      <c r="P25">
        <f t="shared" si="0"/>
        <v>9.4416299999999964</v>
      </c>
      <c r="S25">
        <f t="shared" si="1"/>
        <v>0.98520262400000014</v>
      </c>
    </row>
    <row r="26" spans="1:19">
      <c r="A26" s="8">
        <v>42809</v>
      </c>
      <c r="B26" s="7" t="s">
        <v>52</v>
      </c>
      <c r="C26" s="7">
        <v>32</v>
      </c>
      <c r="D26" s="7" t="s">
        <v>62</v>
      </c>
      <c r="F26" s="7">
        <v>0.9</v>
      </c>
      <c r="J26">
        <f>34+36+56</f>
        <v>126</v>
      </c>
      <c r="K26">
        <v>3</v>
      </c>
      <c r="L26">
        <v>56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6.9133349999999965</v>
      </c>
      <c r="P26">
        <f t="shared" si="0"/>
        <v>6.9133349999999965</v>
      </c>
      <c r="S26">
        <f t="shared" si="1"/>
        <v>0.636171975</v>
      </c>
    </row>
    <row r="27" spans="1:19">
      <c r="A27" s="8">
        <v>42809</v>
      </c>
      <c r="B27" s="7" t="s">
        <v>52</v>
      </c>
      <c r="C27" s="7">
        <v>32</v>
      </c>
      <c r="D27" s="7" t="s">
        <v>62</v>
      </c>
      <c r="F27" s="7">
        <v>0.56999999999999995</v>
      </c>
      <c r="J27">
        <f>24+37</f>
        <v>61</v>
      </c>
      <c r="K27">
        <v>2</v>
      </c>
      <c r="L27">
        <v>37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13.565267999999996</v>
      </c>
      <c r="P27">
        <f t="shared" si="0"/>
        <v>13.565267999999996</v>
      </c>
      <c r="S27">
        <f t="shared" si="1"/>
        <v>0.25517564774999996</v>
      </c>
    </row>
    <row r="28" spans="1:19">
      <c r="A28" s="8">
        <v>42809</v>
      </c>
      <c r="B28" s="7" t="s">
        <v>52</v>
      </c>
      <c r="C28">
        <v>31</v>
      </c>
      <c r="D28" s="7" t="s">
        <v>62</v>
      </c>
      <c r="F28" s="7">
        <v>1.1200000000000001</v>
      </c>
      <c r="J28">
        <f>79+41+71+85</f>
        <v>276</v>
      </c>
      <c r="K28">
        <v>4</v>
      </c>
      <c r="L28">
        <v>85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5.2181269999999991</v>
      </c>
      <c r="P28">
        <f t="shared" si="0"/>
        <v>5.2181269999999991</v>
      </c>
      <c r="S28">
        <f t="shared" si="1"/>
        <v>0.98520262400000014</v>
      </c>
    </row>
    <row r="29" spans="1:19">
      <c r="A29" s="8">
        <v>42809</v>
      </c>
      <c r="B29" s="7" t="s">
        <v>52</v>
      </c>
      <c r="C29">
        <v>31</v>
      </c>
      <c r="D29" s="7" t="s">
        <v>62</v>
      </c>
      <c r="F29" s="7">
        <v>0.98</v>
      </c>
      <c r="J29">
        <f>32+23</f>
        <v>55</v>
      </c>
      <c r="K29">
        <v>2</v>
      </c>
      <c r="L29">
        <v>32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14.508962999999998</v>
      </c>
      <c r="P29">
        <f t="shared" si="0"/>
        <v>14.508962999999998</v>
      </c>
      <c r="S29">
        <f t="shared" si="1"/>
        <v>0.7542957589999999</v>
      </c>
    </row>
    <row r="30" spans="1:19">
      <c r="A30" s="8">
        <v>42809</v>
      </c>
      <c r="B30" s="7" t="s">
        <v>52</v>
      </c>
      <c r="C30">
        <v>31</v>
      </c>
      <c r="D30" s="7" t="s">
        <v>62</v>
      </c>
      <c r="F30" s="7">
        <v>0.95</v>
      </c>
      <c r="G30" s="7"/>
      <c r="I30" s="7"/>
      <c r="J30">
        <f>26+29</f>
        <v>55</v>
      </c>
      <c r="K30">
        <v>2</v>
      </c>
      <c r="L30">
        <v>29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15.412697999999999</v>
      </c>
      <c r="P30">
        <f t="shared" si="0"/>
        <v>15.412697999999999</v>
      </c>
      <c r="S30">
        <f t="shared" si="1"/>
        <v>0.70882124375</v>
      </c>
    </row>
    <row r="31" spans="1:19">
      <c r="A31" s="8">
        <v>42809</v>
      </c>
      <c r="B31" s="7" t="s">
        <v>52</v>
      </c>
      <c r="C31">
        <v>31</v>
      </c>
      <c r="D31" s="7" t="s">
        <v>62</v>
      </c>
      <c r="F31" s="7">
        <v>1.47</v>
      </c>
      <c r="G31" s="7"/>
      <c r="J31">
        <f>68+78+92</f>
        <v>238</v>
      </c>
      <c r="K31">
        <v>3</v>
      </c>
      <c r="L31">
        <v>92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6.569074999999998</v>
      </c>
      <c r="P31">
        <f t="shared" si="0"/>
        <v>6.569074999999998</v>
      </c>
      <c r="S31">
        <f t="shared" si="1"/>
        <v>1.6971654577499997</v>
      </c>
    </row>
    <row r="32" spans="1:19">
      <c r="A32" s="8">
        <v>42809</v>
      </c>
      <c r="B32" s="7" t="s">
        <v>52</v>
      </c>
      <c r="C32">
        <v>31</v>
      </c>
      <c r="D32" s="7" t="s">
        <v>62</v>
      </c>
      <c r="F32" s="7">
        <v>0.63</v>
      </c>
      <c r="G32" s="7"/>
      <c r="J32">
        <f>11+11</f>
        <v>22</v>
      </c>
      <c r="K32">
        <v>2</v>
      </c>
      <c r="L32">
        <v>11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17.741192999999999</v>
      </c>
      <c r="P32">
        <f t="shared" si="0"/>
        <v>17.741192999999999</v>
      </c>
      <c r="S32">
        <f t="shared" si="1"/>
        <v>0.31172426775000001</v>
      </c>
    </row>
    <row r="33" spans="1:19">
      <c r="A33" s="8">
        <v>42809</v>
      </c>
      <c r="B33" s="7" t="s">
        <v>52</v>
      </c>
      <c r="C33">
        <v>31</v>
      </c>
      <c r="D33" s="7" t="s">
        <v>62</v>
      </c>
      <c r="F33" s="7">
        <v>1.05</v>
      </c>
      <c r="J33">
        <f>28+36</f>
        <v>64</v>
      </c>
      <c r="K33">
        <v>2</v>
      </c>
      <c r="L33">
        <v>36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14.147777999999999</v>
      </c>
      <c r="P33">
        <f t="shared" si="0"/>
        <v>14.147777999999999</v>
      </c>
      <c r="S33">
        <f t="shared" si="1"/>
        <v>0.86590074375000003</v>
      </c>
    </row>
    <row r="34" spans="1:19">
      <c r="A34" s="8">
        <v>42809</v>
      </c>
      <c r="B34" s="7" t="s">
        <v>52</v>
      </c>
      <c r="C34">
        <v>31</v>
      </c>
      <c r="D34" s="7" t="s">
        <v>62</v>
      </c>
      <c r="F34" s="7">
        <v>1.18</v>
      </c>
      <c r="J34">
        <f>28+59+63</f>
        <v>150</v>
      </c>
      <c r="K34">
        <v>3</v>
      </c>
      <c r="L34">
        <v>63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7.0547399999999989</v>
      </c>
      <c r="P34">
        <f t="shared" si="0"/>
        <v>7.0547399999999989</v>
      </c>
      <c r="S34">
        <f t="shared" si="1"/>
        <v>1.0935874789999998</v>
      </c>
    </row>
    <row r="35" spans="1:19">
      <c r="A35" s="8">
        <v>42809</v>
      </c>
      <c r="B35" s="7" t="s">
        <v>52</v>
      </c>
      <c r="C35">
        <v>31</v>
      </c>
      <c r="D35" s="7" t="s">
        <v>62</v>
      </c>
      <c r="F35" s="7">
        <v>1.03</v>
      </c>
      <c r="G35" s="7"/>
      <c r="J35">
        <f>33+40+59</f>
        <v>132</v>
      </c>
      <c r="K35">
        <v>3</v>
      </c>
      <c r="L35">
        <v>59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6.5721299999999978</v>
      </c>
      <c r="P35">
        <f t="shared" si="0"/>
        <v>6.5721299999999978</v>
      </c>
      <c r="S35">
        <f t="shared" si="1"/>
        <v>0.83322820774999995</v>
      </c>
    </row>
    <row r="36" spans="1:19">
      <c r="A36" s="8">
        <v>42809</v>
      </c>
      <c r="B36" s="7" t="s">
        <v>52</v>
      </c>
      <c r="C36">
        <v>31</v>
      </c>
      <c r="D36" s="7" t="s">
        <v>62</v>
      </c>
      <c r="F36" s="7">
        <v>0.97</v>
      </c>
      <c r="G36" s="7"/>
      <c r="J36">
        <f>51+51+72</f>
        <v>174</v>
      </c>
      <c r="K36">
        <v>3</v>
      </c>
      <c r="L36">
        <v>72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6.5936550000000018</v>
      </c>
      <c r="P36">
        <f t="shared" si="0"/>
        <v>6.5936550000000018</v>
      </c>
      <c r="S36">
        <f t="shared" ref="S36:S67" si="2">3.14159*((F36/2)^2)</f>
        <v>0.7389805077499999</v>
      </c>
    </row>
    <row r="37" spans="1:19">
      <c r="A37" s="8">
        <v>42809</v>
      </c>
      <c r="B37" s="7" t="s">
        <v>52</v>
      </c>
      <c r="C37">
        <v>31</v>
      </c>
      <c r="D37" s="7" t="s">
        <v>62</v>
      </c>
      <c r="F37" s="7">
        <v>0.63</v>
      </c>
      <c r="G37" s="7"/>
      <c r="J37">
        <f>22+45+45</f>
        <v>112</v>
      </c>
      <c r="K37">
        <v>3</v>
      </c>
      <c r="L37">
        <v>45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8.9144599999999983</v>
      </c>
      <c r="P37">
        <f t="shared" si="0"/>
        <v>8.9144599999999983</v>
      </c>
      <c r="S37">
        <f t="shared" si="2"/>
        <v>0.31172426775000001</v>
      </c>
    </row>
    <row r="38" spans="1:19">
      <c r="A38" s="8">
        <v>42809</v>
      </c>
      <c r="B38" s="7" t="s">
        <v>52</v>
      </c>
      <c r="C38">
        <v>31</v>
      </c>
      <c r="D38" s="7" t="s">
        <v>62</v>
      </c>
      <c r="F38" s="7">
        <v>0.84</v>
      </c>
      <c r="J38">
        <f>27+25+32</f>
        <v>84</v>
      </c>
      <c r="K38">
        <v>3</v>
      </c>
      <c r="L38">
        <v>41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7.4942999999999955</v>
      </c>
      <c r="P38">
        <f t="shared" si="0"/>
        <v>7.4942999999999955</v>
      </c>
      <c r="S38">
        <f t="shared" si="2"/>
        <v>0.55417647599999986</v>
      </c>
    </row>
    <row r="39" spans="1:19">
      <c r="A39" s="8">
        <v>42809</v>
      </c>
      <c r="B39" s="7" t="s">
        <v>52</v>
      </c>
      <c r="C39">
        <v>31</v>
      </c>
      <c r="D39" s="7" t="s">
        <v>62</v>
      </c>
      <c r="F39" s="7">
        <v>0.7</v>
      </c>
      <c r="G39" s="7"/>
      <c r="J39">
        <f>16+17+24</f>
        <v>57</v>
      </c>
      <c r="K39">
        <v>3</v>
      </c>
      <c r="L39">
        <v>24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10.084079999999997</v>
      </c>
      <c r="P39">
        <f t="shared" si="0"/>
        <v>10.084079999999997</v>
      </c>
      <c r="S39">
        <f t="shared" si="2"/>
        <v>0.38484477499999992</v>
      </c>
    </row>
    <row r="40" spans="1:19">
      <c r="A40" s="8">
        <v>42809</v>
      </c>
      <c r="B40" s="7" t="s">
        <v>52</v>
      </c>
      <c r="C40">
        <v>31</v>
      </c>
      <c r="D40" s="7" t="s">
        <v>62</v>
      </c>
      <c r="F40" s="7">
        <v>1.56</v>
      </c>
      <c r="G40" s="7"/>
      <c r="J40">
        <f>43+34+34</f>
        <v>111</v>
      </c>
      <c r="K40">
        <v>3</v>
      </c>
      <c r="L40">
        <v>43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9.4231949999999998</v>
      </c>
      <c r="P40">
        <f t="shared" si="0"/>
        <v>9.4231949999999998</v>
      </c>
      <c r="S40">
        <f t="shared" si="2"/>
        <v>1.9113433560000002</v>
      </c>
    </row>
    <row r="41" spans="1:19">
      <c r="A41" s="8">
        <v>42809</v>
      </c>
      <c r="B41" s="7" t="s">
        <v>52</v>
      </c>
      <c r="C41">
        <v>31</v>
      </c>
      <c r="D41" s="7" t="s">
        <v>62</v>
      </c>
      <c r="F41" s="7">
        <v>0.84</v>
      </c>
      <c r="G41" s="7"/>
      <c r="J41">
        <f>27+25+32</f>
        <v>84</v>
      </c>
      <c r="K41">
        <v>3</v>
      </c>
      <c r="L41">
        <v>32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10.205504999999995</v>
      </c>
      <c r="P41">
        <f t="shared" si="0"/>
        <v>10.205504999999995</v>
      </c>
      <c r="S41">
        <f t="shared" si="2"/>
        <v>0.55417647599999986</v>
      </c>
    </row>
    <row r="42" spans="1:19">
      <c r="A42" s="8">
        <v>42809</v>
      </c>
      <c r="B42" s="7" t="s">
        <v>52</v>
      </c>
      <c r="C42">
        <v>31</v>
      </c>
      <c r="D42" s="7" t="s">
        <v>62</v>
      </c>
      <c r="F42" s="7">
        <v>0.88</v>
      </c>
      <c r="J42">
        <f>18+18+20</f>
        <v>56</v>
      </c>
      <c r="K42">
        <v>3</v>
      </c>
      <c r="L42">
        <v>20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11.195304999999998</v>
      </c>
      <c r="P42">
        <f t="shared" si="0"/>
        <v>11.195304999999998</v>
      </c>
      <c r="S42">
        <f t="shared" si="2"/>
        <v>0.60821182399999996</v>
      </c>
    </row>
    <row r="43" spans="1:19">
      <c r="A43" s="8">
        <v>42809</v>
      </c>
      <c r="B43" s="7" t="s">
        <v>52</v>
      </c>
      <c r="C43">
        <v>31</v>
      </c>
      <c r="D43" s="7" t="s">
        <v>62</v>
      </c>
      <c r="F43" s="7">
        <v>1.0900000000000001</v>
      </c>
      <c r="G43" s="7"/>
      <c r="J43">
        <f>13+14</f>
        <v>27</v>
      </c>
      <c r="K43">
        <v>2</v>
      </c>
      <c r="L43">
        <v>14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17.306232999999999</v>
      </c>
      <c r="P43">
        <f t="shared" si="0"/>
        <v>17.306232999999999</v>
      </c>
      <c r="S43">
        <f t="shared" si="2"/>
        <v>0.93313076975000009</v>
      </c>
    </row>
    <row r="44" spans="1:19">
      <c r="A44" s="8">
        <v>42809</v>
      </c>
      <c r="B44" s="7" t="s">
        <v>52</v>
      </c>
      <c r="C44">
        <v>31</v>
      </c>
      <c r="D44" s="7" t="s">
        <v>62</v>
      </c>
      <c r="F44" s="7">
        <v>1.1399999999999999</v>
      </c>
      <c r="G44" s="7"/>
      <c r="J44">
        <f>44+56</f>
        <v>100</v>
      </c>
      <c r="K44">
        <v>2</v>
      </c>
      <c r="L44">
        <v>56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11.498057999999997</v>
      </c>
      <c r="P44">
        <f t="shared" si="0"/>
        <v>11.498057999999997</v>
      </c>
      <c r="S44">
        <f t="shared" si="2"/>
        <v>1.0207025909999998</v>
      </c>
    </row>
    <row r="45" spans="1:19">
      <c r="A45" s="8">
        <v>42809</v>
      </c>
      <c r="B45" s="7" t="s">
        <v>52</v>
      </c>
      <c r="C45">
        <v>31</v>
      </c>
      <c r="D45" s="7" t="s">
        <v>62</v>
      </c>
      <c r="F45" s="7">
        <v>0.6</v>
      </c>
      <c r="G45" s="7"/>
      <c r="I45" s="7"/>
      <c r="J45" s="7">
        <f>25+27</f>
        <v>52</v>
      </c>
      <c r="K45">
        <v>2</v>
      </c>
      <c r="L45">
        <v>27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15.733922999999997</v>
      </c>
      <c r="P45">
        <f t="shared" si="0"/>
        <v>15.733922999999997</v>
      </c>
      <c r="S45">
        <f t="shared" si="2"/>
        <v>0.28274309999999997</v>
      </c>
    </row>
    <row r="46" spans="1:19">
      <c r="A46" s="8">
        <v>42809</v>
      </c>
      <c r="B46" s="7" t="s">
        <v>52</v>
      </c>
      <c r="C46">
        <v>31</v>
      </c>
      <c r="D46" s="7" t="s">
        <v>62</v>
      </c>
      <c r="F46" s="7">
        <v>0.53</v>
      </c>
      <c r="G46" s="7"/>
      <c r="J46" s="7">
        <f>9</f>
        <v>9</v>
      </c>
      <c r="K46">
        <v>1</v>
      </c>
      <c r="L46">
        <v>9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24.147220999999998</v>
      </c>
      <c r="P46">
        <f t="shared" si="0"/>
        <v>24.147220999999998</v>
      </c>
      <c r="S46">
        <f t="shared" si="2"/>
        <v>0.22061815775000002</v>
      </c>
    </row>
    <row r="47" spans="1:19">
      <c r="A47" s="8">
        <v>42809</v>
      </c>
      <c r="B47" s="7" t="s">
        <v>52</v>
      </c>
      <c r="C47">
        <v>31</v>
      </c>
      <c r="D47" s="7" t="s">
        <v>62</v>
      </c>
      <c r="F47" s="7">
        <v>0.72</v>
      </c>
      <c r="J47">
        <f>12+23+31</f>
        <v>66</v>
      </c>
      <c r="K47">
        <v>3</v>
      </c>
      <c r="L47">
        <v>31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8.8191599999999966</v>
      </c>
      <c r="P47">
        <f t="shared" si="0"/>
        <v>8.8191599999999966</v>
      </c>
      <c r="S47">
        <f t="shared" si="2"/>
        <v>0.40715006399999998</v>
      </c>
    </row>
    <row r="48" spans="1:19">
      <c r="A48" s="8">
        <v>42809</v>
      </c>
      <c r="B48" s="7" t="s">
        <v>52</v>
      </c>
      <c r="C48">
        <v>31</v>
      </c>
      <c r="D48" s="7" t="s">
        <v>62</v>
      </c>
      <c r="F48" s="7">
        <v>0.82</v>
      </c>
      <c r="G48" s="7"/>
      <c r="I48" s="7"/>
      <c r="J48">
        <f>18+26+39</f>
        <v>83</v>
      </c>
      <c r="K48">
        <v>3</v>
      </c>
      <c r="L48">
        <v>39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8.003034999999997</v>
      </c>
      <c r="P48">
        <f t="shared" si="0"/>
        <v>8.003034999999997</v>
      </c>
      <c r="S48">
        <f t="shared" si="2"/>
        <v>0.52810127899999992</v>
      </c>
    </row>
    <row r="49" spans="1:19">
      <c r="A49" s="8">
        <v>42809</v>
      </c>
      <c r="B49" s="7" t="s">
        <v>52</v>
      </c>
      <c r="C49">
        <v>31</v>
      </c>
      <c r="D49" s="7" t="s">
        <v>62</v>
      </c>
      <c r="F49" s="7">
        <v>0.71</v>
      </c>
      <c r="G49" s="7"/>
      <c r="I49" s="7"/>
      <c r="J49">
        <f>20+20</f>
        <v>40</v>
      </c>
      <c r="K49">
        <v>2</v>
      </c>
      <c r="L49">
        <v>20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16.717578</v>
      </c>
      <c r="P49">
        <f t="shared" si="0"/>
        <v>16.717578</v>
      </c>
      <c r="S49">
        <f t="shared" si="2"/>
        <v>0.39591887974999995</v>
      </c>
    </row>
    <row r="50" spans="1:19">
      <c r="A50" s="8">
        <v>42809</v>
      </c>
      <c r="B50" s="7" t="s">
        <v>52</v>
      </c>
      <c r="C50">
        <v>31</v>
      </c>
      <c r="D50" s="7" t="s">
        <v>62</v>
      </c>
      <c r="F50" s="7">
        <v>0.89</v>
      </c>
      <c r="J50">
        <f>34+40+53</f>
        <v>127</v>
      </c>
      <c r="K50">
        <v>3</v>
      </c>
      <c r="L50">
        <v>53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7.9108249999999956</v>
      </c>
      <c r="P50">
        <f t="shared" si="0"/>
        <v>7.9108249999999956</v>
      </c>
      <c r="S50">
        <f t="shared" si="2"/>
        <v>0.62211335975000004</v>
      </c>
    </row>
    <row r="51" spans="1:19">
      <c r="A51" s="8">
        <v>42809</v>
      </c>
      <c r="B51" s="7" t="s">
        <v>52</v>
      </c>
      <c r="C51">
        <v>31</v>
      </c>
      <c r="D51" s="7" t="s">
        <v>62</v>
      </c>
      <c r="F51" s="7">
        <v>0.55000000000000004</v>
      </c>
      <c r="G51" s="7"/>
      <c r="I51" s="7"/>
      <c r="J51">
        <f>6+11+10</f>
        <v>27</v>
      </c>
      <c r="K51">
        <v>3</v>
      </c>
      <c r="L51">
        <v>11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11.187614999999997</v>
      </c>
      <c r="P51">
        <f t="shared" si="0"/>
        <v>11.187614999999997</v>
      </c>
      <c r="S51">
        <f t="shared" si="2"/>
        <v>0.23758274375000002</v>
      </c>
    </row>
    <row r="52" spans="1:19">
      <c r="A52" s="8">
        <v>42809</v>
      </c>
      <c r="B52" s="7" t="s">
        <v>52</v>
      </c>
      <c r="C52">
        <v>31</v>
      </c>
      <c r="D52" s="7" t="s">
        <v>62</v>
      </c>
      <c r="F52" s="7">
        <v>0.73</v>
      </c>
      <c r="G52" s="7"/>
      <c r="J52">
        <f>9+13+16+26+29</f>
        <v>93</v>
      </c>
      <c r="K52">
        <v>5</v>
      </c>
      <c r="L52">
        <v>29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-2.0916710000000052</v>
      </c>
      <c r="P52" t="str">
        <f t="shared" ref="P52:P60" si="3">IF(O52&lt;0," ",O52)</f>
        <v xml:space="preserve"> </v>
      </c>
      <c r="S52">
        <f t="shared" si="2"/>
        <v>0.41853832774999994</v>
      </c>
    </row>
    <row r="53" spans="1:19">
      <c r="A53" s="8">
        <v>42809</v>
      </c>
      <c r="B53" s="7" t="s">
        <v>52</v>
      </c>
      <c r="C53" s="7">
        <v>19</v>
      </c>
      <c r="D53" s="7" t="s">
        <v>61</v>
      </c>
      <c r="F53" s="7">
        <v>1</v>
      </c>
      <c r="G53" s="7">
        <v>65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0</v>
      </c>
      <c r="P53">
        <f t="shared" si="3"/>
        <v>0</v>
      </c>
      <c r="S53">
        <f t="shared" si="2"/>
        <v>0.78539749999999997</v>
      </c>
    </row>
    <row r="54" spans="1:19">
      <c r="A54" s="8">
        <v>42809</v>
      </c>
      <c r="B54" s="7" t="s">
        <v>52</v>
      </c>
      <c r="C54" s="7">
        <v>19</v>
      </c>
      <c r="D54" s="7" t="s">
        <v>61</v>
      </c>
      <c r="F54" s="7">
        <v>1.2</v>
      </c>
      <c r="G54">
        <v>61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0</v>
      </c>
      <c r="P54">
        <f t="shared" si="3"/>
        <v>0</v>
      </c>
      <c r="S54">
        <f t="shared" si="2"/>
        <v>1.1309723999999999</v>
      </c>
    </row>
    <row r="55" spans="1:19">
      <c r="A55" s="8">
        <v>42809</v>
      </c>
      <c r="B55" s="7" t="s">
        <v>52</v>
      </c>
      <c r="C55" s="7">
        <v>19</v>
      </c>
      <c r="D55" s="7" t="s">
        <v>61</v>
      </c>
      <c r="F55" s="7">
        <v>1.1499999999999999</v>
      </c>
      <c r="G55">
        <v>218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0</v>
      </c>
      <c r="P55">
        <f t="shared" si="3"/>
        <v>0</v>
      </c>
      <c r="S55">
        <f t="shared" si="2"/>
        <v>1.0386881937499999</v>
      </c>
    </row>
    <row r="56" spans="1:19">
      <c r="A56" s="8">
        <v>42809</v>
      </c>
      <c r="B56" s="7" t="s">
        <v>52</v>
      </c>
      <c r="C56" s="7">
        <v>19</v>
      </c>
      <c r="D56" s="7" t="s">
        <v>61</v>
      </c>
      <c r="F56" s="7">
        <v>1.57</v>
      </c>
      <c r="G56" s="7">
        <v>286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0</v>
      </c>
      <c r="P56">
        <f t="shared" si="3"/>
        <v>0</v>
      </c>
      <c r="S56">
        <f t="shared" si="2"/>
        <v>1.93592629775</v>
      </c>
    </row>
    <row r="57" spans="1:19">
      <c r="A57" s="8">
        <v>42809</v>
      </c>
      <c r="B57" s="7" t="s">
        <v>52</v>
      </c>
      <c r="C57" s="7">
        <v>19</v>
      </c>
      <c r="D57" s="7" t="s">
        <v>61</v>
      </c>
      <c r="F57" s="7">
        <v>1.79</v>
      </c>
      <c r="G57" s="7">
        <v>268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0</v>
      </c>
      <c r="P57">
        <f t="shared" si="3"/>
        <v>0</v>
      </c>
      <c r="S57">
        <f t="shared" si="2"/>
        <v>2.51649212975</v>
      </c>
    </row>
    <row r="58" spans="1:19">
      <c r="A58" s="8">
        <v>42809</v>
      </c>
      <c r="B58" s="7" t="s">
        <v>52</v>
      </c>
      <c r="C58" s="7">
        <v>19</v>
      </c>
      <c r="D58" s="7" t="s">
        <v>61</v>
      </c>
      <c r="F58" s="7">
        <v>1.04</v>
      </c>
      <c r="G58">
        <v>106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0</v>
      </c>
      <c r="P58">
        <f t="shared" si="3"/>
        <v>0</v>
      </c>
      <c r="S58">
        <f t="shared" si="2"/>
        <v>0.84948593600000011</v>
      </c>
    </row>
    <row r="59" spans="1:19">
      <c r="A59" s="8">
        <v>42809</v>
      </c>
      <c r="B59" s="7" t="s">
        <v>52</v>
      </c>
      <c r="C59" s="7">
        <v>19</v>
      </c>
      <c r="D59" s="7" t="s">
        <v>61</v>
      </c>
      <c r="F59" s="7">
        <v>1.2</v>
      </c>
      <c r="G59">
        <v>75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0</v>
      </c>
      <c r="P59">
        <f t="shared" si="3"/>
        <v>0</v>
      </c>
      <c r="S59">
        <f t="shared" si="2"/>
        <v>1.1309723999999999</v>
      </c>
    </row>
    <row r="60" spans="1:19">
      <c r="A60" s="8">
        <v>42809</v>
      </c>
      <c r="B60" s="7" t="s">
        <v>52</v>
      </c>
      <c r="C60" s="7">
        <v>19</v>
      </c>
      <c r="D60" s="7" t="s">
        <v>61</v>
      </c>
      <c r="F60" s="7">
        <v>1.02</v>
      </c>
      <c r="G60">
        <v>43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0</v>
      </c>
      <c r="P60">
        <f t="shared" si="3"/>
        <v>0</v>
      </c>
      <c r="S60">
        <f t="shared" si="2"/>
        <v>0.817127559</v>
      </c>
    </row>
    <row r="61" spans="1:19">
      <c r="A61" s="8">
        <v>42809</v>
      </c>
      <c r="B61" s="7" t="s">
        <v>52</v>
      </c>
      <c r="C61" s="7">
        <v>19</v>
      </c>
      <c r="D61" s="7" t="s">
        <v>62</v>
      </c>
      <c r="F61" s="7">
        <v>1.03</v>
      </c>
      <c r="J61">
        <f>28+46+58+62</f>
        <v>194</v>
      </c>
      <c r="K61">
        <v>4</v>
      </c>
      <c r="L61">
        <v>62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4.4588520000000003</v>
      </c>
      <c r="P61">
        <f t="shared" ref="P61:P124" si="4">IF(O61&lt;0," ",O61)</f>
        <v>4.4588520000000003</v>
      </c>
      <c r="S61">
        <f t="shared" si="2"/>
        <v>0.83322820774999995</v>
      </c>
    </row>
    <row r="62" spans="1:19">
      <c r="A62" s="8">
        <v>42809</v>
      </c>
      <c r="B62" s="7" t="s">
        <v>52</v>
      </c>
      <c r="C62" s="7">
        <v>19</v>
      </c>
      <c r="D62" s="7" t="s">
        <v>62</v>
      </c>
      <c r="F62" s="7">
        <v>0.52</v>
      </c>
      <c r="J62">
        <f>15+19</f>
        <v>34</v>
      </c>
      <c r="K62">
        <v>2</v>
      </c>
      <c r="L62">
        <v>19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16.456292999999999</v>
      </c>
      <c r="P62">
        <f t="shared" si="4"/>
        <v>16.456292999999999</v>
      </c>
      <c r="S62">
        <f t="shared" si="2"/>
        <v>0.21237148400000003</v>
      </c>
    </row>
    <row r="63" spans="1:19">
      <c r="A63" s="8">
        <v>42809</v>
      </c>
      <c r="B63" s="7" t="s">
        <v>52</v>
      </c>
      <c r="C63" s="7">
        <v>19</v>
      </c>
      <c r="D63" s="7" t="s">
        <v>62</v>
      </c>
      <c r="F63" s="7">
        <v>1.19</v>
      </c>
      <c r="J63">
        <f>33+65+67</f>
        <v>165</v>
      </c>
      <c r="K63">
        <v>3</v>
      </c>
      <c r="L63">
        <v>67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7.2560849999999988</v>
      </c>
      <c r="P63">
        <f t="shared" si="4"/>
        <v>7.2560849999999988</v>
      </c>
      <c r="S63">
        <f t="shared" si="2"/>
        <v>1.11220139975</v>
      </c>
    </row>
    <row r="64" spans="1:19">
      <c r="A64" s="8">
        <v>42809</v>
      </c>
      <c r="B64" s="7" t="s">
        <v>52</v>
      </c>
      <c r="C64" s="7">
        <v>19</v>
      </c>
      <c r="D64" s="7" t="s">
        <v>62</v>
      </c>
      <c r="F64" s="7">
        <v>0.63</v>
      </c>
      <c r="J64">
        <f>12+14</f>
        <v>26</v>
      </c>
      <c r="K64">
        <v>2</v>
      </c>
      <c r="L64">
        <v>14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17.212477999999997</v>
      </c>
      <c r="P64">
        <f t="shared" si="4"/>
        <v>17.212477999999997</v>
      </c>
      <c r="S64">
        <f t="shared" si="2"/>
        <v>0.31172426775000001</v>
      </c>
    </row>
    <row r="65" spans="1:19">
      <c r="A65" s="8">
        <v>42809</v>
      </c>
      <c r="B65" s="7" t="s">
        <v>52</v>
      </c>
      <c r="C65" s="7">
        <v>19</v>
      </c>
      <c r="D65" s="7" t="s">
        <v>62</v>
      </c>
      <c r="F65" s="7">
        <v>1.1599999999999999</v>
      </c>
      <c r="J65">
        <f>22+41+38+50</f>
        <v>151</v>
      </c>
      <c r="K65">
        <v>4</v>
      </c>
      <c r="L65">
        <v>50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4.0423270000000002</v>
      </c>
      <c r="P65">
        <f t="shared" si="4"/>
        <v>4.0423270000000002</v>
      </c>
      <c r="S65">
        <f t="shared" si="2"/>
        <v>1.0568308759999998</v>
      </c>
    </row>
    <row r="66" spans="1:19">
      <c r="A66" s="8">
        <v>42809</v>
      </c>
      <c r="B66" s="7" t="s">
        <v>52</v>
      </c>
      <c r="C66" s="7">
        <v>19</v>
      </c>
      <c r="D66" s="7" t="s">
        <v>62</v>
      </c>
      <c r="F66" s="7">
        <v>1.24</v>
      </c>
      <c r="J66">
        <f>43+67+126+121</f>
        <v>357</v>
      </c>
      <c r="K66">
        <v>4</v>
      </c>
      <c r="L66">
        <v>126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0.46123700000000412</v>
      </c>
      <c r="P66">
        <f t="shared" si="4"/>
        <v>0.46123700000000412</v>
      </c>
      <c r="S66">
        <f t="shared" si="2"/>
        <v>1.207627196</v>
      </c>
    </row>
    <row r="67" spans="1:19">
      <c r="A67" s="8">
        <v>42809</v>
      </c>
      <c r="B67" s="7" t="s">
        <v>52</v>
      </c>
      <c r="C67" s="7">
        <v>19</v>
      </c>
      <c r="D67" s="7" t="s">
        <v>62</v>
      </c>
      <c r="F67" s="7">
        <v>1.05</v>
      </c>
      <c r="J67">
        <f>18+24+35+38</f>
        <v>115</v>
      </c>
      <c r="K67">
        <v>4</v>
      </c>
      <c r="L67">
        <v>38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4.2820869999999971</v>
      </c>
      <c r="P67">
        <f t="shared" si="4"/>
        <v>4.2820869999999971</v>
      </c>
      <c r="S67">
        <f t="shared" si="2"/>
        <v>0.86590074375000003</v>
      </c>
    </row>
    <row r="68" spans="1:19">
      <c r="A68" s="8">
        <v>42809</v>
      </c>
      <c r="B68" s="7" t="s">
        <v>52</v>
      </c>
      <c r="C68" s="7">
        <v>19</v>
      </c>
      <c r="D68" s="7" t="s">
        <v>62</v>
      </c>
      <c r="F68" s="7">
        <v>1.07</v>
      </c>
      <c r="J68">
        <f>52+56</f>
        <v>108</v>
      </c>
      <c r="K68">
        <v>2</v>
      </c>
      <c r="L68">
        <v>56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12.248097999999999</v>
      </c>
      <c r="P68">
        <f t="shared" si="4"/>
        <v>12.248097999999999</v>
      </c>
      <c r="S68">
        <f t="shared" ref="S68:S81" si="5">3.14159*((F68/2)^2)</f>
        <v>0.89920159774999997</v>
      </c>
    </row>
    <row r="69" spans="1:19">
      <c r="A69" s="8">
        <v>42809</v>
      </c>
      <c r="B69" s="7" t="s">
        <v>52</v>
      </c>
      <c r="C69" s="7">
        <v>12</v>
      </c>
      <c r="D69" s="7" t="s">
        <v>62</v>
      </c>
      <c r="F69" s="7">
        <v>3.2</v>
      </c>
      <c r="J69">
        <f>148+184+231+248</f>
        <v>811</v>
      </c>
      <c r="K69">
        <v>4</v>
      </c>
      <c r="L69">
        <v>248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6.274117000000011</v>
      </c>
      <c r="P69">
        <f t="shared" si="4"/>
        <v>6.274117000000011</v>
      </c>
      <c r="S69">
        <f t="shared" si="5"/>
        <v>8.0424704000000009</v>
      </c>
    </row>
    <row r="70" spans="1:19">
      <c r="A70" s="8">
        <v>42809</v>
      </c>
      <c r="B70" s="7" t="s">
        <v>52</v>
      </c>
      <c r="C70" s="7">
        <v>12</v>
      </c>
      <c r="D70" s="7" t="s">
        <v>62</v>
      </c>
      <c r="F70" s="7">
        <v>1.38</v>
      </c>
      <c r="J70" s="7">
        <f>43+98+99+99+142+153</f>
        <v>634</v>
      </c>
      <c r="K70">
        <v>6</v>
      </c>
      <c r="L70">
        <v>153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4.2530509999999992</v>
      </c>
      <c r="P70">
        <f t="shared" si="4"/>
        <v>4.2530509999999992</v>
      </c>
      <c r="S70">
        <f t="shared" si="5"/>
        <v>1.4957109989999997</v>
      </c>
    </row>
    <row r="71" spans="1:19">
      <c r="A71" s="8">
        <v>42809</v>
      </c>
      <c r="B71" s="7" t="s">
        <v>52</v>
      </c>
      <c r="C71" s="7">
        <v>12</v>
      </c>
      <c r="D71" s="7" t="s">
        <v>62</v>
      </c>
      <c r="F71" s="7">
        <v>0.68</v>
      </c>
      <c r="J71" s="7">
        <f>16+32</f>
        <v>48</v>
      </c>
      <c r="K71">
        <v>2</v>
      </c>
      <c r="L71">
        <v>32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13.852677999999997</v>
      </c>
      <c r="P71">
        <f t="shared" si="4"/>
        <v>13.852677999999997</v>
      </c>
      <c r="S71">
        <f t="shared" si="5"/>
        <v>0.36316780400000004</v>
      </c>
    </row>
    <row r="72" spans="1:19">
      <c r="A72" s="8">
        <v>42809</v>
      </c>
      <c r="B72" s="7" t="s">
        <v>52</v>
      </c>
      <c r="C72" s="7">
        <v>12</v>
      </c>
      <c r="D72" s="7" t="s">
        <v>62</v>
      </c>
      <c r="F72" s="7">
        <v>1.37</v>
      </c>
      <c r="J72" s="7">
        <f>67+72+118+134+143</f>
        <v>534</v>
      </c>
      <c r="K72">
        <v>5</v>
      </c>
      <c r="L72">
        <v>143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4.9123540000000006</v>
      </c>
      <c r="P72">
        <f t="shared" si="4"/>
        <v>4.9123540000000006</v>
      </c>
      <c r="S72">
        <f t="shared" si="5"/>
        <v>1.4741125677500002</v>
      </c>
    </row>
    <row r="73" spans="1:19">
      <c r="A73" s="8">
        <v>42809</v>
      </c>
      <c r="B73" s="7" t="s">
        <v>52</v>
      </c>
      <c r="C73" s="7">
        <v>12</v>
      </c>
      <c r="D73" s="7" t="s">
        <v>62</v>
      </c>
      <c r="F73" s="7">
        <v>1.1599999999999999</v>
      </c>
      <c r="J73" s="7">
        <f>56+59+77+83</f>
        <v>275</v>
      </c>
      <c r="K73">
        <v>4</v>
      </c>
      <c r="L73">
        <v>83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5.7268620000000006</v>
      </c>
      <c r="P73">
        <f t="shared" si="4"/>
        <v>5.7268620000000006</v>
      </c>
      <c r="S73">
        <f t="shared" si="5"/>
        <v>1.0568308759999998</v>
      </c>
    </row>
    <row r="74" spans="1:19">
      <c r="A74" s="8">
        <v>42809</v>
      </c>
      <c r="B74" s="7" t="s">
        <v>52</v>
      </c>
      <c r="C74" s="7">
        <v>12</v>
      </c>
      <c r="D74" s="7" t="s">
        <v>62</v>
      </c>
      <c r="F74" s="7">
        <v>0.8</v>
      </c>
      <c r="J74" s="7">
        <f>28+43+53</f>
        <v>124</v>
      </c>
      <c r="K74">
        <v>3</v>
      </c>
      <c r="L74">
        <v>53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7.6295599999999979</v>
      </c>
      <c r="P74">
        <f t="shared" si="4"/>
        <v>7.6295599999999979</v>
      </c>
      <c r="S74">
        <f t="shared" si="5"/>
        <v>0.50265440000000006</v>
      </c>
    </row>
    <row r="75" spans="1:19">
      <c r="A75" s="8">
        <v>42809</v>
      </c>
      <c r="B75" s="7" t="s">
        <v>52</v>
      </c>
      <c r="C75" s="7">
        <v>12</v>
      </c>
      <c r="D75" s="7" t="s">
        <v>62</v>
      </c>
      <c r="F75" s="7">
        <v>0.66</v>
      </c>
      <c r="J75" s="7">
        <f>44+65+72</f>
        <v>181</v>
      </c>
      <c r="K75">
        <v>3</v>
      </c>
      <c r="L75">
        <v>72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7.2499399999999987</v>
      </c>
      <c r="P75">
        <f t="shared" si="4"/>
        <v>7.2499399999999987</v>
      </c>
      <c r="S75">
        <f t="shared" si="5"/>
        <v>0.34211915100000001</v>
      </c>
    </row>
    <row r="76" spans="1:19">
      <c r="A76" s="8">
        <v>42809</v>
      </c>
      <c r="B76" s="7" t="s">
        <v>52</v>
      </c>
      <c r="C76" s="7">
        <v>12</v>
      </c>
      <c r="D76" s="7" t="s">
        <v>62</v>
      </c>
      <c r="F76" s="7">
        <v>1.95</v>
      </c>
      <c r="J76" s="7">
        <f>116+155+176+179</f>
        <v>626</v>
      </c>
      <c r="K76">
        <v>4</v>
      </c>
      <c r="L76">
        <v>179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9.7153470000000048</v>
      </c>
      <c r="P76">
        <f t="shared" si="4"/>
        <v>9.7153470000000048</v>
      </c>
      <c r="S76">
        <f t="shared" si="5"/>
        <v>2.9864739937499998</v>
      </c>
    </row>
    <row r="77" spans="1:19">
      <c r="A77" s="8">
        <v>42809</v>
      </c>
      <c r="B77" s="7" t="s">
        <v>52</v>
      </c>
      <c r="C77" s="7">
        <v>12</v>
      </c>
      <c r="D77" s="7" t="s">
        <v>62</v>
      </c>
      <c r="F77" s="7">
        <v>1.51</v>
      </c>
      <c r="J77">
        <f>79+81+130+172</f>
        <v>462</v>
      </c>
      <c r="K77">
        <v>4</v>
      </c>
      <c r="L77">
        <v>172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-3.5517579999999995</v>
      </c>
      <c r="P77" t="str">
        <f t="shared" si="4"/>
        <v xml:space="preserve"> </v>
      </c>
      <c r="S77">
        <f t="shared" si="5"/>
        <v>1.7907848397499999</v>
      </c>
    </row>
    <row r="78" spans="1:19">
      <c r="A78" s="8">
        <v>42809</v>
      </c>
      <c r="B78" s="7" t="s">
        <v>52</v>
      </c>
      <c r="C78" s="7">
        <v>12</v>
      </c>
      <c r="D78" s="7" t="s">
        <v>62</v>
      </c>
      <c r="F78" s="7">
        <v>1.39</v>
      </c>
      <c r="J78">
        <f>93+109+136+147</f>
        <v>485</v>
      </c>
      <c r="K78">
        <v>4</v>
      </c>
      <c r="L78">
        <v>147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6.1357320000000009</v>
      </c>
      <c r="P78">
        <f t="shared" si="4"/>
        <v>6.1357320000000009</v>
      </c>
      <c r="S78">
        <f t="shared" si="5"/>
        <v>1.5174665097499997</v>
      </c>
    </row>
    <row r="79" spans="1:19">
      <c r="A79" s="8">
        <v>42809</v>
      </c>
      <c r="B79" s="7" t="s">
        <v>52</v>
      </c>
      <c r="C79" s="7">
        <v>12</v>
      </c>
      <c r="D79" s="7" t="s">
        <v>62</v>
      </c>
      <c r="F79" s="7">
        <v>0.91</v>
      </c>
      <c r="J79">
        <f>14+32+47+54</f>
        <v>147</v>
      </c>
      <c r="K79">
        <v>4</v>
      </c>
      <c r="L79">
        <v>54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2.4623270000000019</v>
      </c>
      <c r="P79">
        <f t="shared" si="4"/>
        <v>2.4623270000000019</v>
      </c>
      <c r="S79">
        <f t="shared" si="5"/>
        <v>0.65038766975000006</v>
      </c>
    </row>
    <row r="80" spans="1:19">
      <c r="A80" s="8">
        <v>42809</v>
      </c>
      <c r="B80" s="7" t="s">
        <v>52</v>
      </c>
      <c r="C80" s="7">
        <v>12</v>
      </c>
      <c r="D80" s="7" t="s">
        <v>62</v>
      </c>
      <c r="F80" s="7">
        <v>1.38</v>
      </c>
      <c r="J80">
        <f>59+76+92+105</f>
        <v>332</v>
      </c>
      <c r="K80">
        <v>4</v>
      </c>
      <c r="L80">
        <v>105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4.4435070000000003</v>
      </c>
      <c r="P80">
        <f t="shared" si="4"/>
        <v>4.4435070000000003</v>
      </c>
      <c r="S80">
        <f t="shared" si="5"/>
        <v>1.4957109989999997</v>
      </c>
    </row>
    <row r="81" spans="1:19">
      <c r="A81" s="8">
        <v>42809</v>
      </c>
      <c r="B81" s="7" t="s">
        <v>52</v>
      </c>
      <c r="C81" s="7">
        <v>12</v>
      </c>
      <c r="D81" s="7" t="s">
        <v>62</v>
      </c>
      <c r="F81" s="7">
        <v>1.28</v>
      </c>
      <c r="J81">
        <f>22+52+60+72+78</f>
        <v>284</v>
      </c>
      <c r="K81">
        <v>5</v>
      </c>
      <c r="L81">
        <v>78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1.0545290000000023</v>
      </c>
      <c r="P81">
        <f t="shared" si="4"/>
        <v>1.0545290000000023</v>
      </c>
      <c r="S81">
        <f t="shared" si="5"/>
        <v>1.286795264</v>
      </c>
    </row>
    <row r="82" spans="1:19">
      <c r="A82" s="8">
        <v>42809</v>
      </c>
      <c r="B82" s="7" t="s">
        <v>52</v>
      </c>
      <c r="C82" s="7">
        <v>10</v>
      </c>
      <c r="D82" s="7"/>
      <c r="F82" s="7"/>
      <c r="M82" t="s">
        <v>64</v>
      </c>
      <c r="P82">
        <f t="shared" si="4"/>
        <v>0</v>
      </c>
    </row>
    <row r="83" spans="1:19">
      <c r="A83" s="8">
        <v>42810</v>
      </c>
      <c r="B83" s="7" t="s">
        <v>18</v>
      </c>
      <c r="C83" s="7">
        <v>41</v>
      </c>
      <c r="D83" s="7" t="s">
        <v>60</v>
      </c>
      <c r="E83">
        <v>296</v>
      </c>
      <c r="F83" s="7">
        <v>2.2400000000000002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16.160483000000003</v>
      </c>
      <c r="P83">
        <f t="shared" si="4"/>
        <v>16.160483000000003</v>
      </c>
      <c r="S83">
        <f t="shared" ref="S83:S114" si="6">3.14159*((F83/2)^2)</f>
        <v>3.9408104960000006</v>
      </c>
    </row>
    <row r="84" spans="1:19">
      <c r="A84" s="8">
        <v>42810</v>
      </c>
      <c r="B84" s="7" t="s">
        <v>18</v>
      </c>
      <c r="C84" s="7">
        <v>41</v>
      </c>
      <c r="D84" s="7" t="s">
        <v>60</v>
      </c>
      <c r="E84">
        <v>293</v>
      </c>
      <c r="F84" s="7">
        <v>1.32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15.950168000000001</v>
      </c>
      <c r="P84">
        <f t="shared" si="4"/>
        <v>15.950168000000001</v>
      </c>
      <c r="S84">
        <f t="shared" si="6"/>
        <v>1.368476604</v>
      </c>
    </row>
    <row r="85" spans="1:19">
      <c r="A85" s="8">
        <v>42810</v>
      </c>
      <c r="B85" s="7" t="s">
        <v>18</v>
      </c>
      <c r="C85" s="7">
        <v>41</v>
      </c>
      <c r="D85" s="7" t="s">
        <v>60</v>
      </c>
      <c r="E85">
        <v>195</v>
      </c>
      <c r="F85" s="7">
        <v>1.45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9.0798780000000008</v>
      </c>
      <c r="P85">
        <f t="shared" si="4"/>
        <v>9.0798780000000008</v>
      </c>
      <c r="S85">
        <f t="shared" si="6"/>
        <v>1.6512982437499999</v>
      </c>
    </row>
    <row r="86" spans="1:19">
      <c r="A86" s="8">
        <v>42810</v>
      </c>
      <c r="B86" s="7" t="s">
        <v>18</v>
      </c>
      <c r="C86" s="7">
        <v>41</v>
      </c>
      <c r="D86" s="7" t="s">
        <v>62</v>
      </c>
      <c r="F86" s="7">
        <v>0.6</v>
      </c>
      <c r="J86">
        <f>25+49+51+61</f>
        <v>186</v>
      </c>
      <c r="K86">
        <v>4</v>
      </c>
      <c r="L86">
        <v>61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4.0100569999999998</v>
      </c>
      <c r="P86">
        <f t="shared" si="4"/>
        <v>4.0100569999999998</v>
      </c>
      <c r="S86">
        <f t="shared" si="6"/>
        <v>0.28274309999999997</v>
      </c>
    </row>
    <row r="87" spans="1:19">
      <c r="A87" s="8">
        <v>42810</v>
      </c>
      <c r="B87" s="7" t="s">
        <v>18</v>
      </c>
      <c r="C87" s="7">
        <v>41</v>
      </c>
      <c r="D87" s="7" t="s">
        <v>62</v>
      </c>
      <c r="F87" s="7">
        <v>0.5</v>
      </c>
      <c r="J87">
        <f>15+20</f>
        <v>35</v>
      </c>
      <c r="K87">
        <v>2</v>
      </c>
      <c r="L87">
        <v>20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16.248802999999999</v>
      </c>
      <c r="P87">
        <f t="shared" si="4"/>
        <v>16.248802999999999</v>
      </c>
      <c r="S87">
        <f t="shared" si="6"/>
        <v>0.19634937499999999</v>
      </c>
    </row>
    <row r="88" spans="1:19">
      <c r="A88" s="8">
        <v>42810</v>
      </c>
      <c r="B88" s="7" t="s">
        <v>18</v>
      </c>
      <c r="C88" s="7">
        <v>41</v>
      </c>
      <c r="D88" s="7" t="s">
        <v>62</v>
      </c>
      <c r="F88" s="7">
        <v>0.71</v>
      </c>
      <c r="J88">
        <f>20+23+25+41</f>
        <v>109</v>
      </c>
      <c r="K88">
        <v>4</v>
      </c>
      <c r="L88">
        <v>41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2.8158219999999972</v>
      </c>
      <c r="P88">
        <f t="shared" si="4"/>
        <v>2.8158219999999972</v>
      </c>
      <c r="S88">
        <f t="shared" si="6"/>
        <v>0.39591887974999995</v>
      </c>
    </row>
    <row r="89" spans="1:19">
      <c r="A89" s="8">
        <v>42810</v>
      </c>
      <c r="B89" s="7" t="s">
        <v>18</v>
      </c>
      <c r="C89" s="7">
        <v>41</v>
      </c>
      <c r="D89" s="7" t="s">
        <v>62</v>
      </c>
      <c r="F89" s="7">
        <v>0.62</v>
      </c>
      <c r="J89">
        <f>20+35+58+60</f>
        <v>173</v>
      </c>
      <c r="K89">
        <v>4</v>
      </c>
      <c r="L89">
        <v>60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3.0924869999999984</v>
      </c>
      <c r="P89">
        <f t="shared" si="4"/>
        <v>3.0924869999999984</v>
      </c>
      <c r="S89">
        <f t="shared" si="6"/>
        <v>0.301906799</v>
      </c>
    </row>
    <row r="90" spans="1:19">
      <c r="A90" s="8">
        <v>42810</v>
      </c>
      <c r="B90" s="7" t="s">
        <v>18</v>
      </c>
      <c r="C90" s="7">
        <v>41</v>
      </c>
      <c r="D90" s="7" t="s">
        <v>62</v>
      </c>
      <c r="F90" s="7">
        <v>1.38</v>
      </c>
      <c r="J90">
        <f>75+107+116</f>
        <v>298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60.975973999999994</v>
      </c>
      <c r="P90">
        <f t="shared" si="4"/>
        <v>60.975973999999994</v>
      </c>
      <c r="S90">
        <f t="shared" si="6"/>
        <v>1.4957109989999997</v>
      </c>
    </row>
    <row r="91" spans="1:19">
      <c r="A91" s="8">
        <v>42810</v>
      </c>
      <c r="B91" s="7" t="s">
        <v>18</v>
      </c>
      <c r="C91" s="7">
        <v>41</v>
      </c>
      <c r="D91" s="7" t="s">
        <v>62</v>
      </c>
      <c r="F91" s="7">
        <v>1.42</v>
      </c>
      <c r="J91">
        <f>49+89+95+112</f>
        <v>345</v>
      </c>
      <c r="K91">
        <v>4</v>
      </c>
      <c r="L91">
        <v>112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3.553606999999996</v>
      </c>
      <c r="P91">
        <f t="shared" si="4"/>
        <v>3.553606999999996</v>
      </c>
      <c r="S91">
        <f t="shared" si="6"/>
        <v>1.5836755189999998</v>
      </c>
    </row>
    <row r="92" spans="1:19">
      <c r="A92" s="8">
        <v>42810</v>
      </c>
      <c r="B92" s="7" t="s">
        <v>18</v>
      </c>
      <c r="C92" s="7">
        <v>41</v>
      </c>
      <c r="D92" s="7" t="s">
        <v>62</v>
      </c>
      <c r="F92" s="7">
        <v>0.52</v>
      </c>
      <c r="J92">
        <f>38+39+58</f>
        <v>135</v>
      </c>
      <c r="K92">
        <v>3</v>
      </c>
      <c r="L92">
        <v>58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7.154639999999997</v>
      </c>
      <c r="P92">
        <f t="shared" si="4"/>
        <v>7.154639999999997</v>
      </c>
      <c r="S92">
        <f t="shared" si="6"/>
        <v>0.21237148400000003</v>
      </c>
    </row>
    <row r="93" spans="1:19">
      <c r="A93" s="8">
        <v>42810</v>
      </c>
      <c r="B93" s="7" t="s">
        <v>18</v>
      </c>
      <c r="C93" s="7">
        <v>41</v>
      </c>
      <c r="D93" s="7" t="s">
        <v>62</v>
      </c>
      <c r="F93" s="40">
        <v>0.74</v>
      </c>
      <c r="J93">
        <f>32+35+45</f>
        <v>112</v>
      </c>
      <c r="K93">
        <v>3</v>
      </c>
      <c r="L93">
        <v>45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8.9144599999999983</v>
      </c>
      <c r="P93">
        <f t="shared" si="4"/>
        <v>8.9144599999999983</v>
      </c>
      <c r="S93">
        <f t="shared" si="6"/>
        <v>0.43008367099999995</v>
      </c>
    </row>
    <row r="94" spans="1:19">
      <c r="A94" s="8">
        <v>42810</v>
      </c>
      <c r="B94" s="7" t="s">
        <v>18</v>
      </c>
      <c r="C94" s="7">
        <v>41</v>
      </c>
      <c r="D94" s="7" t="s">
        <v>62</v>
      </c>
      <c r="F94" s="7">
        <v>0.4</v>
      </c>
      <c r="J94">
        <f>11+20+34+41</f>
        <v>106</v>
      </c>
      <c r="K94">
        <v>4</v>
      </c>
      <c r="L94">
        <v>41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2.5345569999999995</v>
      </c>
      <c r="P94">
        <f t="shared" si="4"/>
        <v>2.5345569999999995</v>
      </c>
      <c r="S94">
        <f t="shared" si="6"/>
        <v>0.12566360000000001</v>
      </c>
    </row>
    <row r="95" spans="1:19">
      <c r="A95" s="8">
        <v>42810</v>
      </c>
      <c r="B95" s="7" t="s">
        <v>18</v>
      </c>
      <c r="C95" s="7">
        <v>41</v>
      </c>
      <c r="D95" s="7" t="s">
        <v>62</v>
      </c>
      <c r="F95" s="7">
        <v>0.89</v>
      </c>
      <c r="J95">
        <f>52+66+79</f>
        <v>197</v>
      </c>
      <c r="K95">
        <v>3</v>
      </c>
      <c r="L95">
        <v>79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6.6413049999999991</v>
      </c>
      <c r="P95">
        <f t="shared" si="4"/>
        <v>6.6413049999999991</v>
      </c>
      <c r="S95">
        <f t="shared" si="6"/>
        <v>0.62211335975000004</v>
      </c>
    </row>
    <row r="96" spans="1:19">
      <c r="A96" s="8">
        <v>42810</v>
      </c>
      <c r="B96" s="7" t="s">
        <v>18</v>
      </c>
      <c r="C96" s="7">
        <v>41</v>
      </c>
      <c r="D96" s="7" t="s">
        <v>62</v>
      </c>
      <c r="F96" s="7">
        <v>0.51</v>
      </c>
      <c r="J96">
        <f>36+44</f>
        <v>80</v>
      </c>
      <c r="K96">
        <v>2</v>
      </c>
      <c r="L96">
        <v>44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13.237897999999998</v>
      </c>
      <c r="P96">
        <f t="shared" si="4"/>
        <v>13.237897999999998</v>
      </c>
      <c r="S96">
        <f t="shared" si="6"/>
        <v>0.20428188975</v>
      </c>
    </row>
    <row r="97" spans="1:19">
      <c r="A97" s="8">
        <v>42810</v>
      </c>
      <c r="B97" s="7" t="s">
        <v>18</v>
      </c>
      <c r="C97" s="7">
        <v>41</v>
      </c>
      <c r="D97" s="7" t="s">
        <v>62</v>
      </c>
      <c r="F97" s="7">
        <v>0.62</v>
      </c>
      <c r="J97">
        <f>39+45+77</f>
        <v>161</v>
      </c>
      <c r="K97">
        <v>3</v>
      </c>
      <c r="L97">
        <v>77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3.8686149999999984</v>
      </c>
      <c r="P97">
        <f t="shared" si="4"/>
        <v>3.8686149999999984</v>
      </c>
      <c r="S97">
        <f t="shared" si="6"/>
        <v>0.301906799</v>
      </c>
    </row>
    <row r="98" spans="1:19">
      <c r="A98" s="8">
        <v>42810</v>
      </c>
      <c r="B98" s="7" t="s">
        <v>18</v>
      </c>
      <c r="C98" s="7">
        <v>41</v>
      </c>
      <c r="D98" s="7" t="s">
        <v>62</v>
      </c>
      <c r="F98" s="7">
        <v>0.47</v>
      </c>
      <c r="J98">
        <f>22+37+58+68</f>
        <v>185</v>
      </c>
      <c r="K98">
        <v>4</v>
      </c>
      <c r="L98">
        <v>68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1.8075870000000016</v>
      </c>
      <c r="P98">
        <f t="shared" si="4"/>
        <v>1.8075870000000016</v>
      </c>
      <c r="S98">
        <f t="shared" si="6"/>
        <v>0.17349430774999999</v>
      </c>
    </row>
    <row r="99" spans="1:19">
      <c r="A99" s="8">
        <v>42810</v>
      </c>
      <c r="B99" s="7" t="s">
        <v>18</v>
      </c>
      <c r="C99" s="7">
        <v>36</v>
      </c>
      <c r="D99" s="7" t="s">
        <v>61</v>
      </c>
      <c r="E99">
        <v>51</v>
      </c>
      <c r="F99" s="7">
        <v>0.96</v>
      </c>
      <c r="G99" s="7"/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-1.0152419999999998</v>
      </c>
      <c r="P99" t="str">
        <f t="shared" si="4"/>
        <v xml:space="preserve"> </v>
      </c>
      <c r="S99">
        <f t="shared" si="6"/>
        <v>0.7238223359999999</v>
      </c>
    </row>
    <row r="100" spans="1:19">
      <c r="A100" s="8">
        <v>42810</v>
      </c>
      <c r="B100" s="7" t="s">
        <v>18</v>
      </c>
      <c r="C100" s="7">
        <v>15</v>
      </c>
      <c r="D100" s="7" t="s">
        <v>62</v>
      </c>
      <c r="F100" s="7">
        <v>1.32</v>
      </c>
      <c r="G100" s="7"/>
      <c r="J100">
        <f>48+67+31+70</f>
        <v>216</v>
      </c>
      <c r="K100">
        <v>4</v>
      </c>
      <c r="L100">
        <v>70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4.1115020000000015</v>
      </c>
      <c r="P100">
        <f t="shared" si="4"/>
        <v>4.1115020000000015</v>
      </c>
      <c r="S100">
        <f t="shared" si="6"/>
        <v>1.368476604</v>
      </c>
    </row>
    <row r="101" spans="1:19">
      <c r="A101" s="8">
        <v>42810</v>
      </c>
      <c r="B101" s="7" t="s">
        <v>18</v>
      </c>
      <c r="C101" s="7">
        <v>15</v>
      </c>
      <c r="D101" s="7" t="s">
        <v>62</v>
      </c>
      <c r="F101" s="7">
        <v>0.98</v>
      </c>
      <c r="G101" s="7"/>
      <c r="J101">
        <f>27+29+46+54+64</f>
        <v>220</v>
      </c>
      <c r="K101">
        <v>5</v>
      </c>
      <c r="L101">
        <v>64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-0.72836099999999959</v>
      </c>
      <c r="P101" t="str">
        <f t="shared" si="4"/>
        <v xml:space="preserve"> </v>
      </c>
      <c r="S101">
        <f t="shared" si="6"/>
        <v>0.7542957589999999</v>
      </c>
    </row>
    <row r="102" spans="1:19">
      <c r="A102" s="8">
        <v>42810</v>
      </c>
      <c r="B102" s="7" t="s">
        <v>18</v>
      </c>
      <c r="C102" s="7">
        <v>15</v>
      </c>
      <c r="D102" s="7" t="s">
        <v>62</v>
      </c>
      <c r="F102" s="7">
        <v>0.68</v>
      </c>
      <c r="J102">
        <f>14+28+32</f>
        <v>74</v>
      </c>
      <c r="K102">
        <v>3</v>
      </c>
      <c r="L102">
        <v>32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9.2679549999999971</v>
      </c>
      <c r="P102">
        <f t="shared" si="4"/>
        <v>9.2679549999999971</v>
      </c>
      <c r="S102">
        <f t="shared" si="6"/>
        <v>0.36316780400000004</v>
      </c>
    </row>
    <row r="103" spans="1:19">
      <c r="A103" s="8">
        <v>42810</v>
      </c>
      <c r="B103" s="7" t="s">
        <v>18</v>
      </c>
      <c r="C103" s="7">
        <v>15</v>
      </c>
      <c r="D103" s="7" t="s">
        <v>62</v>
      </c>
      <c r="F103" s="7">
        <v>4.25</v>
      </c>
      <c r="G103" s="7"/>
      <c r="I103" s="7"/>
      <c r="J103">
        <f>67+82+109+148+165+117</f>
        <v>688</v>
      </c>
      <c r="K103">
        <v>6</v>
      </c>
      <c r="L103">
        <v>165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5.7008809999999954</v>
      </c>
      <c r="P103">
        <f t="shared" si="4"/>
        <v>5.7008809999999954</v>
      </c>
      <c r="S103">
        <f t="shared" si="6"/>
        <v>14.186242343749999</v>
      </c>
    </row>
    <row r="104" spans="1:19">
      <c r="A104" s="8">
        <v>42810</v>
      </c>
      <c r="B104" s="7" t="s">
        <v>18</v>
      </c>
      <c r="C104" s="7">
        <v>15</v>
      </c>
      <c r="D104" s="7" t="s">
        <v>62</v>
      </c>
      <c r="F104" s="7">
        <v>0.68</v>
      </c>
      <c r="J104">
        <f>21+27+38</f>
        <v>86</v>
      </c>
      <c r="K104">
        <v>3</v>
      </c>
      <c r="L104">
        <v>38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8.5855449999999962</v>
      </c>
      <c r="P104">
        <f t="shared" si="4"/>
        <v>8.5855449999999962</v>
      </c>
      <c r="S104">
        <f t="shared" si="6"/>
        <v>0.36316780400000004</v>
      </c>
    </row>
    <row r="105" spans="1:19">
      <c r="A105" s="8">
        <v>42810</v>
      </c>
      <c r="B105" s="7" t="s">
        <v>18</v>
      </c>
      <c r="C105" s="7">
        <v>15</v>
      </c>
      <c r="D105" s="7" t="s">
        <v>62</v>
      </c>
      <c r="F105" s="7">
        <v>0.53</v>
      </c>
      <c r="J105">
        <f>16+19+34</f>
        <v>69</v>
      </c>
      <c r="K105">
        <v>3</v>
      </c>
      <c r="L105">
        <v>34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8.1966899999999967</v>
      </c>
      <c r="P105">
        <f t="shared" si="4"/>
        <v>8.1966899999999967</v>
      </c>
      <c r="S105">
        <f t="shared" si="6"/>
        <v>0.22061815775000002</v>
      </c>
    </row>
    <row r="106" spans="1:19">
      <c r="A106" s="8">
        <v>42810</v>
      </c>
      <c r="B106" s="7" t="s">
        <v>18</v>
      </c>
      <c r="C106" s="7">
        <v>15</v>
      </c>
      <c r="D106" s="7" t="s">
        <v>62</v>
      </c>
      <c r="F106" s="7">
        <v>1.24</v>
      </c>
      <c r="J106">
        <f>27+40+54+67+73+83</f>
        <v>344</v>
      </c>
      <c r="K106">
        <v>6</v>
      </c>
      <c r="L106">
        <v>83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-1.8487490000000051</v>
      </c>
      <c r="P106" t="str">
        <f t="shared" si="4"/>
        <v xml:space="preserve"> </v>
      </c>
      <c r="S106">
        <f t="shared" si="6"/>
        <v>1.207627196</v>
      </c>
    </row>
    <row r="107" spans="1:19">
      <c r="A107" s="8">
        <v>42810</v>
      </c>
      <c r="B107" s="7" t="s">
        <v>18</v>
      </c>
      <c r="C107" s="7">
        <v>15</v>
      </c>
      <c r="D107" s="7" t="s">
        <v>62</v>
      </c>
      <c r="F107" s="7">
        <v>0.56000000000000005</v>
      </c>
      <c r="J107">
        <f>10+29+32</f>
        <v>71</v>
      </c>
      <c r="K107">
        <v>3</v>
      </c>
      <c r="L107">
        <v>32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8.9866899999999958</v>
      </c>
      <c r="P107">
        <f t="shared" si="4"/>
        <v>8.9866899999999958</v>
      </c>
      <c r="S107">
        <f t="shared" si="6"/>
        <v>0.24630065600000003</v>
      </c>
    </row>
    <row r="108" spans="1:19">
      <c r="A108" s="8">
        <v>42810</v>
      </c>
      <c r="B108" s="7" t="s">
        <v>18</v>
      </c>
      <c r="C108" s="7">
        <v>15</v>
      </c>
      <c r="D108" s="7" t="s">
        <v>62</v>
      </c>
      <c r="F108" s="7">
        <v>0.75</v>
      </c>
      <c r="G108" s="7"/>
      <c r="J108">
        <f>33+47+80+83</f>
        <v>243</v>
      </c>
      <c r="K108">
        <v>4</v>
      </c>
      <c r="L108">
        <v>83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2.7267019999999995</v>
      </c>
      <c r="P108">
        <f t="shared" si="4"/>
        <v>2.7267019999999995</v>
      </c>
      <c r="S108">
        <f t="shared" si="6"/>
        <v>0.44178609375</v>
      </c>
    </row>
    <row r="109" spans="1:19">
      <c r="A109" s="8">
        <v>42810</v>
      </c>
      <c r="B109" s="7" t="s">
        <v>18</v>
      </c>
      <c r="C109" s="7">
        <v>15</v>
      </c>
      <c r="D109" s="7" t="s">
        <v>62</v>
      </c>
      <c r="F109" s="7">
        <v>0.97</v>
      </c>
      <c r="G109" s="7"/>
      <c r="J109">
        <f>56+92+101</f>
        <v>249</v>
      </c>
      <c r="K109">
        <v>3</v>
      </c>
      <c r="L109">
        <v>101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4.8891749999999981</v>
      </c>
      <c r="P109">
        <f t="shared" si="4"/>
        <v>4.8891749999999981</v>
      </c>
      <c r="S109">
        <f t="shared" si="6"/>
        <v>0.7389805077499999</v>
      </c>
    </row>
    <row r="110" spans="1:19">
      <c r="A110" s="8">
        <v>42810</v>
      </c>
      <c r="B110" s="7" t="s">
        <v>18</v>
      </c>
      <c r="C110" s="7">
        <v>15</v>
      </c>
      <c r="D110" s="7" t="s">
        <v>62</v>
      </c>
      <c r="F110" s="7">
        <v>0.81</v>
      </c>
      <c r="G110" s="7"/>
      <c r="I110" s="7"/>
      <c r="J110">
        <f>40+46+79+83+104</f>
        <v>352</v>
      </c>
      <c r="K110">
        <v>5</v>
      </c>
      <c r="L110">
        <v>104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-0.40250099999999378</v>
      </c>
      <c r="P110" t="str">
        <f t="shared" si="4"/>
        <v xml:space="preserve"> </v>
      </c>
      <c r="S110">
        <f t="shared" si="6"/>
        <v>0.51529929975000011</v>
      </c>
    </row>
    <row r="111" spans="1:19">
      <c r="A111" s="8">
        <v>42810</v>
      </c>
      <c r="B111" s="7" t="s">
        <v>18</v>
      </c>
      <c r="C111" s="7">
        <v>15</v>
      </c>
      <c r="D111" s="7" t="s">
        <v>62</v>
      </c>
      <c r="F111" s="7">
        <v>1.32</v>
      </c>
      <c r="G111" s="7"/>
      <c r="I111" s="7"/>
      <c r="J111">
        <f>52+53+83+94+112+122</f>
        <v>516</v>
      </c>
      <c r="K111">
        <v>6</v>
      </c>
      <c r="L111">
        <v>122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2.5285560000000018</v>
      </c>
      <c r="P111">
        <f t="shared" si="4"/>
        <v>2.5285560000000018</v>
      </c>
      <c r="S111">
        <f t="shared" si="6"/>
        <v>1.368476604</v>
      </c>
    </row>
    <row r="112" spans="1:19">
      <c r="A112" s="8">
        <v>42810</v>
      </c>
      <c r="B112" s="7" t="s">
        <v>18</v>
      </c>
      <c r="C112" s="7">
        <v>15</v>
      </c>
      <c r="D112" s="7" t="s">
        <v>62</v>
      </c>
      <c r="F112" s="7">
        <v>0.81</v>
      </c>
      <c r="G112" s="7"/>
      <c r="I112" s="7"/>
      <c r="J112">
        <f>14+27+28</f>
        <v>69</v>
      </c>
      <c r="K112">
        <v>3</v>
      </c>
      <c r="L112">
        <v>28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10.004159999999995</v>
      </c>
      <c r="P112">
        <f t="shared" si="4"/>
        <v>10.004159999999995</v>
      </c>
      <c r="S112">
        <f t="shared" si="6"/>
        <v>0.51529929975000011</v>
      </c>
    </row>
    <row r="113" spans="1:19">
      <c r="A113" s="8">
        <v>42810</v>
      </c>
      <c r="B113" s="7" t="s">
        <v>18</v>
      </c>
      <c r="C113" s="7">
        <v>15</v>
      </c>
      <c r="D113" s="7" t="s">
        <v>62</v>
      </c>
      <c r="F113" s="7">
        <v>1.31</v>
      </c>
      <c r="J113">
        <f>31+57+79+98+106</f>
        <v>371</v>
      </c>
      <c r="K113">
        <v>5</v>
      </c>
      <c r="L113">
        <v>106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0.77635399999999777</v>
      </c>
      <c r="P113">
        <f t="shared" si="4"/>
        <v>0.77635399999999777</v>
      </c>
      <c r="S113">
        <f t="shared" si="6"/>
        <v>1.34782064975</v>
      </c>
    </row>
    <row r="114" spans="1:19">
      <c r="A114" s="8">
        <v>42810</v>
      </c>
      <c r="B114" s="7" t="s">
        <v>18</v>
      </c>
      <c r="C114" s="7">
        <v>15</v>
      </c>
      <c r="D114" s="7" t="s">
        <v>62</v>
      </c>
      <c r="F114" s="7">
        <v>0.95</v>
      </c>
      <c r="I114" s="7"/>
      <c r="J114">
        <f>27+47+60+68+85</f>
        <v>287</v>
      </c>
      <c r="K114">
        <v>5</v>
      </c>
      <c r="L114">
        <v>85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-0.77292100000000374</v>
      </c>
      <c r="P114" t="str">
        <f t="shared" si="4"/>
        <v xml:space="preserve"> </v>
      </c>
      <c r="S114">
        <f t="shared" si="6"/>
        <v>0.70882124375</v>
      </c>
    </row>
    <row r="115" spans="1:19">
      <c r="A115" s="8">
        <v>42810</v>
      </c>
      <c r="B115" s="7" t="s">
        <v>18</v>
      </c>
      <c r="C115" s="7">
        <v>15</v>
      </c>
      <c r="D115" s="7" t="s">
        <v>62</v>
      </c>
      <c r="F115" s="7">
        <v>1.75</v>
      </c>
      <c r="I115" s="7"/>
      <c r="J115">
        <f>32+57+81+95+103+117</f>
        <v>485</v>
      </c>
      <c r="K115">
        <v>6</v>
      </c>
      <c r="L115">
        <v>117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1.1283760000000029</v>
      </c>
      <c r="P115">
        <f t="shared" si="4"/>
        <v>1.1283760000000029</v>
      </c>
      <c r="S115">
        <f t="shared" ref="S115:S147" si="7">3.14159*((F115/2)^2)</f>
        <v>2.4052798437499998</v>
      </c>
    </row>
    <row r="116" spans="1:19">
      <c r="A116" s="8">
        <v>42810</v>
      </c>
      <c r="B116" s="7" t="s">
        <v>18</v>
      </c>
      <c r="C116" s="7">
        <v>15</v>
      </c>
      <c r="D116" s="7" t="s">
        <v>62</v>
      </c>
      <c r="F116" s="7">
        <v>2.0299999999999998</v>
      </c>
      <c r="J116">
        <f>41+58+74+83+108+109+128</f>
        <v>601</v>
      </c>
      <c r="K116">
        <v>7</v>
      </c>
      <c r="L116">
        <v>128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1.6679080000000042</v>
      </c>
      <c r="P116">
        <f t="shared" si="4"/>
        <v>1.6679080000000042</v>
      </c>
      <c r="S116">
        <f t="shared" si="7"/>
        <v>3.2365445577499989</v>
      </c>
    </row>
    <row r="117" spans="1:19">
      <c r="A117" s="8">
        <v>42810</v>
      </c>
      <c r="B117" s="7" t="s">
        <v>18</v>
      </c>
      <c r="C117" s="7">
        <v>15</v>
      </c>
      <c r="D117" s="7" t="s">
        <v>62</v>
      </c>
      <c r="F117" s="7">
        <v>1.6</v>
      </c>
      <c r="G117" s="7"/>
      <c r="I117" s="7"/>
      <c r="J117">
        <f>16+49+66+91+96+105</f>
        <v>423</v>
      </c>
      <c r="K117">
        <v>6</v>
      </c>
      <c r="L117">
        <v>105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-1.0694939999999988</v>
      </c>
      <c r="P117" t="str">
        <f t="shared" si="4"/>
        <v xml:space="preserve"> </v>
      </c>
      <c r="S117">
        <f t="shared" si="7"/>
        <v>2.0106176000000002</v>
      </c>
    </row>
    <row r="118" spans="1:19">
      <c r="A118" s="8">
        <v>42810</v>
      </c>
      <c r="B118" s="7" t="s">
        <v>18</v>
      </c>
      <c r="C118" s="7">
        <v>14</v>
      </c>
      <c r="D118" s="7" t="s">
        <v>61</v>
      </c>
      <c r="E118">
        <v>85</v>
      </c>
      <c r="F118" s="7">
        <v>0.68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1.368328</v>
      </c>
      <c r="P118">
        <f t="shared" si="4"/>
        <v>1.368328</v>
      </c>
      <c r="S118">
        <f t="shared" si="7"/>
        <v>0.36316780400000004</v>
      </c>
    </row>
    <row r="119" spans="1:19">
      <c r="A119" s="8">
        <v>42810</v>
      </c>
      <c r="B119" s="7" t="s">
        <v>18</v>
      </c>
      <c r="C119" s="7">
        <v>14</v>
      </c>
      <c r="D119" s="7" t="s">
        <v>61</v>
      </c>
      <c r="E119">
        <v>27</v>
      </c>
      <c r="F119" s="7">
        <v>0.56000000000000005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-2.697762</v>
      </c>
      <c r="P119" t="str">
        <f t="shared" si="4"/>
        <v xml:space="preserve"> </v>
      </c>
      <c r="S119">
        <f t="shared" si="7"/>
        <v>0.24630065600000003</v>
      </c>
    </row>
    <row r="120" spans="1:19">
      <c r="A120" s="8">
        <v>42810</v>
      </c>
      <c r="B120" s="7" t="s">
        <v>18</v>
      </c>
      <c r="C120" s="7">
        <v>14</v>
      </c>
      <c r="D120" s="7" t="s">
        <v>61</v>
      </c>
      <c r="E120">
        <v>74</v>
      </c>
      <c r="F120" s="7">
        <v>0.56000000000000005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0.59717300000000062</v>
      </c>
      <c r="P120">
        <f t="shared" si="4"/>
        <v>0.59717300000000062</v>
      </c>
      <c r="S120">
        <f t="shared" si="7"/>
        <v>0.24630065600000003</v>
      </c>
    </row>
    <row r="121" spans="1:19">
      <c r="A121" s="8">
        <v>42810</v>
      </c>
      <c r="B121" s="7" t="s">
        <v>18</v>
      </c>
      <c r="C121" s="7">
        <v>14</v>
      </c>
      <c r="D121" s="7" t="s">
        <v>61</v>
      </c>
      <c r="F121" s="7">
        <v>0.69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-4.5905969999999998</v>
      </c>
      <c r="P121" t="str">
        <f t="shared" si="4"/>
        <v xml:space="preserve"> </v>
      </c>
      <c r="S121">
        <f t="shared" si="7"/>
        <v>0.37392774974999993</v>
      </c>
    </row>
    <row r="122" spans="1:19">
      <c r="A122" s="8">
        <v>42810</v>
      </c>
      <c r="B122" s="7" t="s">
        <v>18</v>
      </c>
      <c r="C122" s="7">
        <v>14</v>
      </c>
      <c r="D122" s="7" t="s">
        <v>61</v>
      </c>
      <c r="E122">
        <v>75</v>
      </c>
      <c r="F122" s="7">
        <v>0.7</v>
      </c>
      <c r="H122" s="7"/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0.66727800000000048</v>
      </c>
      <c r="P122">
        <f t="shared" si="4"/>
        <v>0.66727800000000048</v>
      </c>
      <c r="S122">
        <f t="shared" si="7"/>
        <v>0.38484477499999992</v>
      </c>
    </row>
    <row r="123" spans="1:19">
      <c r="A123" s="8">
        <v>42810</v>
      </c>
      <c r="B123" s="7" t="s">
        <v>18</v>
      </c>
      <c r="C123" s="7">
        <v>14</v>
      </c>
      <c r="D123" s="7" t="s">
        <v>61</v>
      </c>
      <c r="E123">
        <v>69</v>
      </c>
      <c r="F123" s="7">
        <v>0.56999999999999995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0.24664800000000042</v>
      </c>
      <c r="P123">
        <f t="shared" si="4"/>
        <v>0.24664800000000042</v>
      </c>
      <c r="S123">
        <f t="shared" si="7"/>
        <v>0.25517564774999996</v>
      </c>
    </row>
    <row r="124" spans="1:19">
      <c r="A124" s="8">
        <v>42810</v>
      </c>
      <c r="B124" s="7" t="s">
        <v>18</v>
      </c>
      <c r="C124" s="7">
        <v>14</v>
      </c>
      <c r="D124" s="7" t="s">
        <v>61</v>
      </c>
      <c r="E124">
        <v>81</v>
      </c>
      <c r="F124" s="7">
        <v>0.59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1.0879080000000005</v>
      </c>
      <c r="P124">
        <f t="shared" si="4"/>
        <v>1.0879080000000005</v>
      </c>
      <c r="S124">
        <f t="shared" si="7"/>
        <v>0.27339686974999994</v>
      </c>
    </row>
    <row r="125" spans="1:19">
      <c r="A125" s="8">
        <v>42810</v>
      </c>
      <c r="B125" s="7" t="s">
        <v>18</v>
      </c>
      <c r="C125" s="7">
        <v>14</v>
      </c>
      <c r="D125" s="7" t="s">
        <v>61</v>
      </c>
      <c r="E125">
        <v>27</v>
      </c>
      <c r="F125" s="7">
        <v>0.41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-2.697762</v>
      </c>
      <c r="P125" t="str">
        <f t="shared" ref="P125:P188" si="8">IF(O125&lt;0," ",O125)</f>
        <v xml:space="preserve"> </v>
      </c>
      <c r="S125">
        <f t="shared" si="7"/>
        <v>0.13202531974999998</v>
      </c>
    </row>
    <row r="126" spans="1:19">
      <c r="A126" s="8">
        <v>42810</v>
      </c>
      <c r="B126" s="7" t="s">
        <v>18</v>
      </c>
      <c r="C126" s="7">
        <v>14</v>
      </c>
      <c r="D126" s="7" t="s">
        <v>61</v>
      </c>
      <c r="E126">
        <v>19</v>
      </c>
      <c r="F126" s="7">
        <v>0.31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-3.2586019999999998</v>
      </c>
      <c r="P126" t="str">
        <f t="shared" si="8"/>
        <v xml:space="preserve"> </v>
      </c>
      <c r="S126">
        <f t="shared" si="7"/>
        <v>7.5476699750000001E-2</v>
      </c>
    </row>
    <row r="127" spans="1:19">
      <c r="A127" s="8">
        <v>42810</v>
      </c>
      <c r="B127" s="7" t="s">
        <v>18</v>
      </c>
      <c r="C127" s="7">
        <v>14</v>
      </c>
      <c r="D127" s="7" t="s">
        <v>61</v>
      </c>
      <c r="E127">
        <v>49</v>
      </c>
      <c r="F127" s="7">
        <v>0.55000000000000004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-1.1554519999999999</v>
      </c>
      <c r="P127" t="str">
        <f t="shared" si="8"/>
        <v xml:space="preserve"> </v>
      </c>
      <c r="S127">
        <f t="shared" si="7"/>
        <v>0.23758274375000002</v>
      </c>
    </row>
    <row r="128" spans="1:19">
      <c r="A128" s="8">
        <v>42810</v>
      </c>
      <c r="B128" s="7" t="s">
        <v>18</v>
      </c>
      <c r="C128" s="7">
        <v>14</v>
      </c>
      <c r="D128" s="7" t="s">
        <v>61</v>
      </c>
      <c r="E128">
        <v>42</v>
      </c>
      <c r="F128" s="7">
        <v>0.41</v>
      </c>
      <c r="G128" s="7"/>
      <c r="I128" s="7"/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-1.6461869999999998</v>
      </c>
      <c r="P128" t="str">
        <f t="shared" si="8"/>
        <v xml:space="preserve"> </v>
      </c>
      <c r="S128">
        <f t="shared" si="7"/>
        <v>0.13202531974999998</v>
      </c>
    </row>
    <row r="129" spans="1:19">
      <c r="A129" s="8">
        <v>42810</v>
      </c>
      <c r="B129" s="7" t="s">
        <v>18</v>
      </c>
      <c r="C129" s="7">
        <v>14</v>
      </c>
      <c r="D129" s="7" t="s">
        <v>61</v>
      </c>
      <c r="E129">
        <v>13</v>
      </c>
      <c r="F129" s="7">
        <v>0.45</v>
      </c>
      <c r="G129" s="7"/>
      <c r="I129" s="7"/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-3.6792319999999998</v>
      </c>
      <c r="P129" t="str">
        <f t="shared" si="8"/>
        <v xml:space="preserve"> </v>
      </c>
      <c r="S129">
        <f t="shared" si="7"/>
        <v>0.15904299375</v>
      </c>
    </row>
    <row r="130" spans="1:19">
      <c r="A130" s="8">
        <v>42810</v>
      </c>
      <c r="B130" s="7" t="s">
        <v>18</v>
      </c>
      <c r="C130" s="7">
        <v>14</v>
      </c>
      <c r="D130" s="7" t="s">
        <v>61</v>
      </c>
      <c r="E130">
        <v>32</v>
      </c>
      <c r="F130" s="7">
        <v>0.32</v>
      </c>
      <c r="G130" s="7"/>
      <c r="I130" s="7"/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-2.3472369999999998</v>
      </c>
      <c r="P130" t="str">
        <f t="shared" si="8"/>
        <v xml:space="preserve"> </v>
      </c>
      <c r="S130">
        <f t="shared" si="7"/>
        <v>8.0424704E-2</v>
      </c>
    </row>
    <row r="131" spans="1:19">
      <c r="A131" s="8">
        <v>42810</v>
      </c>
      <c r="B131" s="7" t="s">
        <v>18</v>
      </c>
      <c r="C131" s="7">
        <v>14</v>
      </c>
      <c r="D131" s="7" t="s">
        <v>61</v>
      </c>
      <c r="E131">
        <v>55</v>
      </c>
      <c r="F131" s="7">
        <v>0.44</v>
      </c>
      <c r="G131" s="7"/>
      <c r="I131" s="7"/>
      <c r="K131" s="7"/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-0.73482199999999986</v>
      </c>
      <c r="P131" t="str">
        <f t="shared" si="8"/>
        <v xml:space="preserve"> </v>
      </c>
      <c r="S131">
        <f t="shared" si="7"/>
        <v>0.15205295599999999</v>
      </c>
    </row>
    <row r="132" spans="1:19">
      <c r="A132" s="8">
        <v>42810</v>
      </c>
      <c r="B132" s="7" t="s">
        <v>18</v>
      </c>
      <c r="C132" s="7">
        <v>14</v>
      </c>
      <c r="D132" s="7" t="s">
        <v>61</v>
      </c>
      <c r="E132">
        <v>70</v>
      </c>
      <c r="F132" s="7">
        <v>0.54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0.31675300000000028</v>
      </c>
      <c r="P132">
        <f t="shared" si="8"/>
        <v>0.31675300000000028</v>
      </c>
      <c r="S132">
        <f t="shared" si="7"/>
        <v>0.22902191100000002</v>
      </c>
    </row>
    <row r="133" spans="1:19">
      <c r="A133" s="8">
        <v>42810</v>
      </c>
      <c r="B133" s="7" t="s">
        <v>18</v>
      </c>
      <c r="C133" s="7">
        <v>14</v>
      </c>
      <c r="D133" s="7" t="s">
        <v>61</v>
      </c>
      <c r="E133">
        <v>80</v>
      </c>
      <c r="F133" s="7">
        <v>0.68</v>
      </c>
      <c r="G133" s="7"/>
      <c r="I133" s="7"/>
      <c r="J133" s="7"/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1.0178029999999998</v>
      </c>
      <c r="P133">
        <f t="shared" si="8"/>
        <v>1.0178029999999998</v>
      </c>
      <c r="S133">
        <f t="shared" si="7"/>
        <v>0.36316780400000004</v>
      </c>
    </row>
    <row r="134" spans="1:19">
      <c r="A134" s="8">
        <v>42810</v>
      </c>
      <c r="B134" s="7" t="s">
        <v>18</v>
      </c>
      <c r="C134" s="7">
        <v>14</v>
      </c>
      <c r="D134" s="7" t="s">
        <v>61</v>
      </c>
      <c r="E134">
        <v>81</v>
      </c>
      <c r="F134" s="7">
        <v>0.68</v>
      </c>
      <c r="G134" s="7"/>
      <c r="I134" s="7"/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1.0879080000000005</v>
      </c>
      <c r="P134">
        <f t="shared" si="8"/>
        <v>1.0879080000000005</v>
      </c>
      <c r="S134">
        <f t="shared" si="7"/>
        <v>0.36316780400000004</v>
      </c>
    </row>
    <row r="135" spans="1:19">
      <c r="A135" s="8">
        <v>42810</v>
      </c>
      <c r="B135" s="7" t="s">
        <v>18</v>
      </c>
      <c r="C135" s="7">
        <v>14</v>
      </c>
      <c r="D135" s="7" t="s">
        <v>61</v>
      </c>
      <c r="E135">
        <v>81</v>
      </c>
      <c r="F135" s="7">
        <v>0.72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1.0879080000000005</v>
      </c>
      <c r="P135">
        <f t="shared" si="8"/>
        <v>1.0879080000000005</v>
      </c>
      <c r="S135">
        <f t="shared" si="7"/>
        <v>0.40715006399999998</v>
      </c>
    </row>
    <row r="136" spans="1:19">
      <c r="A136" s="8">
        <v>42810</v>
      </c>
      <c r="B136" s="7" t="s">
        <v>18</v>
      </c>
      <c r="C136" s="7">
        <v>14</v>
      </c>
      <c r="D136" s="7" t="s">
        <v>61</v>
      </c>
      <c r="E136">
        <v>83</v>
      </c>
      <c r="F136" s="7">
        <v>0.65</v>
      </c>
      <c r="G136" s="7"/>
      <c r="I136" s="7"/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1.2281180000000003</v>
      </c>
      <c r="P136">
        <f t="shared" si="8"/>
        <v>1.2281180000000003</v>
      </c>
      <c r="S136">
        <f t="shared" si="7"/>
        <v>0.33183044375000004</v>
      </c>
    </row>
    <row r="137" spans="1:19">
      <c r="A137" s="8">
        <v>42810</v>
      </c>
      <c r="B137" s="7" t="s">
        <v>18</v>
      </c>
      <c r="C137" s="7">
        <v>14</v>
      </c>
      <c r="D137" s="7" t="s">
        <v>61</v>
      </c>
      <c r="E137">
        <v>171</v>
      </c>
      <c r="F137" s="7">
        <v>1.1499999999999999</v>
      </c>
      <c r="G137" s="7"/>
      <c r="H137" s="7"/>
      <c r="I137" s="7"/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7.3973579999999997</v>
      </c>
      <c r="P137">
        <f t="shared" si="8"/>
        <v>7.3973579999999997</v>
      </c>
      <c r="S137">
        <f t="shared" si="7"/>
        <v>1.0386881937499999</v>
      </c>
    </row>
    <row r="138" spans="1:19">
      <c r="A138" s="8">
        <v>42810</v>
      </c>
      <c r="B138" s="7" t="s">
        <v>18</v>
      </c>
      <c r="C138" s="7">
        <v>14</v>
      </c>
      <c r="D138" s="7" t="s">
        <v>61</v>
      </c>
      <c r="E138">
        <v>36</v>
      </c>
      <c r="F138" s="7">
        <v>0.44</v>
      </c>
      <c r="H138" s="7"/>
      <c r="I138" s="7"/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-2.0668169999999999</v>
      </c>
      <c r="P138" t="str">
        <f t="shared" si="8"/>
        <v xml:space="preserve"> </v>
      </c>
      <c r="S138">
        <f t="shared" si="7"/>
        <v>0.15205295599999999</v>
      </c>
    </row>
    <row r="139" spans="1:19">
      <c r="A139" s="8">
        <v>42810</v>
      </c>
      <c r="B139" s="7" t="s">
        <v>18</v>
      </c>
      <c r="C139" s="7">
        <v>14</v>
      </c>
      <c r="D139" s="7" t="s">
        <v>61</v>
      </c>
      <c r="E139">
        <v>77</v>
      </c>
      <c r="F139" s="7">
        <v>0.69</v>
      </c>
      <c r="H139" s="7"/>
      <c r="I139" s="7"/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0.80748800000000021</v>
      </c>
      <c r="P139">
        <f t="shared" si="8"/>
        <v>0.80748800000000021</v>
      </c>
      <c r="S139">
        <f t="shared" si="7"/>
        <v>0.37392774974999993</v>
      </c>
    </row>
    <row r="140" spans="1:19">
      <c r="A140" s="8">
        <v>42810</v>
      </c>
      <c r="B140" s="7" t="s">
        <v>18</v>
      </c>
      <c r="C140" s="7">
        <v>14</v>
      </c>
      <c r="D140" s="7" t="s">
        <v>61</v>
      </c>
      <c r="E140" s="7">
        <v>71</v>
      </c>
      <c r="F140" s="7">
        <v>0.4</v>
      </c>
      <c r="G140" s="7"/>
      <c r="I140" s="7"/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0.38685800000000015</v>
      </c>
      <c r="P140">
        <f t="shared" si="8"/>
        <v>0.38685800000000015</v>
      </c>
      <c r="S140">
        <f t="shared" si="7"/>
        <v>0.12566360000000001</v>
      </c>
    </row>
    <row r="141" spans="1:19">
      <c r="A141" s="8">
        <v>42810</v>
      </c>
      <c r="B141" s="7" t="s">
        <v>18</v>
      </c>
      <c r="C141" s="7">
        <v>14</v>
      </c>
      <c r="D141" s="7" t="s">
        <v>61</v>
      </c>
      <c r="E141">
        <v>106</v>
      </c>
      <c r="F141" s="7">
        <v>0.72</v>
      </c>
      <c r="H141" s="7"/>
      <c r="I141" s="7"/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2.8405330000000006</v>
      </c>
      <c r="P141">
        <f t="shared" si="8"/>
        <v>2.8405330000000006</v>
      </c>
      <c r="S141">
        <f t="shared" si="7"/>
        <v>0.40715006399999998</v>
      </c>
    </row>
    <row r="142" spans="1:19">
      <c r="A142" s="8">
        <v>42810</v>
      </c>
      <c r="B142" s="7" t="s">
        <v>18</v>
      </c>
      <c r="C142" s="7">
        <v>14</v>
      </c>
      <c r="D142" s="7" t="s">
        <v>61</v>
      </c>
      <c r="E142">
        <v>143</v>
      </c>
      <c r="F142" s="7">
        <v>1.1100000000000001</v>
      </c>
      <c r="H142" s="7"/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5.434418</v>
      </c>
      <c r="P142">
        <f t="shared" si="8"/>
        <v>5.434418</v>
      </c>
      <c r="S142">
        <f t="shared" si="7"/>
        <v>0.96768825975000017</v>
      </c>
    </row>
    <row r="143" spans="1:19">
      <c r="A143" s="8">
        <v>42810</v>
      </c>
      <c r="B143" s="7" t="s">
        <v>18</v>
      </c>
      <c r="C143" s="7">
        <v>14</v>
      </c>
      <c r="D143" s="7" t="s">
        <v>61</v>
      </c>
      <c r="E143">
        <v>160</v>
      </c>
      <c r="F143" s="7">
        <v>0.93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6.6262029999999994</v>
      </c>
      <c r="P143">
        <f t="shared" si="8"/>
        <v>6.6262029999999994</v>
      </c>
      <c r="S143">
        <f t="shared" si="7"/>
        <v>0.67929029775000005</v>
      </c>
    </row>
    <row r="144" spans="1:19">
      <c r="A144" s="8">
        <v>42810</v>
      </c>
      <c r="B144" s="7" t="s">
        <v>18</v>
      </c>
      <c r="C144" s="7">
        <v>14</v>
      </c>
      <c r="D144" s="7" t="s">
        <v>61</v>
      </c>
      <c r="E144">
        <v>78</v>
      </c>
      <c r="F144" s="7">
        <v>0.63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0.87759300000000007</v>
      </c>
      <c r="P144">
        <f t="shared" si="8"/>
        <v>0.87759300000000007</v>
      </c>
      <c r="S144">
        <f t="shared" si="7"/>
        <v>0.31172426775000001</v>
      </c>
    </row>
    <row r="145" spans="1:19">
      <c r="A145" s="8">
        <v>42810</v>
      </c>
      <c r="B145" s="7" t="s">
        <v>18</v>
      </c>
      <c r="C145" s="7">
        <v>14</v>
      </c>
      <c r="D145" s="7" t="s">
        <v>61</v>
      </c>
      <c r="E145">
        <v>94</v>
      </c>
      <c r="F145" s="7">
        <v>0.83</v>
      </c>
      <c r="H145" s="7"/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1.9992730000000005</v>
      </c>
      <c r="P145">
        <f t="shared" si="8"/>
        <v>1.9992730000000005</v>
      </c>
      <c r="S145">
        <f t="shared" si="7"/>
        <v>0.54106033774999995</v>
      </c>
    </row>
    <row r="146" spans="1:19">
      <c r="A146" s="8">
        <v>42810</v>
      </c>
      <c r="B146" s="7" t="s">
        <v>18</v>
      </c>
      <c r="C146" s="7">
        <v>14</v>
      </c>
      <c r="D146" s="7" t="s">
        <v>61</v>
      </c>
      <c r="E146">
        <v>73</v>
      </c>
      <c r="F146" s="7">
        <v>0.54</v>
      </c>
      <c r="H146" s="7"/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0.52706799999999987</v>
      </c>
      <c r="P146">
        <f t="shared" si="8"/>
        <v>0.52706799999999987</v>
      </c>
      <c r="S146">
        <f t="shared" si="7"/>
        <v>0.22902191100000002</v>
      </c>
    </row>
    <row r="147" spans="1:19">
      <c r="A147" s="8">
        <v>42810</v>
      </c>
      <c r="B147" s="7" t="s">
        <v>18</v>
      </c>
      <c r="C147" s="7">
        <v>14</v>
      </c>
      <c r="D147" s="7" t="s">
        <v>61</v>
      </c>
      <c r="E147">
        <v>114</v>
      </c>
      <c r="F147" s="7">
        <v>0.47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3.4013730000000004</v>
      </c>
      <c r="P147">
        <f t="shared" si="8"/>
        <v>3.4013730000000004</v>
      </c>
      <c r="S147">
        <f t="shared" si="7"/>
        <v>0.17349430774999999</v>
      </c>
    </row>
    <row r="148" spans="1:19">
      <c r="A148" s="8">
        <v>42810</v>
      </c>
      <c r="B148" s="7" t="s">
        <v>18</v>
      </c>
      <c r="C148" s="7">
        <v>6</v>
      </c>
      <c r="D148" s="7"/>
      <c r="F148" s="7"/>
      <c r="G148" s="7"/>
      <c r="I148" s="7"/>
      <c r="M148" t="s">
        <v>67</v>
      </c>
      <c r="P148">
        <f t="shared" si="8"/>
        <v>0</v>
      </c>
    </row>
    <row r="149" spans="1:19">
      <c r="A149" s="8">
        <v>42807</v>
      </c>
      <c r="B149" s="7" t="s">
        <v>16</v>
      </c>
      <c r="C149" s="7">
        <v>49</v>
      </c>
      <c r="D149" s="7" t="s">
        <v>62</v>
      </c>
      <c r="F149" s="7">
        <v>2.34</v>
      </c>
      <c r="G149" s="7"/>
      <c r="J149">
        <f>94+154+169+129</f>
        <v>546</v>
      </c>
      <c r="K149">
        <v>4</v>
      </c>
      <c r="L149">
        <v>169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5.2273969999999998</v>
      </c>
      <c r="P149">
        <f t="shared" si="8"/>
        <v>5.2273969999999998</v>
      </c>
      <c r="S149">
        <f t="shared" ref="S149:S213" si="9">3.14159*((F149/2)^2)</f>
        <v>4.3005225509999994</v>
      </c>
    </row>
    <row r="150" spans="1:19">
      <c r="A150" s="8">
        <v>42807</v>
      </c>
      <c r="B150" s="7" t="s">
        <v>16</v>
      </c>
      <c r="C150" s="7">
        <v>49</v>
      </c>
      <c r="D150" s="7" t="s">
        <v>62</v>
      </c>
      <c r="F150" s="7">
        <v>1.44</v>
      </c>
      <c r="G150" s="7"/>
      <c r="J150">
        <f>93+48+29+64+86</f>
        <v>320</v>
      </c>
      <c r="K150">
        <v>5</v>
      </c>
      <c r="L150">
        <v>86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2.0197490000000045</v>
      </c>
      <c r="P150">
        <f t="shared" si="8"/>
        <v>2.0197490000000045</v>
      </c>
      <c r="S150">
        <f t="shared" si="9"/>
        <v>1.6286002559999999</v>
      </c>
    </row>
    <row r="151" spans="1:19">
      <c r="A151" s="8">
        <v>42807</v>
      </c>
      <c r="B151" s="7" t="s">
        <v>16</v>
      </c>
      <c r="C151" s="7">
        <v>49</v>
      </c>
      <c r="D151" s="7" t="s">
        <v>62</v>
      </c>
      <c r="F151" s="7">
        <v>1.21</v>
      </c>
      <c r="J151">
        <f>20+28+33+34</f>
        <v>115</v>
      </c>
      <c r="K151">
        <v>4</v>
      </c>
      <c r="L151">
        <v>34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5.4870669999999997</v>
      </c>
      <c r="P151">
        <f t="shared" si="8"/>
        <v>5.4870669999999997</v>
      </c>
      <c r="S151">
        <f t="shared" si="9"/>
        <v>1.1499004797499999</v>
      </c>
    </row>
    <row r="152" spans="1:19">
      <c r="A152" s="8">
        <v>42807</v>
      </c>
      <c r="B152" s="7" t="s">
        <v>16</v>
      </c>
      <c r="C152" s="7">
        <v>44</v>
      </c>
      <c r="D152" s="7" t="s">
        <v>62</v>
      </c>
      <c r="F152" s="7">
        <v>1.51</v>
      </c>
      <c r="G152" s="7"/>
      <c r="J152">
        <f>48+71+72</f>
        <v>191</v>
      </c>
      <c r="K152">
        <v>3</v>
      </c>
      <c r="L152">
        <v>72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8.1874900000000004</v>
      </c>
      <c r="P152">
        <f t="shared" si="8"/>
        <v>8.1874900000000004</v>
      </c>
      <c r="S152">
        <f t="shared" si="9"/>
        <v>1.7907848397499999</v>
      </c>
    </row>
    <row r="153" spans="1:19">
      <c r="A153" s="8">
        <v>42807</v>
      </c>
      <c r="B153" s="7" t="s">
        <v>16</v>
      </c>
      <c r="C153" s="7">
        <v>44</v>
      </c>
      <c r="D153" s="7" t="s">
        <v>62</v>
      </c>
      <c r="F153" s="7">
        <v>1.36</v>
      </c>
      <c r="G153" s="7"/>
      <c r="J153">
        <f>33+59+93+95+77</f>
        <v>357</v>
      </c>
      <c r="K153">
        <v>5</v>
      </c>
      <c r="L153">
        <v>95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2.7774790000000067</v>
      </c>
      <c r="P153">
        <f t="shared" si="8"/>
        <v>2.7774790000000067</v>
      </c>
      <c r="S153">
        <f t="shared" si="9"/>
        <v>1.4526712160000002</v>
      </c>
    </row>
    <row r="154" spans="1:19">
      <c r="A154" s="8">
        <v>42807</v>
      </c>
      <c r="B154" s="7" t="s">
        <v>16</v>
      </c>
      <c r="C154" s="7">
        <v>44</v>
      </c>
      <c r="D154" s="7" t="s">
        <v>62</v>
      </c>
      <c r="F154" s="7">
        <v>1.39</v>
      </c>
      <c r="J154">
        <f>38+69+72+84</f>
        <v>263</v>
      </c>
      <c r="K154">
        <v>4</v>
      </c>
      <c r="L154">
        <v>84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4.3005570000000013</v>
      </c>
      <c r="P154">
        <f t="shared" si="8"/>
        <v>4.3005570000000013</v>
      </c>
      <c r="S154">
        <f t="shared" si="9"/>
        <v>1.5174665097499997</v>
      </c>
    </row>
    <row r="155" spans="1:19">
      <c r="A155" s="8">
        <v>42807</v>
      </c>
      <c r="B155" s="7" t="s">
        <v>16</v>
      </c>
      <c r="C155" s="7">
        <v>44</v>
      </c>
      <c r="D155" s="7" t="s">
        <v>62</v>
      </c>
      <c r="F155" s="7">
        <v>1.17</v>
      </c>
      <c r="G155" s="7"/>
      <c r="J155">
        <f>28+64+67+83</f>
        <v>242</v>
      </c>
      <c r="K155">
        <v>4</v>
      </c>
      <c r="L155">
        <v>83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2.6329469999999979</v>
      </c>
      <c r="P155">
        <f t="shared" si="8"/>
        <v>2.6329469999999979</v>
      </c>
      <c r="S155">
        <f t="shared" si="9"/>
        <v>1.0751306377499998</v>
      </c>
    </row>
    <row r="156" spans="1:19">
      <c r="A156" s="8">
        <v>42807</v>
      </c>
      <c r="B156" s="7" t="s">
        <v>16</v>
      </c>
      <c r="C156" s="7">
        <v>44</v>
      </c>
      <c r="D156" s="7" t="s">
        <v>62</v>
      </c>
      <c r="F156" s="7">
        <v>0.77</v>
      </c>
      <c r="J156">
        <f>17+25</f>
        <v>42</v>
      </c>
      <c r="K156">
        <v>2</v>
      </c>
      <c r="L156">
        <v>25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15.398862999999999</v>
      </c>
      <c r="P156">
        <f t="shared" si="8"/>
        <v>15.398862999999999</v>
      </c>
      <c r="S156">
        <f t="shared" si="9"/>
        <v>0.46566217774999996</v>
      </c>
    </row>
    <row r="157" spans="1:19">
      <c r="A157" s="8">
        <v>42807</v>
      </c>
      <c r="B157" s="7" t="s">
        <v>16</v>
      </c>
      <c r="C157" s="7">
        <v>44</v>
      </c>
      <c r="D157" s="7" t="s">
        <v>62</v>
      </c>
      <c r="F157" s="7">
        <v>1.31</v>
      </c>
      <c r="G157" s="7"/>
      <c r="J157">
        <f>61+74+81</f>
        <v>216</v>
      </c>
      <c r="K157">
        <v>3</v>
      </c>
      <c r="L157">
        <v>81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7.8201599999999978</v>
      </c>
      <c r="P157">
        <f t="shared" si="8"/>
        <v>7.8201599999999978</v>
      </c>
      <c r="S157">
        <f t="shared" si="9"/>
        <v>1.34782064975</v>
      </c>
    </row>
    <row r="158" spans="1:19">
      <c r="A158" s="8">
        <v>42807</v>
      </c>
      <c r="B158" s="7" t="s">
        <v>16</v>
      </c>
      <c r="C158" s="7">
        <v>44</v>
      </c>
      <c r="D158" s="7" t="s">
        <v>62</v>
      </c>
      <c r="F158" s="7">
        <v>1.22</v>
      </c>
      <c r="J158">
        <f>46+107+113</f>
        <v>266</v>
      </c>
      <c r="K158">
        <v>3</v>
      </c>
      <c r="L158">
        <v>113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2.868070000000003</v>
      </c>
      <c r="P158">
        <f t="shared" si="8"/>
        <v>2.868070000000003</v>
      </c>
      <c r="S158">
        <f t="shared" si="9"/>
        <v>1.168985639</v>
      </c>
    </row>
    <row r="159" spans="1:19">
      <c r="A159" s="8">
        <v>42807</v>
      </c>
      <c r="B159" s="7" t="s">
        <v>16</v>
      </c>
      <c r="C159" s="7">
        <v>44</v>
      </c>
      <c r="D159" s="7" t="s">
        <v>62</v>
      </c>
      <c r="F159" s="7">
        <v>1.1200000000000001</v>
      </c>
      <c r="G159" s="7"/>
      <c r="J159">
        <f>23+62+57+73+34</f>
        <v>249</v>
      </c>
      <c r="K159">
        <v>5</v>
      </c>
      <c r="L159">
        <v>73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-0.72067100000000295</v>
      </c>
      <c r="P159" t="str">
        <f t="shared" si="8"/>
        <v xml:space="preserve"> </v>
      </c>
      <c r="S159">
        <f t="shared" si="9"/>
        <v>0.98520262400000014</v>
      </c>
    </row>
    <row r="160" spans="1:19">
      <c r="A160" s="8">
        <v>42807</v>
      </c>
      <c r="B160" s="7" t="s">
        <v>16</v>
      </c>
      <c r="C160" s="7">
        <v>44</v>
      </c>
      <c r="D160" s="7" t="s">
        <v>62</v>
      </c>
      <c r="F160" s="7">
        <v>1.1499999999999999</v>
      </c>
      <c r="G160" s="7"/>
      <c r="J160">
        <f>15+22+26</f>
        <v>63</v>
      </c>
      <c r="K160">
        <v>3</v>
      </c>
      <c r="L160">
        <v>26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10.044119999999999</v>
      </c>
      <c r="P160">
        <f t="shared" si="8"/>
        <v>10.044119999999999</v>
      </c>
      <c r="S160">
        <f t="shared" si="9"/>
        <v>1.0386881937499999</v>
      </c>
    </row>
    <row r="161" spans="1:19">
      <c r="A161" s="8">
        <v>42807</v>
      </c>
      <c r="B161" s="7" t="s">
        <v>16</v>
      </c>
      <c r="C161" s="7">
        <v>36</v>
      </c>
      <c r="D161" s="7" t="s">
        <v>62</v>
      </c>
      <c r="F161" s="7"/>
      <c r="G161" s="7"/>
      <c r="M161" t="s">
        <v>65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0</v>
      </c>
      <c r="P161">
        <f t="shared" si="8"/>
        <v>0</v>
      </c>
      <c r="S161">
        <f t="shared" si="9"/>
        <v>0</v>
      </c>
    </row>
    <row r="162" spans="1:19">
      <c r="A162" s="8">
        <v>42807</v>
      </c>
      <c r="B162" s="7" t="s">
        <v>16</v>
      </c>
      <c r="C162" s="7">
        <v>13</v>
      </c>
      <c r="D162" s="7" t="s">
        <v>62</v>
      </c>
      <c r="F162" s="7">
        <v>1.1599999999999999</v>
      </c>
      <c r="G162" s="7"/>
      <c r="J162">
        <f>53+71+74+111</f>
        <v>309</v>
      </c>
      <c r="K162">
        <v>4</v>
      </c>
      <c r="L162">
        <v>111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0.47967200000000076</v>
      </c>
      <c r="P162">
        <f t="shared" si="8"/>
        <v>0.47967200000000076</v>
      </c>
      <c r="S162">
        <f t="shared" si="9"/>
        <v>1.0568308759999998</v>
      </c>
    </row>
    <row r="163" spans="1:19">
      <c r="A163" s="8">
        <v>42807</v>
      </c>
      <c r="B163" s="7" t="s">
        <v>16</v>
      </c>
      <c r="C163" s="7">
        <v>13</v>
      </c>
      <c r="D163" s="7" t="s">
        <v>62</v>
      </c>
      <c r="F163" s="7">
        <v>3.03</v>
      </c>
      <c r="G163" s="7"/>
      <c r="J163">
        <f>67+41+131</f>
        <v>239</v>
      </c>
      <c r="K163">
        <v>3</v>
      </c>
      <c r="L163">
        <v>131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-5.0857249999999965</v>
      </c>
      <c r="P163" t="str">
        <f t="shared" si="8"/>
        <v xml:space="preserve"> </v>
      </c>
      <c r="S163">
        <f t="shared" si="9"/>
        <v>7.2106559077499996</v>
      </c>
    </row>
    <row r="164" spans="1:19">
      <c r="A164" s="8">
        <v>42807</v>
      </c>
      <c r="B164" s="7" t="s">
        <v>16</v>
      </c>
      <c r="C164" s="7">
        <v>13</v>
      </c>
      <c r="D164" s="7" t="s">
        <v>62</v>
      </c>
      <c r="F164" s="7">
        <v>0.6</v>
      </c>
      <c r="J164">
        <f>10+13</f>
        <v>23</v>
      </c>
      <c r="K164">
        <v>2</v>
      </c>
      <c r="L164">
        <v>13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17.232457999999998</v>
      </c>
      <c r="P164">
        <f t="shared" si="8"/>
        <v>17.232457999999998</v>
      </c>
      <c r="S164">
        <f t="shared" si="9"/>
        <v>0.28274309999999997</v>
      </c>
    </row>
    <row r="165" spans="1:19">
      <c r="A165" s="8">
        <v>42807</v>
      </c>
      <c r="B165" s="7" t="s">
        <v>16</v>
      </c>
      <c r="C165" s="7">
        <v>13</v>
      </c>
      <c r="D165" s="7" t="s">
        <v>62</v>
      </c>
      <c r="F165" s="7">
        <v>7.94</v>
      </c>
      <c r="J165">
        <f>78+109+145+190</f>
        <v>522</v>
      </c>
      <c r="K165">
        <v>4</v>
      </c>
      <c r="L165">
        <v>190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-3.3488679999999889</v>
      </c>
      <c r="P165" t="str">
        <f t="shared" si="8"/>
        <v xml:space="preserve"> </v>
      </c>
      <c r="S165">
        <f t="shared" si="9"/>
        <v>49.514285831000002</v>
      </c>
    </row>
    <row r="166" spans="1:19">
      <c r="A166" s="8">
        <v>42807</v>
      </c>
      <c r="B166" s="7" t="s">
        <v>16</v>
      </c>
      <c r="C166" s="7">
        <v>13</v>
      </c>
      <c r="D166" s="7" t="s">
        <v>62</v>
      </c>
      <c r="F166" s="7">
        <v>1.05</v>
      </c>
      <c r="G166" s="7"/>
      <c r="J166">
        <f>63+50+46</f>
        <v>159</v>
      </c>
      <c r="K166">
        <v>3</v>
      </c>
      <c r="L166">
        <v>63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7.898534999999999</v>
      </c>
      <c r="P166">
        <f t="shared" si="8"/>
        <v>7.898534999999999</v>
      </c>
      <c r="S166">
        <f t="shared" si="9"/>
        <v>0.86590074375000003</v>
      </c>
    </row>
    <row r="167" spans="1:19">
      <c r="A167" s="8">
        <v>42807</v>
      </c>
      <c r="B167" s="7" t="s">
        <v>16</v>
      </c>
      <c r="C167" s="7">
        <v>13</v>
      </c>
      <c r="D167" s="7" t="s">
        <v>62</v>
      </c>
      <c r="F167" s="7">
        <v>1.29</v>
      </c>
      <c r="G167" s="7"/>
      <c r="J167">
        <f>42+67+74</f>
        <v>183</v>
      </c>
      <c r="K167">
        <v>3</v>
      </c>
      <c r="L167">
        <v>74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6.8349599999999988</v>
      </c>
      <c r="P167">
        <f t="shared" si="8"/>
        <v>6.8349599999999988</v>
      </c>
      <c r="S167">
        <f t="shared" si="9"/>
        <v>1.3069799797500001</v>
      </c>
    </row>
    <row r="168" spans="1:19">
      <c r="A168" s="8">
        <v>42807</v>
      </c>
      <c r="B168" s="7" t="s">
        <v>16</v>
      </c>
      <c r="C168" s="7">
        <v>9</v>
      </c>
      <c r="D168" s="7"/>
      <c r="F168" s="7"/>
      <c r="G168" s="7"/>
      <c r="M168" t="s">
        <v>63</v>
      </c>
      <c r="P168">
        <f t="shared" si="8"/>
        <v>0</v>
      </c>
    </row>
    <row r="169" spans="1:19">
      <c r="A169" s="8">
        <v>42807</v>
      </c>
      <c r="B169" s="7" t="s">
        <v>53</v>
      </c>
      <c r="C169" s="7">
        <v>42</v>
      </c>
      <c r="D169" s="7" t="s">
        <v>62</v>
      </c>
      <c r="F169" s="7">
        <v>1.1200000000000001</v>
      </c>
      <c r="J169">
        <f>32+69+105+115</f>
        <v>321</v>
      </c>
      <c r="K169">
        <v>4</v>
      </c>
      <c r="L169">
        <v>115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0.39975199999999944</v>
      </c>
      <c r="P169">
        <f t="shared" si="8"/>
        <v>0.39975199999999944</v>
      </c>
      <c r="S169">
        <f t="shared" si="9"/>
        <v>0.98520262400000014</v>
      </c>
    </row>
    <row r="170" spans="1:19">
      <c r="A170" s="8">
        <v>42807</v>
      </c>
      <c r="B170" s="7" t="s">
        <v>53</v>
      </c>
      <c r="C170" s="7">
        <v>42</v>
      </c>
      <c r="D170" s="7" t="s">
        <v>62</v>
      </c>
      <c r="F170" s="7">
        <v>1.35</v>
      </c>
      <c r="J170">
        <f>60+76+77+120</f>
        <v>333</v>
      </c>
      <c r="K170">
        <v>4</v>
      </c>
      <c r="L170">
        <v>120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1.8587000000003684E-2</v>
      </c>
      <c r="P170">
        <f t="shared" si="8"/>
        <v>1.8587000000003684E-2</v>
      </c>
      <c r="S170">
        <f t="shared" si="9"/>
        <v>1.4313869437500002</v>
      </c>
    </row>
    <row r="171" spans="1:19">
      <c r="A171" s="8">
        <v>42807</v>
      </c>
      <c r="B171" s="7" t="s">
        <v>53</v>
      </c>
      <c r="C171" s="7">
        <v>42</v>
      </c>
      <c r="D171" s="7" t="s">
        <v>62</v>
      </c>
      <c r="F171" s="7">
        <v>2.64</v>
      </c>
      <c r="J171">
        <f>125+152+190+123</f>
        <v>590</v>
      </c>
      <c r="K171">
        <v>4</v>
      </c>
      <c r="L171">
        <v>190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3.0264720000000089</v>
      </c>
      <c r="P171">
        <f t="shared" si="8"/>
        <v>3.0264720000000089</v>
      </c>
      <c r="S171">
        <f t="shared" si="9"/>
        <v>5.4739064160000002</v>
      </c>
    </row>
    <row r="172" spans="1:19">
      <c r="A172" s="8">
        <v>42807</v>
      </c>
      <c r="B172" s="7" t="s">
        <v>53</v>
      </c>
      <c r="C172" s="7">
        <v>42</v>
      </c>
      <c r="D172" s="7" t="s">
        <v>62</v>
      </c>
      <c r="F172" s="7">
        <v>0.61</v>
      </c>
      <c r="H172" s="7"/>
      <c r="J172">
        <f>33+36+39+60</f>
        <v>168</v>
      </c>
      <c r="K172">
        <v>4</v>
      </c>
      <c r="L172">
        <v>60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2.6237119999999976</v>
      </c>
      <c r="P172">
        <f t="shared" si="8"/>
        <v>2.6237119999999976</v>
      </c>
      <c r="S172">
        <f t="shared" si="9"/>
        <v>0.29224640974999999</v>
      </c>
    </row>
    <row r="173" spans="1:19">
      <c r="A173" s="8">
        <v>42807</v>
      </c>
      <c r="B173" s="7" t="s">
        <v>53</v>
      </c>
      <c r="C173" s="7">
        <v>42</v>
      </c>
      <c r="D173" s="7" t="s">
        <v>62</v>
      </c>
      <c r="F173" s="7">
        <v>1.38</v>
      </c>
      <c r="H173" s="7"/>
      <c r="J173">
        <f>58+132+140+161</f>
        <v>491</v>
      </c>
      <c r="K173">
        <v>4</v>
      </c>
      <c r="L173">
        <v>161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2.480832000000003</v>
      </c>
      <c r="P173">
        <f t="shared" si="8"/>
        <v>2.480832000000003</v>
      </c>
      <c r="S173">
        <f t="shared" si="9"/>
        <v>1.4957109989999997</v>
      </c>
    </row>
    <row r="174" spans="1:19">
      <c r="A174" s="8">
        <v>42807</v>
      </c>
      <c r="B174" s="7" t="s">
        <v>53</v>
      </c>
      <c r="C174" s="7">
        <v>9</v>
      </c>
      <c r="D174" s="7"/>
      <c r="F174" s="7"/>
      <c r="M174" t="s">
        <v>63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0</v>
      </c>
      <c r="P174">
        <f t="shared" si="8"/>
        <v>0</v>
      </c>
      <c r="S174">
        <f t="shared" si="9"/>
        <v>0</v>
      </c>
    </row>
    <row r="175" spans="1:19">
      <c r="A175" s="8">
        <v>42807</v>
      </c>
      <c r="B175" s="7" t="s">
        <v>53</v>
      </c>
      <c r="C175" s="7">
        <v>7</v>
      </c>
      <c r="D175" t="s">
        <v>60</v>
      </c>
      <c r="E175">
        <v>60</v>
      </c>
      <c r="F175" s="7">
        <v>1.06</v>
      </c>
      <c r="G175">
        <v>3</v>
      </c>
      <c r="H175" s="7"/>
      <c r="J175" s="7"/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1.469616</v>
      </c>
      <c r="P175">
        <f t="shared" si="8"/>
        <v>1.469616</v>
      </c>
      <c r="S175">
        <f t="shared" si="9"/>
        <v>0.88247263100000006</v>
      </c>
    </row>
    <row r="176" spans="1:19">
      <c r="A176" s="8">
        <v>42807</v>
      </c>
      <c r="B176" s="7" t="s">
        <v>53</v>
      </c>
      <c r="C176" s="7">
        <v>7</v>
      </c>
      <c r="D176" t="s">
        <v>60</v>
      </c>
      <c r="E176">
        <v>19</v>
      </c>
      <c r="F176" s="7">
        <v>0.65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-3.2586019999999998</v>
      </c>
      <c r="P176" t="str">
        <f t="shared" si="8"/>
        <v xml:space="preserve"> </v>
      </c>
      <c r="S176">
        <f t="shared" si="9"/>
        <v>0.33183044375000004</v>
      </c>
    </row>
    <row r="177" spans="1:19">
      <c r="A177" s="8">
        <v>42807</v>
      </c>
      <c r="B177" s="7" t="s">
        <v>53</v>
      </c>
      <c r="C177" s="7">
        <v>7</v>
      </c>
      <c r="D177" t="s">
        <v>60</v>
      </c>
      <c r="E177">
        <v>79</v>
      </c>
      <c r="F177" s="7">
        <v>1.2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0.94769799999999993</v>
      </c>
      <c r="P177">
        <f t="shared" si="8"/>
        <v>0.94769799999999993</v>
      </c>
      <c r="S177">
        <f t="shared" si="9"/>
        <v>1.1309723999999999</v>
      </c>
    </row>
    <row r="178" spans="1:19">
      <c r="A178" s="8">
        <v>42807</v>
      </c>
      <c r="B178" s="7" t="s">
        <v>53</v>
      </c>
      <c r="C178" s="7">
        <v>7</v>
      </c>
      <c r="D178" t="s">
        <v>60</v>
      </c>
      <c r="E178">
        <v>48</v>
      </c>
      <c r="F178" s="7">
        <v>0.85</v>
      </c>
      <c r="G178">
        <v>1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1.1756928</v>
      </c>
      <c r="P178">
        <f t="shared" si="8"/>
        <v>1.1756928</v>
      </c>
      <c r="S178">
        <f t="shared" si="9"/>
        <v>0.56744969374999987</v>
      </c>
    </row>
    <row r="179" spans="1:19">
      <c r="A179" s="8">
        <v>42807</v>
      </c>
      <c r="B179" s="7" t="s">
        <v>53</v>
      </c>
      <c r="C179" s="7">
        <v>7</v>
      </c>
      <c r="D179" t="s">
        <v>60</v>
      </c>
      <c r="E179">
        <v>83</v>
      </c>
      <c r="F179" s="7">
        <v>1.25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1.2281180000000003</v>
      </c>
      <c r="P179">
        <f t="shared" si="8"/>
        <v>1.2281180000000003</v>
      </c>
      <c r="S179">
        <f t="shared" si="9"/>
        <v>1.22718359375</v>
      </c>
    </row>
    <row r="180" spans="1:19">
      <c r="A180" s="8">
        <v>42807</v>
      </c>
      <c r="B180" s="7" t="s">
        <v>53</v>
      </c>
      <c r="C180" s="7">
        <v>7</v>
      </c>
      <c r="D180" t="s">
        <v>60</v>
      </c>
      <c r="E180">
        <v>71</v>
      </c>
      <c r="F180" s="7">
        <v>1.2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0.38685800000000015</v>
      </c>
      <c r="P180">
        <f t="shared" si="8"/>
        <v>0.38685800000000015</v>
      </c>
      <c r="S180">
        <f t="shared" si="9"/>
        <v>1.1309723999999999</v>
      </c>
    </row>
    <row r="181" spans="1:19">
      <c r="A181" s="8">
        <v>42807</v>
      </c>
      <c r="B181" s="7" t="s">
        <v>53</v>
      </c>
      <c r="C181" s="7">
        <v>7</v>
      </c>
      <c r="D181" t="s">
        <v>60</v>
      </c>
      <c r="E181">
        <v>56</v>
      </c>
      <c r="F181" s="7">
        <v>1.1200000000000001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-0.66471699999999956</v>
      </c>
      <c r="P181" t="str">
        <f t="shared" si="8"/>
        <v xml:space="preserve"> </v>
      </c>
      <c r="S181">
        <f t="shared" si="9"/>
        <v>0.98520262400000014</v>
      </c>
    </row>
    <row r="182" spans="1:19">
      <c r="A182" s="8">
        <v>42807</v>
      </c>
      <c r="B182" s="7" t="s">
        <v>53</v>
      </c>
      <c r="C182" s="7">
        <v>7</v>
      </c>
      <c r="D182" t="s">
        <v>60</v>
      </c>
      <c r="E182">
        <v>15</v>
      </c>
      <c r="F182" s="7">
        <v>0.65</v>
      </c>
      <c r="J182" s="7"/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-3.5390220000000001</v>
      </c>
      <c r="P182" t="str">
        <f t="shared" si="8"/>
        <v xml:space="preserve"> </v>
      </c>
      <c r="S182">
        <f t="shared" si="9"/>
        <v>0.33183044375000004</v>
      </c>
    </row>
    <row r="183" spans="1:19">
      <c r="A183" s="8">
        <v>42807</v>
      </c>
      <c r="B183" s="7" t="s">
        <v>53</v>
      </c>
      <c r="C183" s="7">
        <v>7</v>
      </c>
      <c r="D183" t="s">
        <v>60</v>
      </c>
      <c r="E183">
        <v>53</v>
      </c>
      <c r="F183" s="7">
        <v>1</v>
      </c>
      <c r="G183">
        <v>4</v>
      </c>
      <c r="J183" s="7"/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1.2981608</v>
      </c>
      <c r="P183">
        <f t="shared" si="8"/>
        <v>1.2981608</v>
      </c>
      <c r="S183">
        <f t="shared" si="9"/>
        <v>0.78539749999999997</v>
      </c>
    </row>
    <row r="184" spans="1:19">
      <c r="A184" s="8">
        <v>42807</v>
      </c>
      <c r="B184" s="7" t="s">
        <v>53</v>
      </c>
      <c r="C184" s="7">
        <v>7</v>
      </c>
      <c r="D184" t="s">
        <v>60</v>
      </c>
      <c r="E184">
        <v>42</v>
      </c>
      <c r="F184" s="7">
        <v>0.84</v>
      </c>
      <c r="J184" s="7"/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-1.6461869999999998</v>
      </c>
      <c r="P184" t="str">
        <f t="shared" si="8"/>
        <v xml:space="preserve"> </v>
      </c>
      <c r="S184">
        <f t="shared" si="9"/>
        <v>0.55417647599999986</v>
      </c>
    </row>
    <row r="185" spans="1:19">
      <c r="A185" s="8">
        <v>42807</v>
      </c>
      <c r="B185" s="7" t="s">
        <v>53</v>
      </c>
      <c r="C185" s="7">
        <v>7</v>
      </c>
      <c r="D185" t="s">
        <v>60</v>
      </c>
      <c r="E185">
        <v>120</v>
      </c>
      <c r="F185" s="7">
        <v>1.1499999999999999</v>
      </c>
      <c r="J185" s="7"/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3.8220029999999996</v>
      </c>
      <c r="P185">
        <f t="shared" si="8"/>
        <v>3.8220029999999996</v>
      </c>
      <c r="S185">
        <f t="shared" si="9"/>
        <v>1.0386881937499999</v>
      </c>
    </row>
    <row r="186" spans="1:19">
      <c r="A186" s="8">
        <v>42807</v>
      </c>
      <c r="B186" s="7" t="s">
        <v>53</v>
      </c>
      <c r="C186" s="7">
        <v>7</v>
      </c>
      <c r="D186" t="s">
        <v>60</v>
      </c>
      <c r="E186">
        <v>21</v>
      </c>
      <c r="F186" s="7">
        <v>0.7</v>
      </c>
      <c r="J186" s="7"/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-3.1183920000000001</v>
      </c>
      <c r="P186" t="str">
        <f t="shared" si="8"/>
        <v xml:space="preserve"> </v>
      </c>
      <c r="S186">
        <f t="shared" si="9"/>
        <v>0.38484477499999992</v>
      </c>
    </row>
    <row r="187" spans="1:19">
      <c r="A187" s="8">
        <v>42807</v>
      </c>
      <c r="B187" s="7" t="s">
        <v>53</v>
      </c>
      <c r="C187" s="7">
        <v>7</v>
      </c>
      <c r="D187" t="s">
        <v>60</v>
      </c>
      <c r="E187">
        <v>150</v>
      </c>
      <c r="F187" s="7">
        <v>1.48</v>
      </c>
      <c r="J187" s="7"/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5.9251530000000008</v>
      </c>
      <c r="P187">
        <f t="shared" si="8"/>
        <v>5.9251530000000008</v>
      </c>
      <c r="S187">
        <f t="shared" si="9"/>
        <v>1.7203346839999998</v>
      </c>
    </row>
    <row r="188" spans="1:19">
      <c r="A188" s="8">
        <v>42807</v>
      </c>
      <c r="B188" s="7" t="s">
        <v>53</v>
      </c>
      <c r="C188" s="7">
        <v>7</v>
      </c>
      <c r="D188" t="s">
        <v>60</v>
      </c>
      <c r="E188">
        <v>84</v>
      </c>
      <c r="F188" s="7">
        <v>0.98</v>
      </c>
      <c r="J188" s="7"/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1.2982230000000001</v>
      </c>
      <c r="P188">
        <f t="shared" si="8"/>
        <v>1.2982230000000001</v>
      </c>
      <c r="S188">
        <f t="shared" si="9"/>
        <v>0.7542957589999999</v>
      </c>
    </row>
    <row r="189" spans="1:19">
      <c r="A189" s="8">
        <v>42807</v>
      </c>
      <c r="B189" s="7" t="s">
        <v>53</v>
      </c>
      <c r="C189" s="7">
        <v>7</v>
      </c>
      <c r="D189" t="s">
        <v>60</v>
      </c>
      <c r="E189">
        <v>76</v>
      </c>
      <c r="F189" s="7">
        <v>1.04</v>
      </c>
      <c r="G189">
        <v>6</v>
      </c>
      <c r="J189" s="7"/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1.8615136000000001</v>
      </c>
      <c r="P189">
        <f t="shared" ref="P189:P252" si="10">IF(O189&lt;0," ",O189)</f>
        <v>1.8615136000000001</v>
      </c>
      <c r="S189">
        <f t="shared" si="9"/>
        <v>0.84948593600000011</v>
      </c>
    </row>
    <row r="190" spans="1:19">
      <c r="A190" s="8">
        <v>42807</v>
      </c>
      <c r="B190" s="7" t="s">
        <v>53</v>
      </c>
      <c r="C190" s="7">
        <v>7</v>
      </c>
      <c r="D190" s="7" t="s">
        <v>60</v>
      </c>
      <c r="E190">
        <v>54</v>
      </c>
      <c r="F190" s="7">
        <v>0.68</v>
      </c>
      <c r="J190" s="7"/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-0.80492699999999973</v>
      </c>
      <c r="P190" t="str">
        <f t="shared" si="10"/>
        <v xml:space="preserve"> </v>
      </c>
      <c r="S190">
        <f t="shared" si="9"/>
        <v>0.36316780400000004</v>
      </c>
    </row>
    <row r="191" spans="1:19">
      <c r="A191" s="8">
        <v>42807</v>
      </c>
      <c r="B191" s="7" t="s">
        <v>53</v>
      </c>
      <c r="C191" s="7">
        <v>5</v>
      </c>
      <c r="D191" s="7" t="s">
        <v>62</v>
      </c>
      <c r="F191" s="7">
        <v>2.73</v>
      </c>
      <c r="J191" s="7">
        <f>48+52+71+82+92+97</f>
        <v>442</v>
      </c>
      <c r="K191">
        <v>6</v>
      </c>
      <c r="L191">
        <v>97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3.121811000000001</v>
      </c>
      <c r="P191">
        <f t="shared" si="10"/>
        <v>3.121811000000001</v>
      </c>
      <c r="S191">
        <f t="shared" si="9"/>
        <v>5.8534890277499994</v>
      </c>
    </row>
    <row r="192" spans="1:19">
      <c r="A192" s="8">
        <v>42807</v>
      </c>
      <c r="B192" s="7" t="s">
        <v>53</v>
      </c>
      <c r="C192" s="7">
        <v>5</v>
      </c>
      <c r="D192" s="7" t="s">
        <v>62</v>
      </c>
      <c r="F192" s="7">
        <v>2.14</v>
      </c>
      <c r="J192" s="7">
        <f>46+47+65+81</f>
        <v>239</v>
      </c>
      <c r="K192">
        <v>4</v>
      </c>
      <c r="L192">
        <v>81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2.9541719999999998</v>
      </c>
      <c r="P192">
        <f t="shared" si="10"/>
        <v>2.9541719999999998</v>
      </c>
      <c r="S192">
        <f t="shared" si="9"/>
        <v>3.5968063909999999</v>
      </c>
    </row>
    <row r="193" spans="1:19">
      <c r="A193" s="8">
        <v>42807</v>
      </c>
      <c r="B193" s="7" t="s">
        <v>53</v>
      </c>
      <c r="C193" s="7">
        <v>3</v>
      </c>
      <c r="D193" s="7" t="s">
        <v>62</v>
      </c>
      <c r="F193" s="7">
        <v>1.18</v>
      </c>
      <c r="J193">
        <f>30+51+58+75</f>
        <v>214</v>
      </c>
      <c r="K193">
        <v>4</v>
      </c>
      <c r="L193">
        <v>75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2.4177670000000013</v>
      </c>
      <c r="P193">
        <f t="shared" si="10"/>
        <v>2.4177670000000013</v>
      </c>
      <c r="S193">
        <f t="shared" si="9"/>
        <v>1.0935874789999998</v>
      </c>
    </row>
    <row r="194" spans="1:19">
      <c r="A194" s="8">
        <v>42807</v>
      </c>
      <c r="B194" s="7" t="s">
        <v>53</v>
      </c>
      <c r="C194" s="7">
        <v>3</v>
      </c>
      <c r="D194" s="7" t="s">
        <v>62</v>
      </c>
      <c r="F194" s="7">
        <v>0.89</v>
      </c>
      <c r="H194" s="7"/>
      <c r="J194">
        <f>24+47+46+54</f>
        <v>171</v>
      </c>
      <c r="K194">
        <v>4</v>
      </c>
      <c r="L194">
        <v>47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6.8211620000000011</v>
      </c>
      <c r="P194">
        <f t="shared" si="10"/>
        <v>6.8211620000000011</v>
      </c>
      <c r="S194">
        <f t="shared" si="9"/>
        <v>0.62211335975000004</v>
      </c>
    </row>
    <row r="195" spans="1:19">
      <c r="A195" s="8">
        <v>42807</v>
      </c>
      <c r="B195" s="7" t="s">
        <v>53</v>
      </c>
      <c r="C195" s="7">
        <v>3</v>
      </c>
      <c r="D195" s="7" t="s">
        <v>62</v>
      </c>
      <c r="F195" s="7">
        <v>0.55000000000000004</v>
      </c>
      <c r="H195" s="7"/>
      <c r="J195">
        <f>31+40+51</f>
        <v>122</v>
      </c>
      <c r="K195">
        <v>3</v>
      </c>
      <c r="L195">
        <v>51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8.0445399999999978</v>
      </c>
      <c r="P195">
        <f t="shared" si="10"/>
        <v>8.0445399999999978</v>
      </c>
      <c r="S195">
        <f t="shared" si="9"/>
        <v>0.23758274375000002</v>
      </c>
    </row>
    <row r="196" spans="1:19">
      <c r="A196" s="8">
        <v>42807</v>
      </c>
      <c r="B196" s="7" t="s">
        <v>53</v>
      </c>
      <c r="C196" s="7">
        <v>3</v>
      </c>
      <c r="D196" s="7" t="s">
        <v>62</v>
      </c>
      <c r="F196" s="7">
        <v>0.44</v>
      </c>
      <c r="H196" s="7"/>
      <c r="J196">
        <f>25+34+44</f>
        <v>103</v>
      </c>
      <c r="K196">
        <v>3</v>
      </c>
      <c r="L196">
        <v>44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8.3719099999999962</v>
      </c>
      <c r="P196">
        <f t="shared" si="10"/>
        <v>8.3719099999999962</v>
      </c>
      <c r="S196">
        <f t="shared" si="9"/>
        <v>0.15205295599999999</v>
      </c>
    </row>
    <row r="197" spans="1:19">
      <c r="A197" s="8">
        <v>42807</v>
      </c>
      <c r="B197" s="7" t="s">
        <v>53</v>
      </c>
      <c r="C197" s="7">
        <v>3</v>
      </c>
      <c r="D197" s="7" t="s">
        <v>62</v>
      </c>
      <c r="F197" s="7">
        <v>1.25</v>
      </c>
      <c r="H197" s="7"/>
      <c r="J197">
        <f>77+80+100</f>
        <v>257</v>
      </c>
      <c r="K197">
        <v>3</v>
      </c>
      <c r="L197">
        <v>100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5.9404600000000016</v>
      </c>
      <c r="P197">
        <f t="shared" si="10"/>
        <v>5.9404600000000016</v>
      </c>
      <c r="S197">
        <f t="shared" si="9"/>
        <v>1.22718359375</v>
      </c>
    </row>
    <row r="198" spans="1:19">
      <c r="A198" s="8">
        <v>42807</v>
      </c>
      <c r="B198" s="7" t="s">
        <v>53</v>
      </c>
      <c r="C198" s="7">
        <v>3</v>
      </c>
      <c r="D198" s="7" t="s">
        <v>62</v>
      </c>
      <c r="F198" s="7">
        <v>0.87</v>
      </c>
      <c r="J198">
        <f>25+31+39</f>
        <v>95</v>
      </c>
      <c r="K198">
        <v>3</v>
      </c>
      <c r="L198">
        <v>39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9.1280949999999947</v>
      </c>
      <c r="P198">
        <f t="shared" si="10"/>
        <v>9.1280949999999947</v>
      </c>
      <c r="S198">
        <f t="shared" si="9"/>
        <v>0.59446736774999998</v>
      </c>
    </row>
    <row r="199" spans="1:19">
      <c r="A199" s="8">
        <v>42807</v>
      </c>
      <c r="B199" s="7" t="s">
        <v>53</v>
      </c>
      <c r="C199" s="7">
        <v>3</v>
      </c>
      <c r="D199" s="7" t="s">
        <v>62</v>
      </c>
      <c r="F199" s="7">
        <v>1.1599999999999999</v>
      </c>
      <c r="J199">
        <f>44+56+88+92</f>
        <v>280</v>
      </c>
      <c r="K199">
        <v>4</v>
      </c>
      <c r="L199">
        <v>92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3.4844319999999982</v>
      </c>
      <c r="P199">
        <f t="shared" si="10"/>
        <v>3.4844319999999982</v>
      </c>
      <c r="S199">
        <f t="shared" si="9"/>
        <v>1.0568308759999998</v>
      </c>
    </row>
    <row r="200" spans="1:19">
      <c r="A200" s="8">
        <v>42807</v>
      </c>
      <c r="B200" s="7" t="s">
        <v>53</v>
      </c>
      <c r="C200" s="7">
        <v>3</v>
      </c>
      <c r="D200" s="7" t="s">
        <v>62</v>
      </c>
      <c r="F200" s="7">
        <v>1.71</v>
      </c>
      <c r="J200">
        <f>78+95+107+127</f>
        <v>407</v>
      </c>
      <c r="K200">
        <v>4</v>
      </c>
      <c r="L200">
        <v>127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4.8477420000000002</v>
      </c>
      <c r="P200">
        <f t="shared" si="10"/>
        <v>4.8477420000000002</v>
      </c>
      <c r="S200">
        <f t="shared" si="9"/>
        <v>2.2965808297499999</v>
      </c>
    </row>
    <row r="201" spans="1:19">
      <c r="A201" s="8">
        <v>42807</v>
      </c>
      <c r="B201" s="7" t="s">
        <v>53</v>
      </c>
      <c r="C201" s="7">
        <v>3</v>
      </c>
      <c r="D201" s="7" t="s">
        <v>62</v>
      </c>
      <c r="F201" s="7">
        <v>1.59</v>
      </c>
      <c r="H201" s="7"/>
      <c r="J201">
        <f>134+150+160+92+129</f>
        <v>665</v>
      </c>
      <c r="K201">
        <v>5</v>
      </c>
      <c r="L201">
        <v>160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12.073094000000005</v>
      </c>
      <c r="P201">
        <f t="shared" si="10"/>
        <v>12.073094000000005</v>
      </c>
      <c r="S201">
        <f t="shared" si="9"/>
        <v>1.9855634197500001</v>
      </c>
    </row>
    <row r="202" spans="1:19">
      <c r="A202" s="8">
        <v>42809</v>
      </c>
      <c r="B202" s="7" t="s">
        <v>17</v>
      </c>
      <c r="C202" s="7">
        <v>37</v>
      </c>
      <c r="D202" s="7" t="s">
        <v>62</v>
      </c>
      <c r="F202" s="7">
        <v>1.21</v>
      </c>
      <c r="J202">
        <f>47+58+72+77</f>
        <v>254</v>
      </c>
      <c r="K202">
        <v>4</v>
      </c>
      <c r="L202">
        <v>77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5.5654770000000013</v>
      </c>
      <c r="P202">
        <f t="shared" si="10"/>
        <v>5.5654770000000013</v>
      </c>
      <c r="S202">
        <f t="shared" si="9"/>
        <v>1.1499004797499999</v>
      </c>
    </row>
    <row r="203" spans="1:19">
      <c r="A203" s="8">
        <v>42809</v>
      </c>
      <c r="B203" s="7" t="s">
        <v>17</v>
      </c>
      <c r="C203" s="7">
        <v>37</v>
      </c>
      <c r="D203" s="7" t="s">
        <v>62</v>
      </c>
      <c r="F203" s="7">
        <v>1.98</v>
      </c>
      <c r="J203">
        <f>71+84+102+108</f>
        <v>365</v>
      </c>
      <c r="K203">
        <v>4</v>
      </c>
      <c r="L203">
        <v>108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6.6336870000000054</v>
      </c>
      <c r="P203">
        <f t="shared" si="10"/>
        <v>6.6336870000000054</v>
      </c>
      <c r="S203">
        <f t="shared" si="9"/>
        <v>3.079072359</v>
      </c>
    </row>
    <row r="204" spans="1:19">
      <c r="A204" s="8">
        <v>42809</v>
      </c>
      <c r="B204" s="7" t="s">
        <v>17</v>
      </c>
      <c r="C204" s="7">
        <v>37</v>
      </c>
      <c r="D204" s="7" t="s">
        <v>62</v>
      </c>
      <c r="F204" s="7">
        <v>1.02</v>
      </c>
      <c r="J204">
        <f>70+35+36+49</f>
        <v>190</v>
      </c>
      <c r="K204">
        <v>4</v>
      </c>
      <c r="L204">
        <v>49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8.0000169999999997</v>
      </c>
      <c r="P204">
        <f t="shared" si="10"/>
        <v>8.0000169999999997</v>
      </c>
      <c r="S204">
        <f t="shared" si="9"/>
        <v>0.817127559</v>
      </c>
    </row>
    <row r="205" spans="1:19">
      <c r="A205" s="8">
        <v>42809</v>
      </c>
      <c r="B205" s="7" t="s">
        <v>17</v>
      </c>
      <c r="C205" s="7">
        <v>37</v>
      </c>
      <c r="D205" s="7" t="s">
        <v>62</v>
      </c>
      <c r="F205" s="7">
        <v>1.1299999999999999</v>
      </c>
      <c r="J205">
        <f>36+36+46</f>
        <v>118</v>
      </c>
      <c r="K205">
        <v>3</v>
      </c>
      <c r="L205">
        <v>46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9.1757449999999992</v>
      </c>
      <c r="P205">
        <f t="shared" si="10"/>
        <v>9.1757449999999992</v>
      </c>
      <c r="S205">
        <f t="shared" si="9"/>
        <v>1.0028740677499997</v>
      </c>
    </row>
    <row r="206" spans="1:19">
      <c r="A206" s="8">
        <v>42809</v>
      </c>
      <c r="B206" s="7" t="s">
        <v>17</v>
      </c>
      <c r="C206" s="7">
        <v>37</v>
      </c>
      <c r="D206" s="7" t="s">
        <v>62</v>
      </c>
      <c r="F206" s="7">
        <v>1.64</v>
      </c>
      <c r="J206">
        <f>28+98+100</f>
        <v>226</v>
      </c>
      <c r="K206">
        <v>3</v>
      </c>
      <c r="L206">
        <v>100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3.0340549999999986</v>
      </c>
      <c r="P206">
        <f t="shared" si="10"/>
        <v>3.0340549999999986</v>
      </c>
      <c r="S206">
        <f t="shared" si="9"/>
        <v>2.1124051159999997</v>
      </c>
    </row>
    <row r="207" spans="1:19">
      <c r="A207" s="8">
        <v>42809</v>
      </c>
      <c r="B207" s="7" t="s">
        <v>17</v>
      </c>
      <c r="C207" s="7">
        <v>37</v>
      </c>
      <c r="D207" s="7" t="s">
        <v>62</v>
      </c>
      <c r="F207" s="7">
        <v>0.93</v>
      </c>
      <c r="J207">
        <f>26+30+40</f>
        <v>96</v>
      </c>
      <c r="K207">
        <v>3</v>
      </c>
      <c r="L207">
        <v>40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8.9206049999999948</v>
      </c>
      <c r="P207">
        <f t="shared" si="10"/>
        <v>8.9206049999999948</v>
      </c>
      <c r="S207">
        <f t="shared" si="9"/>
        <v>0.67929029775000005</v>
      </c>
    </row>
    <row r="208" spans="1:19">
      <c r="A208" s="8">
        <v>42809</v>
      </c>
      <c r="B208" s="7" t="s">
        <v>17</v>
      </c>
      <c r="C208" s="7">
        <v>37</v>
      </c>
      <c r="D208" s="7" t="s">
        <v>62</v>
      </c>
      <c r="F208" s="7">
        <v>1.31</v>
      </c>
      <c r="J208">
        <f>23+106</f>
        <v>129</v>
      </c>
      <c r="K208">
        <v>2</v>
      </c>
      <c r="L208">
        <v>106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-0.84529700000000219</v>
      </c>
      <c r="P208" t="str">
        <f t="shared" si="10"/>
        <v xml:space="preserve"> </v>
      </c>
      <c r="S208">
        <f t="shared" si="9"/>
        <v>1.34782064975</v>
      </c>
    </row>
    <row r="209" spans="1:19">
      <c r="A209" s="8">
        <v>42809</v>
      </c>
      <c r="B209" s="7" t="s">
        <v>17</v>
      </c>
      <c r="C209" s="7">
        <v>37</v>
      </c>
      <c r="D209" s="7" t="s">
        <v>62</v>
      </c>
      <c r="F209" s="7">
        <v>0.84</v>
      </c>
      <c r="H209" s="7"/>
      <c r="J209">
        <f>24+35+39</f>
        <v>98</v>
      </c>
      <c r="K209">
        <v>3</v>
      </c>
      <c r="L209">
        <v>39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9.4093599999999995</v>
      </c>
      <c r="P209">
        <f t="shared" si="10"/>
        <v>9.4093599999999995</v>
      </c>
      <c r="S209">
        <f t="shared" si="9"/>
        <v>0.55417647599999986</v>
      </c>
    </row>
    <row r="210" spans="1:19">
      <c r="A210" s="8">
        <v>42809</v>
      </c>
      <c r="B210" s="7" t="s">
        <v>17</v>
      </c>
      <c r="C210" s="7">
        <v>34</v>
      </c>
      <c r="D210" s="7" t="s">
        <v>62</v>
      </c>
      <c r="F210" s="7">
        <v>1.19</v>
      </c>
      <c r="H210" s="7"/>
      <c r="J210">
        <f>28+48+57+58</f>
        <v>191</v>
      </c>
      <c r="K210">
        <v>4</v>
      </c>
      <c r="L210">
        <v>58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5.3825669999999981</v>
      </c>
      <c r="P210">
        <f t="shared" si="10"/>
        <v>5.3825669999999981</v>
      </c>
      <c r="S210">
        <f t="shared" si="9"/>
        <v>1.11220139975</v>
      </c>
    </row>
    <row r="211" spans="1:19">
      <c r="A211" s="8">
        <v>42809</v>
      </c>
      <c r="B211" s="7" t="s">
        <v>17</v>
      </c>
      <c r="C211" s="7">
        <v>34</v>
      </c>
      <c r="D211" s="7" t="s">
        <v>62</v>
      </c>
      <c r="F211" s="7">
        <v>1.19</v>
      </c>
      <c r="J211">
        <f>24+37+41+53</f>
        <v>155</v>
      </c>
      <c r="K211">
        <v>4</v>
      </c>
      <c r="L211">
        <v>53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3.5136119999999984</v>
      </c>
      <c r="P211">
        <f t="shared" si="10"/>
        <v>3.5136119999999984</v>
      </c>
      <c r="S211">
        <f t="shared" si="9"/>
        <v>1.11220139975</v>
      </c>
    </row>
    <row r="212" spans="1:19">
      <c r="A212" s="8">
        <v>42809</v>
      </c>
      <c r="B212" s="7" t="s">
        <v>17</v>
      </c>
      <c r="C212" s="7">
        <v>34</v>
      </c>
      <c r="D212" s="7" t="s">
        <v>62</v>
      </c>
      <c r="F212" s="7">
        <v>1.2</v>
      </c>
      <c r="J212">
        <f>35+44+52</f>
        <v>131</v>
      </c>
      <c r="K212">
        <v>3</v>
      </c>
      <c r="L212">
        <v>52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8.5870899999999963</v>
      </c>
      <c r="P212">
        <f t="shared" si="10"/>
        <v>8.5870899999999963</v>
      </c>
      <c r="S212">
        <f t="shared" si="9"/>
        <v>1.1309723999999999</v>
      </c>
    </row>
    <row r="213" spans="1:19">
      <c r="A213" s="8">
        <v>42809</v>
      </c>
      <c r="B213" s="7" t="s">
        <v>17</v>
      </c>
      <c r="C213" s="7">
        <v>34</v>
      </c>
      <c r="D213" s="7" t="s">
        <v>62</v>
      </c>
      <c r="F213" s="7">
        <v>1.8</v>
      </c>
      <c r="J213">
        <f>63+90+93</f>
        <v>246</v>
      </c>
      <c r="K213">
        <v>3</v>
      </c>
      <c r="L213">
        <v>93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7.0178699999999985</v>
      </c>
      <c r="P213">
        <f t="shared" si="10"/>
        <v>7.0178699999999985</v>
      </c>
      <c r="S213">
        <f t="shared" si="9"/>
        <v>2.5446879</v>
      </c>
    </row>
    <row r="214" spans="1:19">
      <c r="A214" s="8">
        <v>42809</v>
      </c>
      <c r="B214" s="7" t="s">
        <v>17</v>
      </c>
      <c r="C214" s="7">
        <v>34</v>
      </c>
      <c r="D214" s="7" t="s">
        <v>62</v>
      </c>
      <c r="F214" s="7">
        <v>1.92</v>
      </c>
      <c r="J214">
        <f>73+80+95+99</f>
        <v>347</v>
      </c>
      <c r="K214">
        <v>4</v>
      </c>
      <c r="L214">
        <v>99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7.6573020000000014</v>
      </c>
      <c r="P214">
        <f t="shared" si="10"/>
        <v>7.6573020000000014</v>
      </c>
      <c r="S214">
        <f t="shared" ref="S214:S277" si="11">3.14159*((F214/2)^2)</f>
        <v>2.8952893439999996</v>
      </c>
    </row>
    <row r="215" spans="1:19">
      <c r="A215" s="8">
        <v>42809</v>
      </c>
      <c r="B215" s="7" t="s">
        <v>17</v>
      </c>
      <c r="C215" s="7">
        <v>26</v>
      </c>
      <c r="D215" s="7" t="s">
        <v>62</v>
      </c>
      <c r="F215" s="7">
        <v>1.1000000000000001</v>
      </c>
      <c r="J215">
        <f>40+61+67+73</f>
        <v>241</v>
      </c>
      <c r="K215">
        <v>4</v>
      </c>
      <c r="L215">
        <v>73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5.5516420000000011</v>
      </c>
      <c r="P215">
        <f t="shared" si="10"/>
        <v>5.5516420000000011</v>
      </c>
      <c r="S215">
        <f t="shared" si="11"/>
        <v>0.95033097500000008</v>
      </c>
    </row>
    <row r="216" spans="1:19">
      <c r="A216" s="8">
        <v>42809</v>
      </c>
      <c r="B216" s="7" t="s">
        <v>17</v>
      </c>
      <c r="C216" s="7">
        <v>26</v>
      </c>
      <c r="D216" s="7" t="s">
        <v>62</v>
      </c>
      <c r="F216" s="7">
        <v>0.91</v>
      </c>
      <c r="J216">
        <f>31+31</f>
        <v>62</v>
      </c>
      <c r="K216">
        <v>2</v>
      </c>
      <c r="L216">
        <v>31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15.466493</v>
      </c>
      <c r="P216">
        <f t="shared" si="10"/>
        <v>15.466493</v>
      </c>
      <c r="S216">
        <f t="shared" si="11"/>
        <v>0.65038766975000006</v>
      </c>
    </row>
    <row r="217" spans="1:19">
      <c r="A217" s="8">
        <v>42809</v>
      </c>
      <c r="B217" s="7" t="s">
        <v>17</v>
      </c>
      <c r="C217" s="7">
        <v>26</v>
      </c>
      <c r="D217" s="7" t="s">
        <v>62</v>
      </c>
      <c r="F217" s="7">
        <v>0.61</v>
      </c>
      <c r="J217">
        <f>17+22</f>
        <v>39</v>
      </c>
      <c r="K217">
        <v>2</v>
      </c>
      <c r="L217">
        <v>22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16.021332999999998</v>
      </c>
      <c r="P217">
        <f t="shared" si="10"/>
        <v>16.021332999999998</v>
      </c>
      <c r="S217">
        <f t="shared" si="11"/>
        <v>0.29224640974999999</v>
      </c>
    </row>
    <row r="218" spans="1:19">
      <c r="A218" s="8">
        <v>42809</v>
      </c>
      <c r="B218" s="7" t="s">
        <v>17</v>
      </c>
      <c r="C218" s="7">
        <v>26</v>
      </c>
      <c r="D218" s="7" t="s">
        <v>62</v>
      </c>
      <c r="F218" s="7">
        <v>0.56000000000000005</v>
      </c>
      <c r="J218">
        <f>13+14</f>
        <v>27</v>
      </c>
      <c r="K218">
        <v>2</v>
      </c>
      <c r="L218">
        <v>14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17.306232999999999</v>
      </c>
      <c r="P218">
        <f t="shared" si="10"/>
        <v>17.306232999999999</v>
      </c>
      <c r="S218">
        <f t="shared" si="11"/>
        <v>0.24630065600000003</v>
      </c>
    </row>
    <row r="219" spans="1:19">
      <c r="A219" s="8">
        <v>42809</v>
      </c>
      <c r="B219" s="7" t="s">
        <v>17</v>
      </c>
      <c r="C219" s="7">
        <v>26</v>
      </c>
      <c r="D219" s="7" t="s">
        <v>62</v>
      </c>
      <c r="F219" s="7">
        <v>1.26</v>
      </c>
      <c r="J219">
        <f>25</f>
        <v>25</v>
      </c>
      <c r="K219">
        <v>1</v>
      </c>
      <c r="L219">
        <v>25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20.827380999999995</v>
      </c>
      <c r="P219">
        <f t="shared" si="10"/>
        <v>20.827380999999995</v>
      </c>
      <c r="S219">
        <f t="shared" si="11"/>
        <v>1.246897071</v>
      </c>
    </row>
    <row r="220" spans="1:19">
      <c r="A220" s="8">
        <v>42809</v>
      </c>
      <c r="B220" s="7" t="s">
        <v>17</v>
      </c>
      <c r="C220" s="7">
        <v>26</v>
      </c>
      <c r="D220" s="7" t="s">
        <v>62</v>
      </c>
      <c r="F220" s="7">
        <v>0.56999999999999995</v>
      </c>
      <c r="J220">
        <f>21+24</f>
        <v>45</v>
      </c>
      <c r="K220">
        <v>2</v>
      </c>
      <c r="L220">
        <v>24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15.981372999999998</v>
      </c>
      <c r="P220">
        <f t="shared" si="10"/>
        <v>15.981372999999998</v>
      </c>
      <c r="S220">
        <f t="shared" si="11"/>
        <v>0.25517564774999996</v>
      </c>
    </row>
    <row r="221" spans="1:19">
      <c r="A221" s="8">
        <v>42809</v>
      </c>
      <c r="B221" s="7" t="s">
        <v>17</v>
      </c>
      <c r="C221" s="7">
        <v>26</v>
      </c>
      <c r="D221" s="7" t="s">
        <v>62</v>
      </c>
      <c r="F221" s="7">
        <v>0.79</v>
      </c>
      <c r="J221">
        <f>31+33+103</f>
        <v>167</v>
      </c>
      <c r="K221">
        <v>3</v>
      </c>
      <c r="L221">
        <v>103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-3.4012250000000037</v>
      </c>
      <c r="P221" t="str">
        <f t="shared" si="10"/>
        <v xml:space="preserve"> </v>
      </c>
      <c r="S221">
        <f t="shared" si="11"/>
        <v>0.49016657975000005</v>
      </c>
    </row>
    <row r="222" spans="1:19">
      <c r="A222" s="8">
        <v>42809</v>
      </c>
      <c r="B222" s="7" t="s">
        <v>17</v>
      </c>
      <c r="C222" s="7">
        <v>26</v>
      </c>
      <c r="D222" s="7" t="s">
        <v>62</v>
      </c>
      <c r="F222" s="7">
        <v>1.1399999999999999</v>
      </c>
      <c r="J222">
        <f>25+42+84+94</f>
        <v>245</v>
      </c>
      <c r="K222">
        <v>4</v>
      </c>
      <c r="L222">
        <v>94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-0.39948299999999648</v>
      </c>
      <c r="P222" t="str">
        <f t="shared" si="10"/>
        <v xml:space="preserve"> </v>
      </c>
      <c r="S222">
        <f t="shared" si="11"/>
        <v>1.0207025909999998</v>
      </c>
    </row>
    <row r="223" spans="1:19">
      <c r="A223" s="8">
        <v>42809</v>
      </c>
      <c r="B223" s="7" t="s">
        <v>17</v>
      </c>
      <c r="C223" s="7">
        <v>26</v>
      </c>
      <c r="D223" s="7" t="s">
        <v>62</v>
      </c>
      <c r="F223" s="7">
        <v>0.99</v>
      </c>
      <c r="H223" s="7"/>
      <c r="J223">
        <f>52+53+77</f>
        <v>182</v>
      </c>
      <c r="K223">
        <v>3</v>
      </c>
      <c r="L223">
        <v>77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5.8374699999999997</v>
      </c>
      <c r="P223">
        <f t="shared" si="10"/>
        <v>5.8374699999999997</v>
      </c>
      <c r="S223">
        <f t="shared" si="11"/>
        <v>0.76976808975</v>
      </c>
    </row>
    <row r="224" spans="1:19">
      <c r="A224" s="8">
        <v>42809</v>
      </c>
      <c r="B224" s="7" t="s">
        <v>17</v>
      </c>
      <c r="C224" s="7">
        <v>26</v>
      </c>
      <c r="D224" s="7" t="s">
        <v>62</v>
      </c>
      <c r="F224" s="7">
        <v>1.26</v>
      </c>
      <c r="H224" s="7"/>
      <c r="J224">
        <f>51+62+76+88</f>
        <v>277</v>
      </c>
      <c r="K224">
        <v>4</v>
      </c>
      <c r="L224">
        <v>88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4.4081469999999996</v>
      </c>
      <c r="P224">
        <f t="shared" si="10"/>
        <v>4.4081469999999996</v>
      </c>
      <c r="S224">
        <f t="shared" si="11"/>
        <v>1.246897071</v>
      </c>
    </row>
    <row r="225" spans="1:19">
      <c r="A225" s="8">
        <v>42809</v>
      </c>
      <c r="B225" s="7" t="s">
        <v>17</v>
      </c>
      <c r="C225" s="7">
        <v>26</v>
      </c>
      <c r="D225" s="7" t="s">
        <v>62</v>
      </c>
      <c r="F225" s="7">
        <v>0.73</v>
      </c>
      <c r="H225" s="7"/>
      <c r="J225">
        <f>15+20</f>
        <v>35</v>
      </c>
      <c r="K225">
        <v>2</v>
      </c>
      <c r="L225">
        <v>20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16.248802999999999</v>
      </c>
      <c r="P225">
        <f t="shared" si="10"/>
        <v>16.248802999999999</v>
      </c>
      <c r="S225">
        <f t="shared" si="11"/>
        <v>0.41853832774999994</v>
      </c>
    </row>
    <row r="226" spans="1:19">
      <c r="A226" s="8">
        <v>42809</v>
      </c>
      <c r="B226" s="7" t="s">
        <v>17</v>
      </c>
      <c r="C226" s="7">
        <v>26</v>
      </c>
      <c r="D226" s="7" t="s">
        <v>62</v>
      </c>
      <c r="F226" s="7">
        <v>0.69</v>
      </c>
      <c r="H226" s="7"/>
      <c r="J226">
        <f>13+16</f>
        <v>29</v>
      </c>
      <c r="K226">
        <v>2</v>
      </c>
      <c r="L226">
        <v>16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16.891252999999999</v>
      </c>
      <c r="P226">
        <f t="shared" si="10"/>
        <v>16.891252999999999</v>
      </c>
      <c r="S226">
        <f t="shared" si="11"/>
        <v>0.37392774974999993</v>
      </c>
    </row>
    <row r="227" spans="1:19">
      <c r="A227" s="8">
        <v>42809</v>
      </c>
      <c r="B227" s="7" t="s">
        <v>17</v>
      </c>
      <c r="C227" s="7">
        <v>26</v>
      </c>
      <c r="D227" s="7" t="s">
        <v>62</v>
      </c>
      <c r="F227" s="7">
        <v>1.64</v>
      </c>
      <c r="H227" s="7"/>
      <c r="J227">
        <f>75+76+112+116</f>
        <v>379</v>
      </c>
      <c r="K227">
        <v>4</v>
      </c>
      <c r="L227">
        <v>116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5.5362970000000011</v>
      </c>
      <c r="P227">
        <f t="shared" si="10"/>
        <v>5.5362970000000011</v>
      </c>
      <c r="S227">
        <f t="shared" si="11"/>
        <v>2.1124051159999997</v>
      </c>
    </row>
    <row r="228" spans="1:19">
      <c r="A228" s="8">
        <v>42809</v>
      </c>
      <c r="B228" s="7" t="s">
        <v>17</v>
      </c>
      <c r="C228" s="7">
        <v>23</v>
      </c>
      <c r="D228" s="7" t="s">
        <v>62</v>
      </c>
      <c r="F228" s="7">
        <v>0.91</v>
      </c>
      <c r="J228">
        <f>29+38+50+60</f>
        <v>177</v>
      </c>
      <c r="K228">
        <v>4</v>
      </c>
      <c r="L228">
        <v>60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3.4675069999999977</v>
      </c>
      <c r="P228">
        <f t="shared" si="10"/>
        <v>3.4675069999999977</v>
      </c>
      <c r="S228">
        <f t="shared" si="11"/>
        <v>0.65038766975000006</v>
      </c>
    </row>
    <row r="229" spans="1:19">
      <c r="A229" s="8">
        <v>42809</v>
      </c>
      <c r="B229" s="7" t="s">
        <v>17</v>
      </c>
      <c r="C229" s="7">
        <v>23</v>
      </c>
      <c r="D229" s="7" t="s">
        <v>62</v>
      </c>
      <c r="F229" s="7">
        <v>0.87</v>
      </c>
      <c r="J229">
        <f>20+28+37</f>
        <v>85</v>
      </c>
      <c r="K229">
        <v>3</v>
      </c>
      <c r="L229">
        <v>37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8.7930349999999962</v>
      </c>
      <c r="P229">
        <f t="shared" si="10"/>
        <v>8.7930349999999962</v>
      </c>
      <c r="S229">
        <f t="shared" si="11"/>
        <v>0.59446736774999998</v>
      </c>
    </row>
    <row r="230" spans="1:19">
      <c r="A230" s="8">
        <v>42809</v>
      </c>
      <c r="B230" s="7" t="s">
        <v>17</v>
      </c>
      <c r="C230" s="7">
        <v>23</v>
      </c>
      <c r="D230" s="7" t="s">
        <v>62</v>
      </c>
      <c r="F230" s="7">
        <v>0.7</v>
      </c>
      <c r="J230">
        <f>6+7+9</f>
        <v>22</v>
      </c>
      <c r="K230">
        <v>3</v>
      </c>
      <c r="L230">
        <v>9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11.321329999999996</v>
      </c>
      <c r="P230">
        <f t="shared" si="10"/>
        <v>11.321329999999996</v>
      </c>
      <c r="S230">
        <f t="shared" si="11"/>
        <v>0.38484477499999992</v>
      </c>
    </row>
    <row r="231" spans="1:19">
      <c r="A231" s="8">
        <v>42809</v>
      </c>
      <c r="B231" s="7" t="s">
        <v>17</v>
      </c>
      <c r="C231" s="7">
        <v>23</v>
      </c>
      <c r="D231" s="7" t="s">
        <v>62</v>
      </c>
      <c r="F231" s="7">
        <v>0.75</v>
      </c>
      <c r="J231">
        <f>12+14</f>
        <v>26</v>
      </c>
      <c r="K231">
        <v>2</v>
      </c>
      <c r="L231">
        <v>14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17.212477999999997</v>
      </c>
      <c r="P231">
        <f t="shared" si="10"/>
        <v>17.212477999999997</v>
      </c>
      <c r="S231">
        <f t="shared" si="11"/>
        <v>0.44178609375</v>
      </c>
    </row>
    <row r="232" spans="1:19">
      <c r="A232" s="8">
        <v>42809</v>
      </c>
      <c r="B232" s="7" t="s">
        <v>17</v>
      </c>
      <c r="C232" s="7">
        <v>20</v>
      </c>
      <c r="D232" s="7" t="s">
        <v>62</v>
      </c>
      <c r="F232" s="7">
        <v>1.02</v>
      </c>
      <c r="J232">
        <f>52+53+77</f>
        <v>182</v>
      </c>
      <c r="K232">
        <v>3</v>
      </c>
      <c r="L232">
        <v>77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5.8374699999999997</v>
      </c>
      <c r="P232">
        <f t="shared" si="10"/>
        <v>5.8374699999999997</v>
      </c>
      <c r="S232">
        <f t="shared" si="11"/>
        <v>0.817127559</v>
      </c>
    </row>
    <row r="233" spans="1:19">
      <c r="A233" s="8">
        <v>42809</v>
      </c>
      <c r="B233" s="7" t="s">
        <v>17</v>
      </c>
      <c r="C233" s="7">
        <v>20</v>
      </c>
      <c r="D233" s="7" t="s">
        <v>62</v>
      </c>
      <c r="F233" s="7">
        <v>0.59</v>
      </c>
      <c r="J233">
        <f>24+28</f>
        <v>52</v>
      </c>
      <c r="K233">
        <v>2</v>
      </c>
      <c r="L233">
        <v>28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15.432677999999996</v>
      </c>
      <c r="P233">
        <f t="shared" si="10"/>
        <v>15.432677999999996</v>
      </c>
      <c r="S233">
        <f t="shared" si="11"/>
        <v>0.27339686974999994</v>
      </c>
    </row>
    <row r="234" spans="1:19">
      <c r="A234" s="8">
        <v>42809</v>
      </c>
      <c r="B234" s="7" t="s">
        <v>17</v>
      </c>
      <c r="C234" s="7">
        <v>20</v>
      </c>
      <c r="D234" s="7" t="s">
        <v>62</v>
      </c>
      <c r="F234" s="7">
        <v>1.07</v>
      </c>
      <c r="J234">
        <f>24+49+64</f>
        <v>137</v>
      </c>
      <c r="K234">
        <v>3</v>
      </c>
      <c r="L234">
        <v>64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5.534679999999998</v>
      </c>
      <c r="P234">
        <f t="shared" si="10"/>
        <v>5.534679999999998</v>
      </c>
      <c r="S234">
        <f t="shared" si="11"/>
        <v>0.89920159774999997</v>
      </c>
    </row>
    <row r="235" spans="1:19">
      <c r="A235" s="8">
        <v>42809</v>
      </c>
      <c r="B235" s="7" t="s">
        <v>17</v>
      </c>
      <c r="C235" s="7">
        <v>20</v>
      </c>
      <c r="D235" s="7" t="s">
        <v>62</v>
      </c>
      <c r="F235" s="7">
        <v>1.45</v>
      </c>
      <c r="J235">
        <f>47+38+86</f>
        <v>171</v>
      </c>
      <c r="K235">
        <v>3</v>
      </c>
      <c r="L235">
        <v>86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2.0949600000000004</v>
      </c>
      <c r="P235">
        <f t="shared" si="10"/>
        <v>2.0949600000000004</v>
      </c>
      <c r="S235">
        <f t="shared" si="11"/>
        <v>1.6512982437499999</v>
      </c>
    </row>
    <row r="236" spans="1:19">
      <c r="A236" s="8">
        <v>42809</v>
      </c>
      <c r="B236" s="7" t="s">
        <v>17</v>
      </c>
      <c r="C236" s="7">
        <v>20</v>
      </c>
      <c r="D236" s="7" t="s">
        <v>62</v>
      </c>
      <c r="F236" s="7">
        <v>1.03</v>
      </c>
      <c r="J236">
        <f>39+41+64</f>
        <v>144</v>
      </c>
      <c r="K236">
        <v>3</v>
      </c>
      <c r="L236">
        <v>64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6.1909649999999985</v>
      </c>
      <c r="P236">
        <f t="shared" si="10"/>
        <v>6.1909649999999985</v>
      </c>
      <c r="S236">
        <f t="shared" si="11"/>
        <v>0.83322820774999995</v>
      </c>
    </row>
    <row r="237" spans="1:19">
      <c r="A237" s="8">
        <v>42809</v>
      </c>
      <c r="B237" s="7" t="s">
        <v>17</v>
      </c>
      <c r="C237" s="7">
        <v>20</v>
      </c>
      <c r="D237" s="7" t="s">
        <v>62</v>
      </c>
      <c r="F237" s="7">
        <v>0.78</v>
      </c>
      <c r="J237">
        <f>48+49+70</f>
        <v>167</v>
      </c>
      <c r="K237">
        <v>3</v>
      </c>
      <c r="L237">
        <v>70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6.5398599999999973</v>
      </c>
      <c r="P237">
        <f t="shared" si="10"/>
        <v>6.5398599999999973</v>
      </c>
      <c r="S237">
        <f t="shared" si="11"/>
        <v>0.47783583900000004</v>
      </c>
    </row>
    <row r="238" spans="1:19">
      <c r="A238" s="8">
        <v>42810</v>
      </c>
      <c r="B238" s="7" t="s">
        <v>19</v>
      </c>
      <c r="C238" s="7">
        <v>50</v>
      </c>
      <c r="D238" s="7" t="s">
        <v>62</v>
      </c>
      <c r="F238" s="7">
        <v>1.07</v>
      </c>
      <c r="G238" s="7"/>
      <c r="I238" s="7"/>
      <c r="J238">
        <f>20+36+37+38</f>
        <v>131</v>
      </c>
      <c r="K238">
        <v>4</v>
      </c>
      <c r="L238">
        <v>38</v>
      </c>
      <c r="M238" t="s">
        <v>66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5.7821669999999976</v>
      </c>
      <c r="P238">
        <f t="shared" si="10"/>
        <v>5.7821669999999976</v>
      </c>
      <c r="S238">
        <f t="shared" si="11"/>
        <v>0.89920159774999997</v>
      </c>
    </row>
    <row r="239" spans="1:19">
      <c r="A239" s="8">
        <v>42810</v>
      </c>
      <c r="B239" s="7" t="s">
        <v>19</v>
      </c>
      <c r="C239" s="7">
        <v>50</v>
      </c>
      <c r="D239" s="7" t="s">
        <v>62</v>
      </c>
      <c r="F239" s="7">
        <v>1.32</v>
      </c>
      <c r="G239" s="7"/>
      <c r="I239" s="7"/>
      <c r="J239">
        <f>33+62+78+98+103</f>
        <v>374</v>
      </c>
      <c r="K239">
        <v>5</v>
      </c>
      <c r="L239">
        <v>103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1.9613540000000036</v>
      </c>
      <c r="P239">
        <f t="shared" si="10"/>
        <v>1.9613540000000036</v>
      </c>
      <c r="S239">
        <f t="shared" si="11"/>
        <v>1.368476604</v>
      </c>
    </row>
    <row r="240" spans="1:19">
      <c r="A240" s="8">
        <v>42810</v>
      </c>
      <c r="B240" s="7" t="s">
        <v>19</v>
      </c>
      <c r="C240" s="7">
        <v>50</v>
      </c>
      <c r="D240" s="7" t="s">
        <v>62</v>
      </c>
      <c r="F240" s="7">
        <v>1.36</v>
      </c>
      <c r="G240" s="7"/>
      <c r="I240" s="7"/>
      <c r="J240">
        <f>25+37+47+48</f>
        <v>157</v>
      </c>
      <c r="K240">
        <v>4</v>
      </c>
      <c r="L240">
        <v>48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5.2073469999999986</v>
      </c>
      <c r="P240">
        <f t="shared" si="10"/>
        <v>5.2073469999999986</v>
      </c>
      <c r="S240">
        <f t="shared" si="11"/>
        <v>1.4526712160000002</v>
      </c>
    </row>
    <row r="241" spans="1:19">
      <c r="A241" s="8">
        <v>42810</v>
      </c>
      <c r="B241" s="7" t="s">
        <v>19</v>
      </c>
      <c r="C241" s="7">
        <v>50</v>
      </c>
      <c r="D241" s="7" t="s">
        <v>62</v>
      </c>
      <c r="F241" s="7">
        <v>1.1399999999999999</v>
      </c>
      <c r="J241">
        <f>40+75+75+22</f>
        <v>212</v>
      </c>
      <c r="K241">
        <v>4</v>
      </c>
      <c r="L241">
        <v>75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2.2302570000000017</v>
      </c>
      <c r="P241">
        <f t="shared" si="10"/>
        <v>2.2302570000000017</v>
      </c>
      <c r="S241">
        <f t="shared" si="11"/>
        <v>1.0207025909999998</v>
      </c>
    </row>
    <row r="242" spans="1:19">
      <c r="A242" s="8">
        <v>42810</v>
      </c>
      <c r="B242" s="7" t="s">
        <v>19</v>
      </c>
      <c r="C242" s="7">
        <v>50</v>
      </c>
      <c r="D242" s="7" t="s">
        <v>62</v>
      </c>
      <c r="F242" s="7">
        <v>0.64</v>
      </c>
      <c r="G242" s="7"/>
      <c r="I242" s="7"/>
      <c r="J242">
        <f>33+40+49+55</f>
        <v>177</v>
      </c>
      <c r="K242">
        <v>4</v>
      </c>
      <c r="L242">
        <v>55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4.9737319999999983</v>
      </c>
      <c r="P242">
        <f t="shared" si="10"/>
        <v>4.9737319999999983</v>
      </c>
      <c r="S242">
        <f t="shared" si="11"/>
        <v>0.321698816</v>
      </c>
    </row>
    <row r="243" spans="1:19">
      <c r="A243" s="8">
        <v>42810</v>
      </c>
      <c r="B243" s="7" t="s">
        <v>19</v>
      </c>
      <c r="C243" s="7">
        <v>50</v>
      </c>
      <c r="D243" s="7" t="s">
        <v>62</v>
      </c>
      <c r="F243" s="7">
        <v>1.33</v>
      </c>
      <c r="G243" s="7"/>
      <c r="J243">
        <f>32+46</f>
        <v>78</v>
      </c>
      <c r="K243">
        <v>2</v>
      </c>
      <c r="L243">
        <v>46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12.447897999999999</v>
      </c>
      <c r="P243">
        <f t="shared" si="10"/>
        <v>12.447897999999999</v>
      </c>
      <c r="S243">
        <f t="shared" si="11"/>
        <v>1.3892896377500001</v>
      </c>
    </row>
    <row r="244" spans="1:19">
      <c r="A244" s="8">
        <v>42810</v>
      </c>
      <c r="B244" s="7" t="s">
        <v>19</v>
      </c>
      <c r="C244" s="7">
        <v>50</v>
      </c>
      <c r="D244" s="7" t="s">
        <v>62</v>
      </c>
      <c r="F244" s="7">
        <v>2.0299999999999998</v>
      </c>
      <c r="J244">
        <f>50+82+97+111+114</f>
        <v>454</v>
      </c>
      <c r="K244">
        <v>5</v>
      </c>
      <c r="L244">
        <v>114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6.1480590000000035</v>
      </c>
      <c r="P244">
        <f t="shared" si="10"/>
        <v>6.1480590000000035</v>
      </c>
      <c r="S244">
        <f t="shared" si="11"/>
        <v>3.2365445577499989</v>
      </c>
    </row>
    <row r="245" spans="1:19">
      <c r="A245" s="8">
        <v>42810</v>
      </c>
      <c r="B245" s="7" t="s">
        <v>19</v>
      </c>
      <c r="C245" s="7">
        <v>50</v>
      </c>
      <c r="D245" s="7" t="s">
        <v>62</v>
      </c>
      <c r="F245" s="7">
        <v>0.72</v>
      </c>
      <c r="G245" s="7"/>
      <c r="J245">
        <f>15+17</f>
        <v>32</v>
      </c>
      <c r="K245">
        <v>2</v>
      </c>
      <c r="L245">
        <v>17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16.871272999999995</v>
      </c>
      <c r="P245">
        <f t="shared" si="10"/>
        <v>16.871272999999995</v>
      </c>
      <c r="S245">
        <f t="shared" si="11"/>
        <v>0.40715006399999998</v>
      </c>
    </row>
    <row r="246" spans="1:19">
      <c r="A246" s="8">
        <v>42810</v>
      </c>
      <c r="B246" s="7" t="s">
        <v>19</v>
      </c>
      <c r="C246" s="7">
        <v>50</v>
      </c>
      <c r="D246" s="7" t="s">
        <v>62</v>
      </c>
      <c r="F246" s="7">
        <v>0.91</v>
      </c>
      <c r="J246">
        <f>26+27+38+46</f>
        <v>137</v>
      </c>
      <c r="K246">
        <v>4</v>
      </c>
      <c r="L246">
        <v>46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3.9347369999999984</v>
      </c>
      <c r="P246">
        <f t="shared" si="10"/>
        <v>3.9347369999999984</v>
      </c>
      <c r="S246">
        <f t="shared" si="11"/>
        <v>0.65038766975000006</v>
      </c>
    </row>
    <row r="247" spans="1:19">
      <c r="A247" s="8">
        <v>42810</v>
      </c>
      <c r="B247" s="7" t="s">
        <v>19</v>
      </c>
      <c r="C247" s="7">
        <v>50</v>
      </c>
      <c r="D247" s="7" t="s">
        <v>62</v>
      </c>
      <c r="F247" s="7">
        <v>0.69</v>
      </c>
      <c r="G247" s="7"/>
      <c r="J247">
        <f>8+15+36</f>
        <v>59</v>
      </c>
      <c r="K247">
        <v>3</v>
      </c>
      <c r="L247">
        <v>36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6.6566499999999991</v>
      </c>
      <c r="P247">
        <f t="shared" si="10"/>
        <v>6.6566499999999991</v>
      </c>
      <c r="S247">
        <f t="shared" si="11"/>
        <v>0.37392774974999993</v>
      </c>
    </row>
    <row r="248" spans="1:19">
      <c r="A248" s="8">
        <v>42810</v>
      </c>
      <c r="B248" s="7" t="s">
        <v>19</v>
      </c>
      <c r="C248" s="7">
        <v>50</v>
      </c>
      <c r="D248" s="7" t="s">
        <v>62</v>
      </c>
      <c r="F248" s="7">
        <v>0.97</v>
      </c>
      <c r="G248" s="7"/>
      <c r="J248">
        <f>15+44+50+68+71</f>
        <v>248</v>
      </c>
      <c r="K248">
        <v>5</v>
      </c>
      <c r="L248">
        <v>71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-0.21193600000000146</v>
      </c>
      <c r="P248" t="str">
        <f t="shared" si="10"/>
        <v xml:space="preserve"> </v>
      </c>
      <c r="S248">
        <f t="shared" si="11"/>
        <v>0.7389805077499999</v>
      </c>
    </row>
    <row r="249" spans="1:19">
      <c r="A249" s="8">
        <v>42810</v>
      </c>
      <c r="B249" s="7" t="s">
        <v>19</v>
      </c>
      <c r="C249" s="7">
        <v>50</v>
      </c>
      <c r="D249" s="7" t="s">
        <v>62</v>
      </c>
      <c r="F249" s="7">
        <v>1.1499999999999999</v>
      </c>
      <c r="J249">
        <f>22+34+51+58+36</f>
        <v>201</v>
      </c>
      <c r="K249">
        <v>5</v>
      </c>
      <c r="L249">
        <v>58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-0.7022360000000063</v>
      </c>
      <c r="P249" t="str">
        <f t="shared" si="10"/>
        <v xml:space="preserve"> </v>
      </c>
      <c r="S249">
        <f t="shared" si="11"/>
        <v>1.0386881937499999</v>
      </c>
    </row>
    <row r="250" spans="1:19">
      <c r="A250" s="8">
        <v>42810</v>
      </c>
      <c r="B250" s="7" t="s">
        <v>19</v>
      </c>
      <c r="C250" s="7">
        <v>50</v>
      </c>
      <c r="D250" s="7" t="s">
        <v>62</v>
      </c>
      <c r="F250" s="7">
        <v>1.2</v>
      </c>
      <c r="G250" s="7"/>
      <c r="I250" s="7"/>
      <c r="J250">
        <f>12+14+19+20+22+41</f>
        <v>128</v>
      </c>
      <c r="K250">
        <v>6</v>
      </c>
      <c r="L250">
        <v>41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-9.447538999999999</v>
      </c>
      <c r="P250" t="str">
        <f t="shared" si="10"/>
        <v xml:space="preserve"> </v>
      </c>
      <c r="S250">
        <f t="shared" si="11"/>
        <v>1.1309723999999999</v>
      </c>
    </row>
    <row r="251" spans="1:19">
      <c r="A251" s="8">
        <v>42810</v>
      </c>
      <c r="B251" s="7" t="s">
        <v>19</v>
      </c>
      <c r="C251" s="7">
        <v>50</v>
      </c>
      <c r="D251" s="7" t="s">
        <v>62</v>
      </c>
      <c r="F251" s="7">
        <v>0.92</v>
      </c>
      <c r="G251" s="7"/>
      <c r="I251" s="7"/>
      <c r="J251">
        <f>36+36+47</f>
        <v>119</v>
      </c>
      <c r="K251">
        <v>3</v>
      </c>
      <c r="L251">
        <v>47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8.9682549999999992</v>
      </c>
      <c r="P251">
        <f t="shared" si="10"/>
        <v>8.9682549999999992</v>
      </c>
      <c r="S251">
        <f t="shared" si="11"/>
        <v>0.66476044400000001</v>
      </c>
    </row>
    <row r="252" spans="1:19">
      <c r="A252" s="8">
        <v>42810</v>
      </c>
      <c r="B252" s="7" t="s">
        <v>19</v>
      </c>
      <c r="C252" s="7">
        <v>50</v>
      </c>
      <c r="D252" s="7" t="s">
        <v>62</v>
      </c>
      <c r="F252" s="7">
        <v>1.94</v>
      </c>
      <c r="G252" s="7"/>
      <c r="I252" s="7"/>
      <c r="J252">
        <f>51+76+82+95+101</f>
        <v>405</v>
      </c>
      <c r="K252">
        <v>5</v>
      </c>
      <c r="L252">
        <v>101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5.4702490000000026</v>
      </c>
      <c r="P252">
        <f t="shared" si="10"/>
        <v>5.4702490000000026</v>
      </c>
      <c r="S252">
        <f t="shared" si="11"/>
        <v>2.9559220309999996</v>
      </c>
    </row>
    <row r="253" spans="1:19">
      <c r="A253" s="8">
        <v>42810</v>
      </c>
      <c r="B253" s="7" t="s">
        <v>19</v>
      </c>
      <c r="C253" s="7">
        <v>50</v>
      </c>
      <c r="D253" s="7" t="s">
        <v>62</v>
      </c>
      <c r="F253" s="7">
        <v>2.04</v>
      </c>
      <c r="G253" s="7"/>
      <c r="J253">
        <f>35+59+61+91+92+93+105</f>
        <v>536</v>
      </c>
      <c r="K253">
        <v>7</v>
      </c>
      <c r="L253">
        <v>105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2.5024680000000075</v>
      </c>
      <c r="P253">
        <f t="shared" ref="P253:P316" si="12">IF(O253&lt;0," ",O253)</f>
        <v>2.5024680000000075</v>
      </c>
      <c r="S253">
        <f t="shared" si="11"/>
        <v>3.268510236</v>
      </c>
    </row>
    <row r="254" spans="1:19">
      <c r="A254" s="8">
        <v>42810</v>
      </c>
      <c r="B254" s="7" t="s">
        <v>19</v>
      </c>
      <c r="C254" s="7">
        <v>50</v>
      </c>
      <c r="D254" s="7" t="s">
        <v>62</v>
      </c>
      <c r="F254" s="7">
        <v>1.61</v>
      </c>
      <c r="G254" s="7"/>
      <c r="J254">
        <f>71+100+107+127</f>
        <v>405</v>
      </c>
      <c r="K254">
        <v>4</v>
      </c>
      <c r="L254">
        <v>127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4.6602320000000041</v>
      </c>
      <c r="P254">
        <f t="shared" si="12"/>
        <v>4.6602320000000041</v>
      </c>
      <c r="S254">
        <f t="shared" si="11"/>
        <v>2.0358288597500001</v>
      </c>
    </row>
    <row r="255" spans="1:19">
      <c r="A255" s="8">
        <v>42810</v>
      </c>
      <c r="B255" s="7" t="s">
        <v>19</v>
      </c>
      <c r="C255" s="7">
        <v>50</v>
      </c>
      <c r="D255" s="7" t="s">
        <v>62</v>
      </c>
      <c r="F255" s="7">
        <v>1.59</v>
      </c>
      <c r="G255" s="7"/>
      <c r="J255">
        <f>31+55+81+116+124</f>
        <v>407</v>
      </c>
      <c r="K255">
        <v>5</v>
      </c>
      <c r="L255">
        <v>124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-1.2708760000000012</v>
      </c>
      <c r="P255" t="str">
        <f t="shared" si="12"/>
        <v xml:space="preserve"> </v>
      </c>
      <c r="S255">
        <f t="shared" si="11"/>
        <v>1.9855634197500001</v>
      </c>
    </row>
    <row r="256" spans="1:19">
      <c r="A256" s="8">
        <v>42810</v>
      </c>
      <c r="B256" s="7" t="s">
        <v>19</v>
      </c>
      <c r="C256" s="7">
        <v>50</v>
      </c>
      <c r="D256" s="7" t="s">
        <v>62</v>
      </c>
      <c r="F256" s="7">
        <v>0.96</v>
      </c>
      <c r="G256" s="7"/>
      <c r="J256">
        <f>32+43+52+64</f>
        <v>191</v>
      </c>
      <c r="K256">
        <v>4</v>
      </c>
      <c r="L256">
        <v>64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3.5750969999999995</v>
      </c>
      <c r="P256">
        <f t="shared" si="12"/>
        <v>3.5750969999999995</v>
      </c>
      <c r="S256">
        <f t="shared" si="11"/>
        <v>0.7238223359999999</v>
      </c>
    </row>
    <row r="257" spans="1:19">
      <c r="A257" s="8">
        <v>42810</v>
      </c>
      <c r="B257" s="7" t="s">
        <v>19</v>
      </c>
      <c r="C257" s="7">
        <v>50</v>
      </c>
      <c r="D257" s="7" t="s">
        <v>62</v>
      </c>
      <c r="F257" s="7">
        <v>0.9</v>
      </c>
      <c r="G257" s="7"/>
      <c r="J257">
        <f>11+23+29+35+38</f>
        <v>136</v>
      </c>
      <c r="K257">
        <v>5</v>
      </c>
      <c r="L257">
        <v>38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-0.77141100000000051</v>
      </c>
      <c r="P257" t="str">
        <f t="shared" si="12"/>
        <v xml:space="preserve"> </v>
      </c>
      <c r="S257">
        <f t="shared" si="11"/>
        <v>0.636171975</v>
      </c>
    </row>
    <row r="258" spans="1:19">
      <c r="A258" s="8">
        <v>42810</v>
      </c>
      <c r="B258" s="7" t="s">
        <v>19</v>
      </c>
      <c r="C258" s="7">
        <v>50</v>
      </c>
      <c r="D258" s="7" t="s">
        <v>62</v>
      </c>
      <c r="F258" s="7">
        <v>1.62</v>
      </c>
      <c r="J258">
        <f>50+78+80+93+103</f>
        <v>404</v>
      </c>
      <c r="K258">
        <v>5</v>
      </c>
      <c r="L258">
        <v>103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4.7740040000000015</v>
      </c>
      <c r="P258">
        <f t="shared" si="12"/>
        <v>4.7740040000000015</v>
      </c>
      <c r="S258">
        <f t="shared" si="11"/>
        <v>2.0611971990000004</v>
      </c>
    </row>
    <row r="259" spans="1:19">
      <c r="A259" s="8">
        <v>42810</v>
      </c>
      <c r="B259" s="7" t="s">
        <v>19</v>
      </c>
      <c r="C259" s="7">
        <v>50</v>
      </c>
      <c r="D259" s="7" t="s">
        <v>62</v>
      </c>
      <c r="F259" s="7">
        <v>0.91</v>
      </c>
      <c r="J259">
        <f>21+44+48</f>
        <v>113</v>
      </c>
      <c r="K259">
        <v>3</v>
      </c>
      <c r="L259">
        <v>48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8.1044799999999952</v>
      </c>
      <c r="P259">
        <f t="shared" si="12"/>
        <v>8.1044799999999952</v>
      </c>
      <c r="S259">
        <f t="shared" si="11"/>
        <v>0.65038766975000006</v>
      </c>
    </row>
    <row r="260" spans="1:19">
      <c r="A260" s="8">
        <v>42810</v>
      </c>
      <c r="B260" s="7" t="s">
        <v>19</v>
      </c>
      <c r="C260" s="7">
        <v>50</v>
      </c>
      <c r="D260" s="7" t="s">
        <v>62</v>
      </c>
      <c r="F260" s="7">
        <v>0.85</v>
      </c>
      <c r="J260">
        <f>44+47+54</f>
        <v>145</v>
      </c>
      <c r="K260">
        <v>3</v>
      </c>
      <c r="L260">
        <v>54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9.2971700000000013</v>
      </c>
      <c r="P260">
        <f t="shared" si="12"/>
        <v>9.2971700000000013</v>
      </c>
      <c r="S260">
        <f t="shared" si="11"/>
        <v>0.56744969374999987</v>
      </c>
    </row>
    <row r="261" spans="1:19">
      <c r="A261" s="8">
        <v>42810</v>
      </c>
      <c r="B261" s="7" t="s">
        <v>19</v>
      </c>
      <c r="C261" s="7">
        <v>50</v>
      </c>
      <c r="D261" s="7" t="s">
        <v>62</v>
      </c>
      <c r="F261" s="7">
        <v>0.53</v>
      </c>
      <c r="J261">
        <f>22+34+40</f>
        <v>96</v>
      </c>
      <c r="K261">
        <v>3</v>
      </c>
      <c r="L261">
        <v>40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8.9206049999999948</v>
      </c>
      <c r="P261">
        <f t="shared" si="12"/>
        <v>8.9206049999999948</v>
      </c>
      <c r="S261">
        <f t="shared" si="11"/>
        <v>0.22061815775000002</v>
      </c>
    </row>
    <row r="262" spans="1:19">
      <c r="A262" s="8">
        <v>42810</v>
      </c>
      <c r="B262" s="7" t="s">
        <v>19</v>
      </c>
      <c r="C262" s="7">
        <v>50</v>
      </c>
      <c r="D262" s="7" t="s">
        <v>62</v>
      </c>
      <c r="F262" s="7">
        <v>1.26</v>
      </c>
      <c r="J262">
        <f>38+65+76+84+99</f>
        <v>362</v>
      </c>
      <c r="K262">
        <v>5</v>
      </c>
      <c r="L262">
        <v>99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2.0412739999999978</v>
      </c>
      <c r="P262">
        <f t="shared" si="12"/>
        <v>2.0412739999999978</v>
      </c>
      <c r="S262">
        <f t="shared" si="11"/>
        <v>1.246897071</v>
      </c>
    </row>
    <row r="263" spans="1:19">
      <c r="A263" s="8">
        <v>42810</v>
      </c>
      <c r="B263" s="7" t="s">
        <v>19</v>
      </c>
      <c r="C263" s="7">
        <v>36</v>
      </c>
      <c r="D263" s="7" t="s">
        <v>61</v>
      </c>
      <c r="E263">
        <v>124</v>
      </c>
      <c r="F263" s="7">
        <v>1.05</v>
      </c>
      <c r="G263">
        <v>4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4.7748804000000007</v>
      </c>
      <c r="P263">
        <f t="shared" si="12"/>
        <v>4.7748804000000007</v>
      </c>
      <c r="S263">
        <f t="shared" si="11"/>
        <v>0.86590074375000003</v>
      </c>
    </row>
    <row r="264" spans="1:19">
      <c r="A264" s="8">
        <v>42810</v>
      </c>
      <c r="B264" s="7" t="s">
        <v>19</v>
      </c>
      <c r="C264" s="7">
        <v>36</v>
      </c>
      <c r="D264" s="7" t="s">
        <v>61</v>
      </c>
      <c r="E264">
        <v>127</v>
      </c>
      <c r="F264" s="7">
        <v>1.05</v>
      </c>
      <c r="H264" s="7"/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4.3127380000000004</v>
      </c>
      <c r="P264">
        <f t="shared" si="12"/>
        <v>4.3127380000000004</v>
      </c>
      <c r="S264">
        <f t="shared" si="11"/>
        <v>0.86590074375000003</v>
      </c>
    </row>
    <row r="265" spans="1:19">
      <c r="A265" s="8">
        <v>42810</v>
      </c>
      <c r="B265" s="7" t="s">
        <v>19</v>
      </c>
      <c r="C265" s="7">
        <v>36</v>
      </c>
      <c r="D265" s="7" t="s">
        <v>61</v>
      </c>
      <c r="E265">
        <v>103</v>
      </c>
      <c r="F265" s="7">
        <v>0.69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2.6302180000000002</v>
      </c>
      <c r="P265">
        <f t="shared" si="12"/>
        <v>2.6302180000000002</v>
      </c>
      <c r="S265">
        <f t="shared" si="11"/>
        <v>0.37392774974999993</v>
      </c>
    </row>
    <row r="266" spans="1:19">
      <c r="A266" s="8">
        <v>42810</v>
      </c>
      <c r="B266" s="7" t="s">
        <v>19</v>
      </c>
      <c r="C266" s="7">
        <v>36</v>
      </c>
      <c r="D266" s="7" t="s">
        <v>61</v>
      </c>
      <c r="E266">
        <v>0.59</v>
      </c>
      <c r="F266" s="7">
        <v>0.81</v>
      </c>
      <c r="G266">
        <v>1</v>
      </c>
      <c r="H266" s="7"/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2.2719189000000001E-2</v>
      </c>
      <c r="P266">
        <f t="shared" si="12"/>
        <v>2.2719189000000001E-2</v>
      </c>
      <c r="S266">
        <f t="shared" si="11"/>
        <v>0.51529929975000011</v>
      </c>
    </row>
    <row r="267" spans="1:19">
      <c r="A267" s="8">
        <v>42810</v>
      </c>
      <c r="B267" s="7" t="s">
        <v>19</v>
      </c>
      <c r="C267" s="7">
        <v>36</v>
      </c>
      <c r="D267" s="7" t="s">
        <v>61</v>
      </c>
      <c r="E267">
        <v>132</v>
      </c>
      <c r="F267" s="7">
        <v>0.84</v>
      </c>
      <c r="H267" s="7"/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4.6632629999999997</v>
      </c>
      <c r="P267">
        <f t="shared" si="12"/>
        <v>4.6632629999999997</v>
      </c>
      <c r="S267">
        <f t="shared" si="11"/>
        <v>0.55417647599999986</v>
      </c>
    </row>
    <row r="268" spans="1:19">
      <c r="A268" s="8">
        <v>42810</v>
      </c>
      <c r="B268" s="7" t="s">
        <v>19</v>
      </c>
      <c r="C268" s="7">
        <v>36</v>
      </c>
      <c r="D268" s="7" t="s">
        <v>61</v>
      </c>
      <c r="E268">
        <v>136</v>
      </c>
      <c r="F268" s="7">
        <v>0.44</v>
      </c>
      <c r="J268" s="7"/>
      <c r="L268" s="7"/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4.9436830000000009</v>
      </c>
      <c r="P268">
        <f t="shared" si="12"/>
        <v>4.9436830000000009</v>
      </c>
      <c r="S268">
        <f t="shared" si="11"/>
        <v>0.15205295599999999</v>
      </c>
    </row>
    <row r="269" spans="1:19">
      <c r="A269" s="8">
        <v>42810</v>
      </c>
      <c r="B269" s="7" t="s">
        <v>19</v>
      </c>
      <c r="C269" s="7">
        <v>36</v>
      </c>
      <c r="D269" s="7" t="s">
        <v>61</v>
      </c>
      <c r="E269">
        <v>42</v>
      </c>
      <c r="F269" s="7">
        <v>0.38</v>
      </c>
      <c r="H269" s="7"/>
      <c r="I269" s="7"/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-1.6461869999999998</v>
      </c>
      <c r="P269" t="str">
        <f t="shared" si="12"/>
        <v xml:space="preserve"> </v>
      </c>
      <c r="S269">
        <f t="shared" si="11"/>
        <v>0.113411399</v>
      </c>
    </row>
    <row r="270" spans="1:19">
      <c r="A270" s="8">
        <v>42810</v>
      </c>
      <c r="B270" s="7" t="s">
        <v>19</v>
      </c>
      <c r="C270" s="7">
        <v>36</v>
      </c>
      <c r="D270" s="7" t="s">
        <v>61</v>
      </c>
      <c r="E270">
        <v>177</v>
      </c>
      <c r="F270" s="7">
        <v>0.62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7.8179880000000006</v>
      </c>
      <c r="P270">
        <f t="shared" si="12"/>
        <v>7.8179880000000006</v>
      </c>
      <c r="S270">
        <f t="shared" si="11"/>
        <v>0.301906799</v>
      </c>
    </row>
    <row r="271" spans="1:19">
      <c r="A271" s="8">
        <v>42810</v>
      </c>
      <c r="B271" s="7" t="s">
        <v>19</v>
      </c>
      <c r="C271" s="7">
        <v>36</v>
      </c>
      <c r="D271" s="7" t="s">
        <v>61</v>
      </c>
      <c r="E271">
        <v>149</v>
      </c>
      <c r="F271" s="7">
        <v>0.55000000000000004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5.8550480000000009</v>
      </c>
      <c r="P271">
        <f t="shared" si="12"/>
        <v>5.8550480000000009</v>
      </c>
      <c r="S271">
        <f t="shared" si="11"/>
        <v>0.23758274375000002</v>
      </c>
    </row>
    <row r="272" spans="1:19">
      <c r="A272" s="8">
        <v>42810</v>
      </c>
      <c r="B272" s="7" t="s">
        <v>19</v>
      </c>
      <c r="C272" s="7">
        <v>36</v>
      </c>
      <c r="D272" s="7" t="s">
        <v>62</v>
      </c>
      <c r="F272" s="7">
        <v>1.88</v>
      </c>
      <c r="H272" s="7"/>
      <c r="J272">
        <f>29+45+42+86+101+116</f>
        <v>419</v>
      </c>
      <c r="K272">
        <v>6</v>
      </c>
      <c r="L272">
        <v>116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-4.7582090000000008</v>
      </c>
      <c r="P272" t="str">
        <f t="shared" si="12"/>
        <v xml:space="preserve"> </v>
      </c>
      <c r="S272">
        <f t="shared" si="11"/>
        <v>2.7759089239999999</v>
      </c>
    </row>
    <row r="273" spans="1:19">
      <c r="A273" s="8">
        <v>42810</v>
      </c>
      <c r="B273" s="7" t="s">
        <v>19</v>
      </c>
      <c r="C273" s="7">
        <v>36</v>
      </c>
      <c r="D273" s="7" t="s">
        <v>62</v>
      </c>
      <c r="F273" s="7">
        <v>1.31</v>
      </c>
      <c r="J273">
        <f>34+61+105+115+118</f>
        <v>433</v>
      </c>
      <c r="K273">
        <v>5</v>
      </c>
      <c r="L273">
        <v>118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2.9742240000000066</v>
      </c>
      <c r="P273">
        <f t="shared" si="12"/>
        <v>2.9742240000000066</v>
      </c>
      <c r="S273">
        <f t="shared" si="11"/>
        <v>1.34782064975</v>
      </c>
    </row>
    <row r="274" spans="1:19">
      <c r="A274" s="8">
        <v>42810</v>
      </c>
      <c r="B274" s="7" t="s">
        <v>19</v>
      </c>
      <c r="C274" s="7">
        <v>36</v>
      </c>
      <c r="D274" s="7" t="s">
        <v>62</v>
      </c>
      <c r="F274" s="7">
        <v>1.1000000000000001</v>
      </c>
      <c r="H274" s="7"/>
      <c r="J274">
        <f>52+64+67</f>
        <v>183</v>
      </c>
      <c r="K274">
        <v>3</v>
      </c>
      <c r="L274">
        <v>67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8.9436749999999989</v>
      </c>
      <c r="P274">
        <f t="shared" si="12"/>
        <v>8.9436749999999989</v>
      </c>
      <c r="S274">
        <f t="shared" si="11"/>
        <v>0.95033097500000008</v>
      </c>
    </row>
    <row r="275" spans="1:19">
      <c r="A275" s="8">
        <v>42810</v>
      </c>
      <c r="B275" s="7" t="s">
        <v>19</v>
      </c>
      <c r="C275" s="7">
        <v>36</v>
      </c>
      <c r="D275" s="7" t="s">
        <v>62</v>
      </c>
      <c r="F275" s="7">
        <v>0.83</v>
      </c>
      <c r="J275">
        <f>44+57+77+84</f>
        <v>262</v>
      </c>
      <c r="K275">
        <v>4</v>
      </c>
      <c r="L275">
        <v>84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4.2068019999999997</v>
      </c>
      <c r="P275">
        <f t="shared" si="12"/>
        <v>4.2068019999999997</v>
      </c>
      <c r="S275">
        <f t="shared" si="11"/>
        <v>0.54106033774999995</v>
      </c>
    </row>
    <row r="276" spans="1:19">
      <c r="A276" s="8">
        <v>42810</v>
      </c>
      <c r="B276" s="7" t="s">
        <v>19</v>
      </c>
      <c r="C276" s="7">
        <v>36</v>
      </c>
      <c r="D276" s="7" t="s">
        <v>62</v>
      </c>
      <c r="F276" s="7">
        <v>1.32</v>
      </c>
      <c r="J276">
        <f>24+55+81</f>
        <v>160</v>
      </c>
      <c r="K276">
        <v>3</v>
      </c>
      <c r="L276">
        <v>81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2.5698799999999977</v>
      </c>
      <c r="P276">
        <f t="shared" si="12"/>
        <v>2.5698799999999977</v>
      </c>
      <c r="S276">
        <f t="shared" si="11"/>
        <v>1.368476604</v>
      </c>
    </row>
    <row r="277" spans="1:19">
      <c r="A277" s="8">
        <v>42810</v>
      </c>
      <c r="B277" s="7" t="s">
        <v>19</v>
      </c>
      <c r="C277" s="7">
        <v>16</v>
      </c>
      <c r="D277" s="7" t="s">
        <v>62</v>
      </c>
      <c r="F277" s="7">
        <v>0.97</v>
      </c>
      <c r="J277">
        <f>74+95+97+109</f>
        <v>375</v>
      </c>
      <c r="K277">
        <v>4</v>
      </c>
      <c r="L277">
        <v>109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7.2699920000000056</v>
      </c>
      <c r="P277">
        <f t="shared" si="12"/>
        <v>7.2699920000000056</v>
      </c>
      <c r="S277">
        <f t="shared" si="11"/>
        <v>0.7389805077499999</v>
      </c>
    </row>
    <row r="278" spans="1:19">
      <c r="A278" s="8">
        <v>42810</v>
      </c>
      <c r="B278" s="7" t="s">
        <v>19</v>
      </c>
      <c r="C278" s="7">
        <v>16</v>
      </c>
      <c r="D278" s="7" t="s">
        <v>62</v>
      </c>
      <c r="F278" s="7">
        <v>1.08</v>
      </c>
      <c r="J278">
        <f>10+20+46+50+57</f>
        <v>183</v>
      </c>
      <c r="K278">
        <v>5</v>
      </c>
      <c r="L278">
        <v>57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-2.0885809999999978</v>
      </c>
      <c r="P278" t="str">
        <f t="shared" si="12"/>
        <v xml:space="preserve"> </v>
      </c>
      <c r="S278">
        <f t="shared" ref="S278:S341" si="13">3.14159*((F278/2)^2)</f>
        <v>0.91608764400000009</v>
      </c>
    </row>
    <row r="279" spans="1:19">
      <c r="A279" s="8">
        <v>42810</v>
      </c>
      <c r="B279" s="7" t="s">
        <v>19</v>
      </c>
      <c r="C279" s="7">
        <v>16</v>
      </c>
      <c r="D279" s="7" t="s">
        <v>62</v>
      </c>
      <c r="F279" s="7">
        <v>0.7</v>
      </c>
      <c r="J279">
        <f>49+69</f>
        <v>118</v>
      </c>
      <c r="K279">
        <v>2</v>
      </c>
      <c r="L279">
        <v>69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9.2694629999999982</v>
      </c>
      <c r="P279">
        <f t="shared" si="12"/>
        <v>9.2694629999999982</v>
      </c>
      <c r="S279">
        <f t="shared" si="13"/>
        <v>0.38484477499999992</v>
      </c>
    </row>
    <row r="280" spans="1:19">
      <c r="A280" s="8">
        <v>42810</v>
      </c>
      <c r="B280" s="7" t="s">
        <v>19</v>
      </c>
      <c r="C280" s="7">
        <v>16</v>
      </c>
      <c r="D280" s="7" t="s">
        <v>62</v>
      </c>
      <c r="F280" s="7">
        <v>1.07</v>
      </c>
      <c r="J280">
        <f>0.74+0.89+1</f>
        <v>2.63</v>
      </c>
      <c r="K280">
        <v>3</v>
      </c>
      <c r="L280">
        <v>10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9.2040506499999957</v>
      </c>
      <c r="P280">
        <f t="shared" si="12"/>
        <v>9.2040506499999957</v>
      </c>
      <c r="S280">
        <f t="shared" si="13"/>
        <v>0.89920159774999997</v>
      </c>
    </row>
    <row r="281" spans="1:19">
      <c r="A281" s="8">
        <v>42810</v>
      </c>
      <c r="B281" s="7" t="s">
        <v>19</v>
      </c>
      <c r="C281" s="7">
        <v>16</v>
      </c>
      <c r="D281" s="7" t="s">
        <v>62</v>
      </c>
      <c r="F281" s="7">
        <v>0.63</v>
      </c>
      <c r="J281">
        <f>48+74+82</f>
        <v>204</v>
      </c>
      <c r="K281">
        <v>3</v>
      </c>
      <c r="L281">
        <v>82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6.3938549999999985</v>
      </c>
      <c r="P281">
        <f t="shared" si="12"/>
        <v>6.3938549999999985</v>
      </c>
      <c r="S281">
        <f t="shared" si="13"/>
        <v>0.31172426775000001</v>
      </c>
    </row>
    <row r="282" spans="1:19">
      <c r="A282" s="8">
        <v>42810</v>
      </c>
      <c r="B282" s="7" t="s">
        <v>19</v>
      </c>
      <c r="C282" s="7">
        <v>16</v>
      </c>
      <c r="D282" s="7" t="s">
        <v>62</v>
      </c>
      <c r="F282" s="7">
        <v>1</v>
      </c>
      <c r="G282" s="7"/>
      <c r="J282">
        <f>73+107+122+125</f>
        <v>427</v>
      </c>
      <c r="K282">
        <v>4</v>
      </c>
      <c r="L282">
        <v>125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7.3253319999999995</v>
      </c>
      <c r="P282">
        <f t="shared" si="12"/>
        <v>7.3253319999999995</v>
      </c>
      <c r="S282">
        <f t="shared" si="13"/>
        <v>0.78539749999999997</v>
      </c>
    </row>
    <row r="283" spans="1:19">
      <c r="A283" s="8">
        <v>42810</v>
      </c>
      <c r="B283" s="7" t="s">
        <v>19</v>
      </c>
      <c r="C283" s="7">
        <v>16</v>
      </c>
      <c r="D283" s="7" t="s">
        <v>62</v>
      </c>
      <c r="F283" s="7">
        <v>4.46</v>
      </c>
      <c r="G283" s="7"/>
      <c r="J283">
        <f>1+124+141+150+163</f>
        <v>579</v>
      </c>
      <c r="K283">
        <v>5</v>
      </c>
      <c r="L283">
        <v>163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3.1064290000000057</v>
      </c>
      <c r="P283">
        <f t="shared" si="12"/>
        <v>3.1064290000000057</v>
      </c>
      <c r="S283">
        <f t="shared" si="13"/>
        <v>15.622812911</v>
      </c>
    </row>
    <row r="284" spans="1:19">
      <c r="A284" s="8">
        <v>42810</v>
      </c>
      <c r="B284" s="7" t="s">
        <v>19</v>
      </c>
      <c r="C284" s="7">
        <v>16</v>
      </c>
      <c r="D284" s="7" t="s">
        <v>62</v>
      </c>
      <c r="F284" s="7">
        <v>1.54</v>
      </c>
      <c r="J284">
        <f>96+127+159+183+207</f>
        <v>772</v>
      </c>
      <c r="K284">
        <v>5</v>
      </c>
      <c r="L284">
        <v>207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7.9463640000000026</v>
      </c>
      <c r="P284">
        <f t="shared" si="12"/>
        <v>7.9463640000000026</v>
      </c>
      <c r="S284">
        <f t="shared" si="13"/>
        <v>1.8626487109999998</v>
      </c>
    </row>
    <row r="285" spans="1:19">
      <c r="A285" s="8">
        <v>42810</v>
      </c>
      <c r="B285" s="7" t="s">
        <v>19</v>
      </c>
      <c r="C285" s="7">
        <v>13</v>
      </c>
      <c r="D285" s="7" t="s">
        <v>62</v>
      </c>
      <c r="F285" s="7">
        <v>1.39</v>
      </c>
      <c r="G285" s="7"/>
      <c r="H285" s="7"/>
      <c r="I285" s="7"/>
      <c r="J285">
        <f>12+52+57+70+87</f>
        <v>278</v>
      </c>
      <c r="K285">
        <v>5</v>
      </c>
      <c r="L285">
        <v>87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-2.2192059999999998</v>
      </c>
      <c r="P285" t="str">
        <f t="shared" si="12"/>
        <v xml:space="preserve"> </v>
      </c>
      <c r="S285">
        <f t="shared" si="13"/>
        <v>1.5174665097499997</v>
      </c>
    </row>
    <row r="286" spans="1:19">
      <c r="A286" s="8">
        <v>42810</v>
      </c>
      <c r="B286" s="7" t="s">
        <v>19</v>
      </c>
      <c r="C286" s="7">
        <v>13</v>
      </c>
      <c r="D286" s="7" t="s">
        <v>62</v>
      </c>
      <c r="F286" s="7">
        <v>2.0099999999999998</v>
      </c>
      <c r="I286" s="7"/>
      <c r="J286">
        <f>105+117+153+136</f>
        <v>511</v>
      </c>
      <c r="K286">
        <v>4</v>
      </c>
      <c r="L286">
        <v>153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6.7658919999999974</v>
      </c>
      <c r="P286">
        <f t="shared" si="12"/>
        <v>6.7658919999999974</v>
      </c>
      <c r="S286">
        <f t="shared" si="13"/>
        <v>3.1730844397499989</v>
      </c>
    </row>
    <row r="287" spans="1:19">
      <c r="A287" s="8">
        <v>42810</v>
      </c>
      <c r="B287" s="7" t="s">
        <v>19</v>
      </c>
      <c r="C287" s="7">
        <v>13</v>
      </c>
      <c r="D287" s="7" t="s">
        <v>62</v>
      </c>
      <c r="F287" s="7">
        <v>1.39</v>
      </c>
      <c r="G287" s="7"/>
      <c r="I287" s="7"/>
      <c r="J287">
        <f>31+43+61+66</f>
        <v>201</v>
      </c>
      <c r="K287">
        <v>4</v>
      </c>
      <c r="L287">
        <v>66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3.9101569999999981</v>
      </c>
      <c r="P287">
        <f t="shared" si="12"/>
        <v>3.9101569999999981</v>
      </c>
      <c r="S287">
        <f t="shared" si="13"/>
        <v>1.5174665097499997</v>
      </c>
    </row>
    <row r="288" spans="1:19">
      <c r="A288" s="8">
        <v>42810</v>
      </c>
      <c r="B288" s="7" t="s">
        <v>19</v>
      </c>
      <c r="C288" s="7">
        <v>6</v>
      </c>
      <c r="D288" s="7" t="s">
        <v>60</v>
      </c>
      <c r="E288">
        <v>262</v>
      </c>
      <c r="F288" s="7">
        <v>1.88</v>
      </c>
      <c r="G288" s="7"/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13.776913</v>
      </c>
      <c r="P288">
        <f t="shared" si="12"/>
        <v>13.776913</v>
      </c>
      <c r="S288">
        <f t="shared" si="13"/>
        <v>2.7759089239999999</v>
      </c>
    </row>
    <row r="289" spans="1:19">
      <c r="A289" s="8">
        <v>42810</v>
      </c>
      <c r="B289" s="7" t="s">
        <v>19</v>
      </c>
      <c r="C289" s="7">
        <v>6</v>
      </c>
      <c r="D289" s="7" t="s">
        <v>60</v>
      </c>
      <c r="E289">
        <v>108</v>
      </c>
      <c r="F289" s="7">
        <v>1.24</v>
      </c>
      <c r="G289">
        <v>4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2.6453088</v>
      </c>
      <c r="P289">
        <f t="shared" si="12"/>
        <v>2.6453088</v>
      </c>
      <c r="S289">
        <f t="shared" si="13"/>
        <v>1.207627196</v>
      </c>
    </row>
    <row r="290" spans="1:19">
      <c r="A290" s="8">
        <v>42810</v>
      </c>
      <c r="B290" s="7" t="s">
        <v>19</v>
      </c>
      <c r="C290" s="7">
        <v>6</v>
      </c>
      <c r="D290" s="7" t="s">
        <v>60</v>
      </c>
      <c r="E290">
        <v>220</v>
      </c>
      <c r="F290" s="7">
        <v>1.31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10.832502999999999</v>
      </c>
      <c r="P290">
        <f t="shared" si="12"/>
        <v>10.832502999999999</v>
      </c>
      <c r="S290">
        <f t="shared" si="13"/>
        <v>1.34782064975</v>
      </c>
    </row>
    <row r="291" spans="1:19">
      <c r="A291" s="8">
        <v>42810</v>
      </c>
      <c r="B291" s="7" t="s">
        <v>19</v>
      </c>
      <c r="C291" s="7">
        <v>6</v>
      </c>
      <c r="D291" s="7" t="s">
        <v>60</v>
      </c>
      <c r="E291">
        <v>213</v>
      </c>
      <c r="F291" s="7">
        <v>1.22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10.341768000000002</v>
      </c>
      <c r="P291">
        <f t="shared" si="12"/>
        <v>10.341768000000002</v>
      </c>
      <c r="S291">
        <f t="shared" si="13"/>
        <v>1.168985639</v>
      </c>
    </row>
    <row r="292" spans="1:19">
      <c r="A292" s="8">
        <v>42810</v>
      </c>
      <c r="B292" s="7" t="s">
        <v>19</v>
      </c>
      <c r="C292" s="7">
        <v>6</v>
      </c>
      <c r="D292" s="7" t="s">
        <v>60</v>
      </c>
      <c r="E292">
        <v>69</v>
      </c>
      <c r="F292" s="7">
        <v>1.98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0.24664800000000042</v>
      </c>
      <c r="P292">
        <f t="shared" si="12"/>
        <v>0.24664800000000042</v>
      </c>
      <c r="S292">
        <f t="shared" si="13"/>
        <v>3.079072359</v>
      </c>
    </row>
    <row r="293" spans="1:19">
      <c r="A293" s="8">
        <v>42810</v>
      </c>
      <c r="B293" s="7" t="s">
        <v>19</v>
      </c>
      <c r="C293" s="7">
        <v>6</v>
      </c>
      <c r="D293" s="7" t="s">
        <v>60</v>
      </c>
      <c r="E293">
        <v>294</v>
      </c>
      <c r="F293" s="7">
        <v>1.3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16.020273</v>
      </c>
      <c r="P293">
        <f t="shared" si="12"/>
        <v>16.020273</v>
      </c>
      <c r="S293">
        <f t="shared" si="13"/>
        <v>1.3273217750000001</v>
      </c>
    </row>
    <row r="294" spans="1:19">
      <c r="A294" s="8">
        <v>42810</v>
      </c>
      <c r="B294" s="7" t="s">
        <v>19</v>
      </c>
      <c r="C294" s="7">
        <v>6</v>
      </c>
      <c r="D294" s="7" t="s">
        <v>60</v>
      </c>
      <c r="E294">
        <v>243</v>
      </c>
      <c r="F294" s="7">
        <v>1.82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12.444918000000001</v>
      </c>
      <c r="P294">
        <f t="shared" si="12"/>
        <v>12.444918000000001</v>
      </c>
      <c r="S294">
        <f t="shared" si="13"/>
        <v>2.6015506790000003</v>
      </c>
    </row>
    <row r="295" spans="1:19">
      <c r="A295" s="8">
        <v>42810</v>
      </c>
      <c r="B295" s="7" t="s">
        <v>19</v>
      </c>
      <c r="C295" s="7">
        <v>6</v>
      </c>
      <c r="D295" s="7" t="s">
        <v>60</v>
      </c>
      <c r="E295">
        <v>307</v>
      </c>
      <c r="F295" s="7">
        <v>1.38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16.931638</v>
      </c>
      <c r="P295">
        <f t="shared" si="12"/>
        <v>16.931638</v>
      </c>
      <c r="S295">
        <f t="shared" si="13"/>
        <v>1.4957109989999997</v>
      </c>
    </row>
    <row r="296" spans="1:19">
      <c r="A296" s="8">
        <v>42810</v>
      </c>
      <c r="B296" s="7" t="s">
        <v>19</v>
      </c>
      <c r="C296" s="7">
        <v>6</v>
      </c>
      <c r="D296" s="7" t="s">
        <v>60</v>
      </c>
      <c r="E296">
        <v>121</v>
      </c>
      <c r="F296" s="7">
        <v>1</v>
      </c>
      <c r="G296">
        <v>13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2.9637256000000001</v>
      </c>
      <c r="P296">
        <f t="shared" si="12"/>
        <v>2.9637256000000001</v>
      </c>
      <c r="S296">
        <f t="shared" si="13"/>
        <v>0.78539749999999997</v>
      </c>
    </row>
    <row r="297" spans="1:19">
      <c r="A297" s="8">
        <v>42810</v>
      </c>
      <c r="B297" s="7" t="s">
        <v>19</v>
      </c>
      <c r="C297" s="7">
        <v>6</v>
      </c>
      <c r="D297" s="7" t="s">
        <v>60</v>
      </c>
      <c r="E297">
        <v>332</v>
      </c>
      <c r="F297" s="7">
        <v>1.76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18.684263000000001</v>
      </c>
      <c r="P297">
        <f t="shared" si="12"/>
        <v>18.684263000000001</v>
      </c>
      <c r="S297">
        <f t="shared" si="13"/>
        <v>2.4328472959999998</v>
      </c>
    </row>
    <row r="298" spans="1:19">
      <c r="A298" s="8">
        <v>42810</v>
      </c>
      <c r="B298" s="7" t="s">
        <v>19</v>
      </c>
      <c r="C298" s="7">
        <v>6</v>
      </c>
      <c r="D298" s="7" t="s">
        <v>60</v>
      </c>
      <c r="E298">
        <v>253</v>
      </c>
      <c r="F298" s="7">
        <v>1.3</v>
      </c>
      <c r="G298">
        <v>7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6.1968808000000006</v>
      </c>
      <c r="P298">
        <f t="shared" si="12"/>
        <v>6.1968808000000006</v>
      </c>
      <c r="S298">
        <f t="shared" si="13"/>
        <v>1.3273217750000001</v>
      </c>
    </row>
    <row r="299" spans="1:19">
      <c r="A299" s="8">
        <v>42810</v>
      </c>
      <c r="B299" s="7" t="s">
        <v>19</v>
      </c>
      <c r="C299" s="7">
        <v>6</v>
      </c>
      <c r="D299" s="7" t="s">
        <v>60</v>
      </c>
      <c r="E299">
        <v>191</v>
      </c>
      <c r="F299" s="7">
        <v>1.46</v>
      </c>
      <c r="G299" s="7"/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8.7994580000000013</v>
      </c>
      <c r="P299">
        <f t="shared" si="12"/>
        <v>8.7994580000000013</v>
      </c>
      <c r="S299">
        <f t="shared" si="13"/>
        <v>1.6741533109999998</v>
      </c>
    </row>
    <row r="300" spans="1:19">
      <c r="A300" s="8">
        <v>42810</v>
      </c>
      <c r="B300" s="7" t="s">
        <v>19</v>
      </c>
      <c r="C300" s="7">
        <v>6</v>
      </c>
      <c r="D300" s="7" t="s">
        <v>60</v>
      </c>
      <c r="E300">
        <v>49</v>
      </c>
      <c r="F300" s="7">
        <v>0.5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-1.1554519999999999</v>
      </c>
      <c r="P300" t="str">
        <f t="shared" si="12"/>
        <v xml:space="preserve"> </v>
      </c>
      <c r="S300">
        <f t="shared" si="13"/>
        <v>0.19634937499999999</v>
      </c>
    </row>
    <row r="301" spans="1:19">
      <c r="A301" s="8">
        <v>42810</v>
      </c>
      <c r="B301" s="7" t="s">
        <v>19</v>
      </c>
      <c r="C301" s="7">
        <v>6</v>
      </c>
      <c r="D301" s="7" t="s">
        <v>60</v>
      </c>
      <c r="E301">
        <v>257</v>
      </c>
      <c r="F301" s="7">
        <v>1.28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13.426388000000003</v>
      </c>
      <c r="P301">
        <f t="shared" si="12"/>
        <v>13.426388000000003</v>
      </c>
      <c r="S301">
        <f t="shared" si="13"/>
        <v>1.286795264</v>
      </c>
    </row>
    <row r="302" spans="1:19">
      <c r="A302" s="8">
        <v>42810</v>
      </c>
      <c r="B302" s="7" t="s">
        <v>19</v>
      </c>
      <c r="C302" s="7">
        <v>6</v>
      </c>
      <c r="D302" s="7" t="s">
        <v>60</v>
      </c>
      <c r="E302">
        <v>298</v>
      </c>
      <c r="F302" s="7">
        <v>1.37</v>
      </c>
      <c r="G302" s="7"/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16.300693000000003</v>
      </c>
      <c r="P302">
        <f t="shared" si="12"/>
        <v>16.300693000000003</v>
      </c>
      <c r="S302">
        <f t="shared" si="13"/>
        <v>1.4741125677500002</v>
      </c>
    </row>
    <row r="303" spans="1:19">
      <c r="A303" s="8">
        <v>42810</v>
      </c>
      <c r="B303" s="7" t="s">
        <v>19</v>
      </c>
      <c r="C303" s="7">
        <v>6</v>
      </c>
      <c r="D303" s="7" t="s">
        <v>60</v>
      </c>
      <c r="E303">
        <v>218</v>
      </c>
      <c r="F303" s="7">
        <v>1.03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10.692292999999999</v>
      </c>
      <c r="P303">
        <f t="shared" si="12"/>
        <v>10.692292999999999</v>
      </c>
      <c r="S303">
        <f t="shared" si="13"/>
        <v>0.83322820774999995</v>
      </c>
    </row>
    <row r="304" spans="1:19">
      <c r="A304" s="8">
        <v>42810</v>
      </c>
      <c r="B304" s="7" t="s">
        <v>19</v>
      </c>
      <c r="C304" s="7">
        <v>6</v>
      </c>
      <c r="D304" s="7" t="s">
        <v>60</v>
      </c>
      <c r="E304">
        <v>278</v>
      </c>
      <c r="F304" s="7">
        <v>0.78</v>
      </c>
      <c r="G304" s="7"/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14.898593000000002</v>
      </c>
      <c r="P304">
        <f t="shared" si="12"/>
        <v>14.898593000000002</v>
      </c>
      <c r="S304">
        <f t="shared" si="13"/>
        <v>0.47783583900000004</v>
      </c>
    </row>
    <row r="305" spans="1:19">
      <c r="A305" s="8">
        <v>42810</v>
      </c>
      <c r="B305" s="7" t="s">
        <v>19</v>
      </c>
      <c r="C305" s="7">
        <v>6</v>
      </c>
      <c r="D305" s="7" t="s">
        <v>60</v>
      </c>
      <c r="E305">
        <v>163</v>
      </c>
      <c r="F305" s="7">
        <v>0.96</v>
      </c>
      <c r="G305" s="7"/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6.8365180000000008</v>
      </c>
      <c r="P305">
        <f t="shared" si="12"/>
        <v>6.8365180000000008</v>
      </c>
      <c r="S305">
        <f t="shared" si="13"/>
        <v>0.7238223359999999</v>
      </c>
    </row>
    <row r="306" spans="1:19">
      <c r="A306" s="8">
        <v>42810</v>
      </c>
      <c r="B306" s="7" t="s">
        <v>19</v>
      </c>
      <c r="C306" s="7">
        <v>6</v>
      </c>
      <c r="D306" s="7" t="s">
        <v>60</v>
      </c>
      <c r="E306">
        <v>306</v>
      </c>
      <c r="F306" s="7">
        <v>1.45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16.861533000000001</v>
      </c>
      <c r="P306">
        <f t="shared" si="12"/>
        <v>16.861533000000001</v>
      </c>
      <c r="S306">
        <f t="shared" si="13"/>
        <v>1.6512982437499999</v>
      </c>
    </row>
    <row r="307" spans="1:19">
      <c r="A307" s="8">
        <v>42810</v>
      </c>
      <c r="B307" s="7" t="s">
        <v>19</v>
      </c>
      <c r="C307" s="7">
        <v>6</v>
      </c>
      <c r="D307" s="7" t="s">
        <v>60</v>
      </c>
      <c r="E307">
        <v>97</v>
      </c>
      <c r="F307" s="7">
        <v>1.05</v>
      </c>
      <c r="G307" s="7">
        <v>11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2.3758792</v>
      </c>
      <c r="P307">
        <f t="shared" si="12"/>
        <v>2.3758792</v>
      </c>
      <c r="S307">
        <f t="shared" si="13"/>
        <v>0.86590074375000003</v>
      </c>
    </row>
    <row r="308" spans="1:19">
      <c r="A308" s="8">
        <v>42810</v>
      </c>
      <c r="B308" s="7" t="s">
        <v>19</v>
      </c>
      <c r="C308" s="7">
        <v>6</v>
      </c>
      <c r="D308" s="7" t="s">
        <v>60</v>
      </c>
      <c r="E308">
        <v>291</v>
      </c>
      <c r="F308" s="7">
        <v>1.08</v>
      </c>
      <c r="G308" s="7"/>
      <c r="H308" s="7"/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15.809958000000002</v>
      </c>
      <c r="P308">
        <f t="shared" si="12"/>
        <v>15.809958000000002</v>
      </c>
      <c r="S308">
        <f t="shared" si="13"/>
        <v>0.91608764400000009</v>
      </c>
    </row>
    <row r="309" spans="1:19">
      <c r="A309" s="8">
        <v>42810</v>
      </c>
      <c r="B309" s="7" t="s">
        <v>19</v>
      </c>
      <c r="C309" s="7">
        <v>6</v>
      </c>
      <c r="D309" s="7" t="s">
        <v>60</v>
      </c>
      <c r="E309">
        <v>214</v>
      </c>
      <c r="F309" s="7">
        <v>1.4</v>
      </c>
      <c r="G309" s="7"/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10.411873</v>
      </c>
      <c r="P309">
        <f t="shared" si="12"/>
        <v>10.411873</v>
      </c>
      <c r="S309">
        <f t="shared" si="13"/>
        <v>1.5393790999999997</v>
      </c>
    </row>
    <row r="310" spans="1:19">
      <c r="A310" s="8">
        <v>42810</v>
      </c>
      <c r="B310" s="7" t="s">
        <v>19</v>
      </c>
      <c r="C310" s="7">
        <v>6</v>
      </c>
      <c r="D310" s="7" t="s">
        <v>60</v>
      </c>
      <c r="E310">
        <v>207</v>
      </c>
      <c r="F310" s="7">
        <v>1.56</v>
      </c>
      <c r="G310" s="7"/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9.9211379999999991</v>
      </c>
      <c r="P310">
        <f t="shared" si="12"/>
        <v>9.9211379999999991</v>
      </c>
      <c r="S310">
        <f t="shared" si="13"/>
        <v>1.9113433560000002</v>
      </c>
    </row>
    <row r="311" spans="1:19">
      <c r="A311" s="8">
        <v>42810</v>
      </c>
      <c r="B311" s="7" t="s">
        <v>19</v>
      </c>
      <c r="C311" s="7">
        <v>6</v>
      </c>
      <c r="D311" s="7" t="s">
        <v>60</v>
      </c>
      <c r="E311">
        <v>78</v>
      </c>
      <c r="F311" s="7">
        <v>0.9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0.87759300000000007</v>
      </c>
      <c r="P311">
        <f t="shared" si="12"/>
        <v>0.87759300000000007</v>
      </c>
      <c r="S311">
        <f t="shared" si="13"/>
        <v>0.636171975</v>
      </c>
    </row>
    <row r="312" spans="1:19">
      <c r="A312" s="8">
        <v>42810</v>
      </c>
      <c r="B312" s="7" t="s">
        <v>20</v>
      </c>
      <c r="C312" s="7">
        <v>46</v>
      </c>
      <c r="D312" s="7" t="s">
        <v>60</v>
      </c>
      <c r="E312">
        <v>159</v>
      </c>
      <c r="F312" s="7">
        <v>1.43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6.5560979999999995</v>
      </c>
      <c r="P312">
        <f t="shared" si="12"/>
        <v>6.5560979999999995</v>
      </c>
      <c r="S312">
        <f t="shared" si="13"/>
        <v>1.6060593477499998</v>
      </c>
    </row>
    <row r="313" spans="1:19">
      <c r="A313" s="8">
        <v>42810</v>
      </c>
      <c r="B313" s="7" t="s">
        <v>20</v>
      </c>
      <c r="C313" s="7">
        <v>46</v>
      </c>
      <c r="D313" s="7" t="s">
        <v>60</v>
      </c>
      <c r="E313">
        <v>230</v>
      </c>
      <c r="F313" s="7">
        <v>1.46</v>
      </c>
      <c r="G313" s="7"/>
      <c r="I313" s="7"/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11.533553000000001</v>
      </c>
      <c r="P313">
        <f t="shared" si="12"/>
        <v>11.533553000000001</v>
      </c>
      <c r="S313">
        <f t="shared" si="13"/>
        <v>1.6741533109999998</v>
      </c>
    </row>
    <row r="314" spans="1:19">
      <c r="A314" s="8">
        <v>42810</v>
      </c>
      <c r="B314" s="7" t="s">
        <v>20</v>
      </c>
      <c r="C314" s="7">
        <v>46</v>
      </c>
      <c r="D314" s="7" t="s">
        <v>60</v>
      </c>
      <c r="E314">
        <v>91</v>
      </c>
      <c r="F314" s="7">
        <v>0.99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1.788958</v>
      </c>
      <c r="P314">
        <f t="shared" si="12"/>
        <v>1.788958</v>
      </c>
      <c r="S314">
        <f t="shared" si="13"/>
        <v>0.76976808975</v>
      </c>
    </row>
    <row r="315" spans="1:19">
      <c r="A315" s="8">
        <v>42810</v>
      </c>
      <c r="B315" s="7" t="s">
        <v>20</v>
      </c>
      <c r="C315" s="7">
        <v>46</v>
      </c>
      <c r="D315" s="7" t="s">
        <v>60</v>
      </c>
      <c r="E315">
        <v>244</v>
      </c>
      <c r="F315" s="7">
        <v>1.6</v>
      </c>
      <c r="G315" s="7"/>
      <c r="I315" s="7"/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12.515023000000003</v>
      </c>
      <c r="P315">
        <f t="shared" si="12"/>
        <v>12.515023000000003</v>
      </c>
      <c r="S315">
        <f t="shared" si="13"/>
        <v>2.0106176000000002</v>
      </c>
    </row>
    <row r="316" spans="1:19">
      <c r="A316" s="8">
        <v>42810</v>
      </c>
      <c r="B316" s="7" t="s">
        <v>20</v>
      </c>
      <c r="C316" s="7">
        <v>46</v>
      </c>
      <c r="D316" s="7" t="s">
        <v>60</v>
      </c>
      <c r="E316">
        <v>95</v>
      </c>
      <c r="F316" s="7">
        <v>1.8</v>
      </c>
      <c r="H316" s="7"/>
      <c r="I316" s="7"/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2.0693780000000004</v>
      </c>
      <c r="P316">
        <f t="shared" si="12"/>
        <v>2.0693780000000004</v>
      </c>
      <c r="S316">
        <f t="shared" si="13"/>
        <v>2.5446879</v>
      </c>
    </row>
    <row r="317" spans="1:19">
      <c r="A317" s="8">
        <v>42810</v>
      </c>
      <c r="B317" s="7" t="s">
        <v>20</v>
      </c>
      <c r="C317" s="7">
        <v>46</v>
      </c>
      <c r="D317" s="7" t="s">
        <v>60</v>
      </c>
      <c r="E317">
        <v>101</v>
      </c>
      <c r="F317" s="7">
        <v>0.99</v>
      </c>
      <c r="I317" s="7"/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2.4900080000000004</v>
      </c>
      <c r="P317">
        <f t="shared" ref="P317:P380" si="14">IF(O317&lt;0," ",O317)</f>
        <v>2.4900080000000004</v>
      </c>
      <c r="S317">
        <f t="shared" si="13"/>
        <v>0.76976808975</v>
      </c>
    </row>
    <row r="318" spans="1:19">
      <c r="A318" s="8">
        <v>42810</v>
      </c>
      <c r="B318" s="7" t="s">
        <v>20</v>
      </c>
      <c r="C318" s="7">
        <v>46</v>
      </c>
      <c r="D318" s="7" t="s">
        <v>60</v>
      </c>
      <c r="E318">
        <v>87</v>
      </c>
      <c r="F318" s="7">
        <v>0.97</v>
      </c>
      <c r="G318" s="7"/>
      <c r="I318" s="7"/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1.5085380000000006</v>
      </c>
      <c r="P318">
        <f t="shared" si="14"/>
        <v>1.5085380000000006</v>
      </c>
      <c r="S318">
        <f t="shared" si="13"/>
        <v>0.7389805077499999</v>
      </c>
    </row>
    <row r="319" spans="1:19">
      <c r="A319" s="8">
        <v>42810</v>
      </c>
      <c r="B319" s="7" t="s">
        <v>20</v>
      </c>
      <c r="C319" s="7">
        <v>46</v>
      </c>
      <c r="D319" s="7" t="s">
        <v>60</v>
      </c>
      <c r="E319">
        <v>55</v>
      </c>
      <c r="F319" s="7">
        <v>0.68</v>
      </c>
      <c r="I319" s="7"/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-0.73482199999999986</v>
      </c>
      <c r="P319" t="str">
        <f t="shared" si="14"/>
        <v xml:space="preserve"> </v>
      </c>
      <c r="S319">
        <f t="shared" si="13"/>
        <v>0.36316780400000004</v>
      </c>
    </row>
    <row r="320" spans="1:19">
      <c r="A320" s="8">
        <v>42810</v>
      </c>
      <c r="B320" s="7" t="s">
        <v>20</v>
      </c>
      <c r="C320" s="7">
        <v>46</v>
      </c>
      <c r="D320" s="7" t="s">
        <v>60</v>
      </c>
      <c r="E320">
        <v>304</v>
      </c>
      <c r="F320" s="7">
        <v>1.35</v>
      </c>
      <c r="H320" s="7"/>
      <c r="I320" s="7"/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16.721323000000002</v>
      </c>
      <c r="P320">
        <f t="shared" si="14"/>
        <v>16.721323000000002</v>
      </c>
      <c r="S320">
        <f t="shared" si="13"/>
        <v>1.4313869437500002</v>
      </c>
    </row>
    <row r="321" spans="1:19">
      <c r="A321" s="8">
        <v>42810</v>
      </c>
      <c r="B321" s="7" t="s">
        <v>20</v>
      </c>
      <c r="C321" s="7">
        <v>46</v>
      </c>
      <c r="D321" s="7" t="s">
        <v>60</v>
      </c>
      <c r="E321">
        <v>269</v>
      </c>
      <c r="F321" s="7">
        <v>1.67</v>
      </c>
      <c r="I321" s="7"/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14.267648000000001</v>
      </c>
      <c r="P321">
        <f t="shared" si="14"/>
        <v>14.267648000000001</v>
      </c>
      <c r="S321">
        <f t="shared" si="13"/>
        <v>2.1903950877499998</v>
      </c>
    </row>
    <row r="322" spans="1:19">
      <c r="A322" s="8">
        <v>42810</v>
      </c>
      <c r="B322" s="7" t="s">
        <v>20</v>
      </c>
      <c r="C322" s="7">
        <v>46</v>
      </c>
      <c r="D322" s="7" t="s">
        <v>60</v>
      </c>
      <c r="E322">
        <v>239</v>
      </c>
      <c r="F322" s="7">
        <v>1.51</v>
      </c>
      <c r="I322" s="7"/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12.164498000000002</v>
      </c>
      <c r="P322">
        <f t="shared" si="14"/>
        <v>12.164498000000002</v>
      </c>
      <c r="S322">
        <f t="shared" si="13"/>
        <v>1.7907848397499999</v>
      </c>
    </row>
    <row r="323" spans="1:19">
      <c r="A323" s="8">
        <v>42810</v>
      </c>
      <c r="B323" s="7" t="s">
        <v>20</v>
      </c>
      <c r="C323" s="7">
        <v>46</v>
      </c>
      <c r="D323" s="7" t="s">
        <v>60</v>
      </c>
      <c r="E323">
        <v>263</v>
      </c>
      <c r="F323" s="7">
        <v>1.66</v>
      </c>
      <c r="I323" s="7"/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13.847018000000002</v>
      </c>
      <c r="P323">
        <f t="shared" si="14"/>
        <v>13.847018000000002</v>
      </c>
      <c r="S323">
        <f t="shared" si="13"/>
        <v>2.1642413509999998</v>
      </c>
    </row>
    <row r="324" spans="1:19">
      <c r="A324" s="8">
        <v>42810</v>
      </c>
      <c r="B324" s="7" t="s">
        <v>20</v>
      </c>
      <c r="C324" s="7">
        <v>46</v>
      </c>
      <c r="D324" s="7" t="s">
        <v>60</v>
      </c>
      <c r="E324">
        <v>125</v>
      </c>
      <c r="F324" s="7">
        <v>0.99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4.1725280000000007</v>
      </c>
      <c r="P324">
        <f t="shared" si="14"/>
        <v>4.1725280000000007</v>
      </c>
      <c r="S324">
        <f t="shared" si="13"/>
        <v>0.76976808975</v>
      </c>
    </row>
    <row r="325" spans="1:19">
      <c r="A325" s="8">
        <v>42810</v>
      </c>
      <c r="B325" s="7" t="s">
        <v>20</v>
      </c>
      <c r="C325" s="7">
        <v>46</v>
      </c>
      <c r="D325" s="7" t="s">
        <v>60</v>
      </c>
      <c r="E325">
        <v>262</v>
      </c>
      <c r="F325" s="7">
        <v>1.3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13.776913</v>
      </c>
      <c r="P325">
        <f t="shared" si="14"/>
        <v>13.776913</v>
      </c>
      <c r="S325">
        <f t="shared" si="13"/>
        <v>1.3273217750000001</v>
      </c>
    </row>
    <row r="326" spans="1:19">
      <c r="A326" s="8">
        <v>42810</v>
      </c>
      <c r="B326" s="7" t="s">
        <v>20</v>
      </c>
      <c r="C326" s="7">
        <v>46</v>
      </c>
      <c r="D326" s="7" t="s">
        <v>60</v>
      </c>
      <c r="E326">
        <v>307</v>
      </c>
      <c r="F326" s="7">
        <v>1.36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16.931638</v>
      </c>
      <c r="P326">
        <f t="shared" si="14"/>
        <v>16.931638</v>
      </c>
      <c r="S326">
        <f t="shared" si="13"/>
        <v>1.4526712160000002</v>
      </c>
    </row>
    <row r="327" spans="1:19">
      <c r="A327" s="8">
        <v>42810</v>
      </c>
      <c r="B327" s="7" t="s">
        <v>20</v>
      </c>
      <c r="C327" s="7">
        <v>46</v>
      </c>
      <c r="D327" s="7" t="s">
        <v>60</v>
      </c>
      <c r="E327">
        <v>391</v>
      </c>
      <c r="F327" s="7">
        <v>2.25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22.820458000000002</v>
      </c>
      <c r="P327">
        <f t="shared" si="14"/>
        <v>22.820458000000002</v>
      </c>
      <c r="S327">
        <f t="shared" si="13"/>
        <v>3.9760748437499998</v>
      </c>
    </row>
    <row r="328" spans="1:19">
      <c r="A328" s="8">
        <v>42810</v>
      </c>
      <c r="B328" s="7" t="s">
        <v>20</v>
      </c>
      <c r="C328" s="7">
        <v>46</v>
      </c>
      <c r="D328" s="7" t="s">
        <v>60</v>
      </c>
      <c r="E328">
        <v>322</v>
      </c>
      <c r="F328" s="7">
        <v>1.91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17.983213000000003</v>
      </c>
      <c r="P328">
        <f t="shared" si="14"/>
        <v>17.983213000000003</v>
      </c>
      <c r="S328">
        <f t="shared" si="13"/>
        <v>2.8652086197499997</v>
      </c>
    </row>
    <row r="329" spans="1:19">
      <c r="A329" s="8">
        <v>42810</v>
      </c>
      <c r="B329" s="7" t="s">
        <v>20</v>
      </c>
      <c r="C329" s="7">
        <v>46</v>
      </c>
      <c r="D329" s="7" t="s">
        <v>60</v>
      </c>
      <c r="E329">
        <v>104</v>
      </c>
      <c r="F329" s="7">
        <v>0.94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2.700323</v>
      </c>
      <c r="P329">
        <f t="shared" si="14"/>
        <v>2.700323</v>
      </c>
      <c r="S329">
        <f t="shared" si="13"/>
        <v>0.69397723099999997</v>
      </c>
    </row>
    <row r="330" spans="1:19">
      <c r="A330" s="8">
        <v>42810</v>
      </c>
      <c r="B330" s="7" t="s">
        <v>20</v>
      </c>
      <c r="C330" s="7">
        <v>46</v>
      </c>
      <c r="D330" s="7" t="s">
        <v>60</v>
      </c>
      <c r="E330">
        <v>82</v>
      </c>
      <c r="F330" s="7">
        <v>0.78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1.1580130000000004</v>
      </c>
      <c r="P330">
        <f t="shared" si="14"/>
        <v>1.1580130000000004</v>
      </c>
      <c r="S330">
        <f t="shared" si="13"/>
        <v>0.47783583900000004</v>
      </c>
    </row>
    <row r="331" spans="1:19">
      <c r="A331" s="8">
        <v>42810</v>
      </c>
      <c r="B331" s="7" t="s">
        <v>20</v>
      </c>
      <c r="C331" s="7">
        <v>46</v>
      </c>
      <c r="D331" s="7" t="s">
        <v>60</v>
      </c>
      <c r="E331">
        <v>392</v>
      </c>
      <c r="F331" s="7">
        <v>1.44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22.890563</v>
      </c>
      <c r="P331">
        <f t="shared" si="14"/>
        <v>22.890563</v>
      </c>
      <c r="S331">
        <f t="shared" si="13"/>
        <v>1.6286002559999999</v>
      </c>
    </row>
    <row r="332" spans="1:19">
      <c r="A332" s="8">
        <v>42810</v>
      </c>
      <c r="B332" s="7" t="s">
        <v>20</v>
      </c>
      <c r="C332" s="7">
        <v>46</v>
      </c>
      <c r="D332" s="7" t="s">
        <v>60</v>
      </c>
      <c r="E332">
        <v>161</v>
      </c>
      <c r="F332" s="7">
        <v>1.3</v>
      </c>
      <c r="G332">
        <v>3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3.9434696000000002</v>
      </c>
      <c r="P332">
        <f t="shared" si="14"/>
        <v>3.9434696000000002</v>
      </c>
      <c r="S332">
        <f t="shared" si="13"/>
        <v>1.3273217750000001</v>
      </c>
    </row>
    <row r="333" spans="1:19">
      <c r="A333" s="8">
        <v>42810</v>
      </c>
      <c r="B333" s="7" t="s">
        <v>20</v>
      </c>
      <c r="C333" s="7">
        <v>46</v>
      </c>
      <c r="D333" s="7" t="s">
        <v>60</v>
      </c>
      <c r="E333">
        <v>263</v>
      </c>
      <c r="F333" s="7">
        <v>1.81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13.847018000000002</v>
      </c>
      <c r="P333">
        <f t="shared" si="14"/>
        <v>13.847018000000002</v>
      </c>
      <c r="S333">
        <f t="shared" si="13"/>
        <v>2.5730407497500001</v>
      </c>
    </row>
    <row r="334" spans="1:19">
      <c r="A334" s="8">
        <v>42810</v>
      </c>
      <c r="B334" s="7" t="s">
        <v>20</v>
      </c>
      <c r="C334" s="7">
        <v>46</v>
      </c>
      <c r="D334" s="7" t="s">
        <v>60</v>
      </c>
      <c r="E334">
        <v>284</v>
      </c>
      <c r="F334" s="7">
        <v>0.97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15.319223000000001</v>
      </c>
      <c r="P334">
        <f t="shared" si="14"/>
        <v>15.319223000000001</v>
      </c>
      <c r="S334">
        <f t="shared" si="13"/>
        <v>0.7389805077499999</v>
      </c>
    </row>
    <row r="335" spans="1:19">
      <c r="A335" s="8">
        <v>42810</v>
      </c>
      <c r="B335" s="7" t="s">
        <v>20</v>
      </c>
      <c r="C335" s="7">
        <v>46</v>
      </c>
      <c r="D335" s="7" t="s">
        <v>60</v>
      </c>
      <c r="E335">
        <v>303</v>
      </c>
      <c r="F335" s="7">
        <v>2.16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16.651218</v>
      </c>
      <c r="P335">
        <f t="shared" si="14"/>
        <v>16.651218</v>
      </c>
      <c r="S335">
        <f t="shared" si="13"/>
        <v>3.6643505760000004</v>
      </c>
    </row>
    <row r="336" spans="1:19">
      <c r="A336" s="8">
        <v>42810</v>
      </c>
      <c r="B336" s="7" t="s">
        <v>20</v>
      </c>
      <c r="C336" s="7">
        <v>46</v>
      </c>
      <c r="D336" s="7" t="s">
        <v>60</v>
      </c>
      <c r="E336">
        <v>89</v>
      </c>
      <c r="F336" s="7">
        <v>0.74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1.6487480000000003</v>
      </c>
      <c r="P336">
        <f t="shared" si="14"/>
        <v>1.6487480000000003</v>
      </c>
      <c r="S336">
        <f t="shared" si="13"/>
        <v>0.43008367099999995</v>
      </c>
    </row>
    <row r="337" spans="1:19">
      <c r="A337" s="8">
        <v>42810</v>
      </c>
      <c r="B337" s="7" t="s">
        <v>20</v>
      </c>
      <c r="C337" s="7">
        <v>46</v>
      </c>
      <c r="D337" s="7" t="s">
        <v>60</v>
      </c>
      <c r="E337">
        <v>268</v>
      </c>
      <c r="F337" s="7">
        <v>1.57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14.197543</v>
      </c>
      <c r="P337">
        <f t="shared" si="14"/>
        <v>14.197543</v>
      </c>
      <c r="S337">
        <f t="shared" si="13"/>
        <v>1.93592629775</v>
      </c>
    </row>
    <row r="338" spans="1:19">
      <c r="A338" s="8">
        <v>42810</v>
      </c>
      <c r="B338" s="7" t="s">
        <v>20</v>
      </c>
      <c r="C338" s="7">
        <v>46</v>
      </c>
      <c r="D338" s="7" t="s">
        <v>60</v>
      </c>
      <c r="E338">
        <v>331</v>
      </c>
      <c r="F338" s="7">
        <v>1.47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18.614158</v>
      </c>
      <c r="P338">
        <f t="shared" si="14"/>
        <v>18.614158</v>
      </c>
      <c r="S338">
        <f t="shared" si="13"/>
        <v>1.6971654577499997</v>
      </c>
    </row>
    <row r="339" spans="1:19">
      <c r="A339" s="8">
        <v>42810</v>
      </c>
      <c r="B339" s="7" t="s">
        <v>20</v>
      </c>
      <c r="C339" s="7">
        <v>46</v>
      </c>
      <c r="D339" s="7" t="s">
        <v>60</v>
      </c>
      <c r="E339">
        <v>238</v>
      </c>
      <c r="F339" s="7">
        <v>1.56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12.094393</v>
      </c>
      <c r="P339">
        <f t="shared" si="14"/>
        <v>12.094393</v>
      </c>
      <c r="S339">
        <f t="shared" si="13"/>
        <v>1.9113433560000002</v>
      </c>
    </row>
    <row r="340" spans="1:19">
      <c r="A340" s="8">
        <v>42810</v>
      </c>
      <c r="B340" s="7" t="s">
        <v>20</v>
      </c>
      <c r="C340" s="7">
        <v>46</v>
      </c>
      <c r="D340" s="7" t="s">
        <v>60</v>
      </c>
      <c r="E340">
        <v>382</v>
      </c>
      <c r="F340" s="7">
        <v>1.91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22.189513000000002</v>
      </c>
      <c r="P340">
        <f t="shared" si="14"/>
        <v>22.189513000000002</v>
      </c>
      <c r="S340">
        <f t="shared" si="13"/>
        <v>2.8652086197499997</v>
      </c>
    </row>
    <row r="341" spans="1:19">
      <c r="A341" s="8">
        <v>42810</v>
      </c>
      <c r="B341" s="7" t="s">
        <v>20</v>
      </c>
      <c r="C341" s="7">
        <v>46</v>
      </c>
      <c r="D341" s="7" t="s">
        <v>60</v>
      </c>
      <c r="E341">
        <v>239</v>
      </c>
      <c r="F341" s="7">
        <v>1.83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12.164498000000002</v>
      </c>
      <c r="P341">
        <f t="shared" si="14"/>
        <v>12.164498000000002</v>
      </c>
      <c r="S341">
        <f t="shared" si="13"/>
        <v>2.6302176877500001</v>
      </c>
    </row>
    <row r="342" spans="1:19">
      <c r="A342" s="8">
        <v>42810</v>
      </c>
      <c r="B342" s="7" t="s">
        <v>20</v>
      </c>
      <c r="C342" s="7">
        <v>46</v>
      </c>
      <c r="D342" s="7" t="s">
        <v>60</v>
      </c>
      <c r="E342">
        <v>278</v>
      </c>
      <c r="F342" s="7">
        <v>1.71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14.898593000000002</v>
      </c>
      <c r="P342">
        <f t="shared" si="14"/>
        <v>14.898593000000002</v>
      </c>
      <c r="S342">
        <f t="shared" ref="S342:S403" si="15">3.14159*((F342/2)^2)</f>
        <v>2.2965808297499999</v>
      </c>
    </row>
    <row r="343" spans="1:19">
      <c r="A343" s="8">
        <v>42810</v>
      </c>
      <c r="B343" s="7" t="s">
        <v>20</v>
      </c>
      <c r="C343" s="7">
        <v>46</v>
      </c>
      <c r="D343" s="7" t="s">
        <v>60</v>
      </c>
      <c r="E343">
        <v>237</v>
      </c>
      <c r="F343" s="7">
        <v>1.53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12.024288000000002</v>
      </c>
      <c r="P343">
        <f t="shared" si="14"/>
        <v>12.024288000000002</v>
      </c>
      <c r="S343">
        <f t="shared" si="15"/>
        <v>1.8385370077499998</v>
      </c>
    </row>
    <row r="344" spans="1:19">
      <c r="A344" s="8">
        <v>42810</v>
      </c>
      <c r="B344" s="7" t="s">
        <v>20</v>
      </c>
      <c r="C344" s="7">
        <v>46</v>
      </c>
      <c r="D344" s="7" t="s">
        <v>60</v>
      </c>
      <c r="E344">
        <v>341</v>
      </c>
      <c r="F344" s="7">
        <v>2.09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19.315208000000002</v>
      </c>
      <c r="P344">
        <f t="shared" si="14"/>
        <v>19.315208000000002</v>
      </c>
      <c r="S344">
        <f t="shared" si="15"/>
        <v>3.4306948197499993</v>
      </c>
    </row>
    <row r="345" spans="1:19">
      <c r="A345" s="8">
        <v>42810</v>
      </c>
      <c r="B345" s="7" t="s">
        <v>20</v>
      </c>
      <c r="C345" s="7">
        <v>46</v>
      </c>
      <c r="D345" s="7" t="s">
        <v>60</v>
      </c>
      <c r="E345">
        <v>48</v>
      </c>
      <c r="F345" s="7">
        <v>0.06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-1.2255569999999998</v>
      </c>
      <c r="P345" t="str">
        <f t="shared" si="14"/>
        <v xml:space="preserve"> </v>
      </c>
      <c r="S345">
        <f t="shared" si="15"/>
        <v>2.8274309999999996E-3</v>
      </c>
    </row>
    <row r="346" spans="1:19">
      <c r="A346" s="8">
        <v>42810</v>
      </c>
      <c r="B346" s="7" t="s">
        <v>20</v>
      </c>
      <c r="C346" s="7">
        <v>46</v>
      </c>
      <c r="D346" s="7" t="s">
        <v>60</v>
      </c>
      <c r="E346">
        <v>257</v>
      </c>
      <c r="F346" s="7">
        <v>1.54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13.426388000000003</v>
      </c>
      <c r="P346">
        <f t="shared" si="14"/>
        <v>13.426388000000003</v>
      </c>
      <c r="S346">
        <f t="shared" si="15"/>
        <v>1.8626487109999998</v>
      </c>
    </row>
    <row r="347" spans="1:19">
      <c r="A347" s="8">
        <v>42810</v>
      </c>
      <c r="B347" s="7" t="s">
        <v>20</v>
      </c>
      <c r="C347" s="7">
        <v>46</v>
      </c>
      <c r="D347" s="7" t="s">
        <v>60</v>
      </c>
      <c r="E347">
        <v>347</v>
      </c>
      <c r="F347" s="7">
        <v>1.42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19.735838000000001</v>
      </c>
      <c r="P347">
        <f t="shared" si="14"/>
        <v>19.735838000000001</v>
      </c>
      <c r="S347">
        <f t="shared" si="15"/>
        <v>1.5836755189999998</v>
      </c>
    </row>
    <row r="348" spans="1:19">
      <c r="A348" s="8">
        <v>42810</v>
      </c>
      <c r="B348" s="7" t="s">
        <v>20</v>
      </c>
      <c r="C348" s="7">
        <v>46</v>
      </c>
      <c r="D348" s="7" t="s">
        <v>60</v>
      </c>
      <c r="E348">
        <v>245</v>
      </c>
      <c r="F348" s="7">
        <v>1.25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12.585128000000001</v>
      </c>
      <c r="P348">
        <f t="shared" si="14"/>
        <v>12.585128000000001</v>
      </c>
      <c r="S348">
        <f t="shared" si="15"/>
        <v>1.22718359375</v>
      </c>
    </row>
    <row r="349" spans="1:19">
      <c r="A349" s="8">
        <v>42810</v>
      </c>
      <c r="B349" s="7" t="s">
        <v>20</v>
      </c>
      <c r="C349" s="7">
        <v>46</v>
      </c>
      <c r="D349" s="7" t="s">
        <v>60</v>
      </c>
      <c r="E349">
        <v>33</v>
      </c>
      <c r="F349" s="7">
        <v>0.56999999999999995</v>
      </c>
      <c r="G349" s="7"/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-2.2771319999999999</v>
      </c>
      <c r="P349" t="str">
        <f t="shared" si="14"/>
        <v xml:space="preserve"> </v>
      </c>
      <c r="S349">
        <f t="shared" si="15"/>
        <v>0.25517564774999996</v>
      </c>
    </row>
    <row r="350" spans="1:19">
      <c r="A350" s="8">
        <v>42810</v>
      </c>
      <c r="B350" s="7" t="s">
        <v>20</v>
      </c>
      <c r="C350" s="7">
        <v>46</v>
      </c>
      <c r="D350" s="7" t="s">
        <v>60</v>
      </c>
      <c r="E350">
        <v>42</v>
      </c>
      <c r="F350" s="7">
        <v>0.46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-1.6461869999999998</v>
      </c>
      <c r="P350" t="str">
        <f t="shared" si="14"/>
        <v xml:space="preserve"> </v>
      </c>
      <c r="S350">
        <f t="shared" si="15"/>
        <v>0.166190111</v>
      </c>
    </row>
    <row r="351" spans="1:19">
      <c r="A351" s="8">
        <v>42810</v>
      </c>
      <c r="B351" s="7" t="s">
        <v>20</v>
      </c>
      <c r="C351" s="7">
        <v>46</v>
      </c>
      <c r="D351" s="7" t="s">
        <v>60</v>
      </c>
      <c r="E351">
        <v>264</v>
      </c>
      <c r="F351" s="7">
        <v>1.69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13.917123</v>
      </c>
      <c r="P351">
        <f t="shared" si="14"/>
        <v>13.917123</v>
      </c>
      <c r="S351">
        <f t="shared" si="15"/>
        <v>2.2431737997499996</v>
      </c>
    </row>
    <row r="352" spans="1:19">
      <c r="A352" s="8">
        <v>42810</v>
      </c>
      <c r="B352" s="7" t="s">
        <v>20</v>
      </c>
      <c r="C352" s="7">
        <v>46</v>
      </c>
      <c r="D352" s="7" t="s">
        <v>60</v>
      </c>
      <c r="E352">
        <v>283</v>
      </c>
      <c r="F352" s="7">
        <v>2.33</v>
      </c>
      <c r="H352" s="7"/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15.249118000000003</v>
      </c>
      <c r="P352">
        <f t="shared" si="14"/>
        <v>15.249118000000003</v>
      </c>
      <c r="S352">
        <f t="shared" si="15"/>
        <v>4.2638444877500001</v>
      </c>
    </row>
    <row r="353" spans="1:19">
      <c r="A353" s="8">
        <v>42810</v>
      </c>
      <c r="B353" s="7" t="s">
        <v>20</v>
      </c>
      <c r="C353" s="7">
        <v>46</v>
      </c>
      <c r="D353" s="7" t="s">
        <v>60</v>
      </c>
      <c r="E353">
        <v>364</v>
      </c>
      <c r="F353" s="7">
        <v>1.33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20.927623000000001</v>
      </c>
      <c r="P353">
        <f t="shared" si="14"/>
        <v>20.927623000000001</v>
      </c>
      <c r="S353">
        <f t="shared" si="15"/>
        <v>1.3892896377500001</v>
      </c>
    </row>
    <row r="354" spans="1:19">
      <c r="A354" s="8">
        <v>42810</v>
      </c>
      <c r="B354" s="7" t="s">
        <v>20</v>
      </c>
      <c r="C354" s="7">
        <v>46</v>
      </c>
      <c r="D354" s="7" t="s">
        <v>60</v>
      </c>
      <c r="E354">
        <v>81</v>
      </c>
      <c r="F354" s="7">
        <v>0.89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1.0879080000000005</v>
      </c>
      <c r="P354">
        <f t="shared" si="14"/>
        <v>1.0879080000000005</v>
      </c>
      <c r="S354">
        <f t="shared" si="15"/>
        <v>0.62211335975000004</v>
      </c>
    </row>
    <row r="355" spans="1:19">
      <c r="A355" s="8">
        <v>42810</v>
      </c>
      <c r="B355" s="7" t="s">
        <v>20</v>
      </c>
      <c r="C355" s="7">
        <v>46</v>
      </c>
      <c r="D355" s="7" t="s">
        <v>60</v>
      </c>
      <c r="E355">
        <v>283</v>
      </c>
      <c r="F355" s="7">
        <v>1.93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15.249118000000003</v>
      </c>
      <c r="P355">
        <f t="shared" si="14"/>
        <v>15.249118000000003</v>
      </c>
      <c r="S355">
        <f t="shared" si="15"/>
        <v>2.92552714775</v>
      </c>
    </row>
    <row r="356" spans="1:19">
      <c r="A356" s="8">
        <v>42810</v>
      </c>
      <c r="B356" s="7" t="s">
        <v>20</v>
      </c>
      <c r="C356" s="7">
        <v>46</v>
      </c>
      <c r="D356" s="7" t="s">
        <v>60</v>
      </c>
      <c r="E356">
        <v>383</v>
      </c>
      <c r="F356" s="7">
        <v>1.7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22.259618</v>
      </c>
      <c r="P356">
        <f t="shared" si="14"/>
        <v>22.259618</v>
      </c>
      <c r="S356">
        <f t="shared" si="15"/>
        <v>2.2697987749999995</v>
      </c>
    </row>
    <row r="357" spans="1:19">
      <c r="A357" s="8">
        <v>42810</v>
      </c>
      <c r="B357" s="7" t="s">
        <v>20</v>
      </c>
      <c r="C357" s="7">
        <v>46</v>
      </c>
      <c r="D357" s="7" t="s">
        <v>60</v>
      </c>
      <c r="E357">
        <v>282</v>
      </c>
      <c r="F357" s="7">
        <v>1.51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15.179013000000001</v>
      </c>
      <c r="P357">
        <f t="shared" si="14"/>
        <v>15.179013000000001</v>
      </c>
      <c r="S357">
        <f t="shared" si="15"/>
        <v>1.7907848397499999</v>
      </c>
    </row>
    <row r="358" spans="1:19">
      <c r="A358" s="8">
        <v>42810</v>
      </c>
      <c r="B358" s="7" t="s">
        <v>20</v>
      </c>
      <c r="C358" s="7">
        <v>46</v>
      </c>
      <c r="D358" s="7" t="s">
        <v>60</v>
      </c>
      <c r="E358">
        <v>265</v>
      </c>
      <c r="F358" s="7">
        <v>1.1499999999999999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13.987228000000002</v>
      </c>
      <c r="P358">
        <f t="shared" si="14"/>
        <v>13.987228000000002</v>
      </c>
      <c r="S358">
        <f t="shared" si="15"/>
        <v>1.0386881937499999</v>
      </c>
    </row>
    <row r="359" spans="1:19">
      <c r="A359" s="8">
        <v>42810</v>
      </c>
      <c r="B359" s="7" t="s">
        <v>20</v>
      </c>
      <c r="C359" s="7">
        <v>46</v>
      </c>
      <c r="D359" s="7" t="s">
        <v>60</v>
      </c>
      <c r="E359">
        <v>262</v>
      </c>
      <c r="F359" s="7">
        <v>1.68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13.776913</v>
      </c>
      <c r="P359">
        <f t="shared" si="14"/>
        <v>13.776913</v>
      </c>
      <c r="S359">
        <f t="shared" si="15"/>
        <v>2.2167059039999994</v>
      </c>
    </row>
    <row r="360" spans="1:19">
      <c r="A360" s="8">
        <v>42810</v>
      </c>
      <c r="B360" s="7" t="s">
        <v>20</v>
      </c>
      <c r="C360" s="7">
        <v>46</v>
      </c>
      <c r="D360" s="7" t="s">
        <v>60</v>
      </c>
      <c r="E360">
        <v>289</v>
      </c>
      <c r="F360" s="7">
        <v>1.68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15.669748000000002</v>
      </c>
      <c r="P360">
        <f t="shared" si="14"/>
        <v>15.669748000000002</v>
      </c>
      <c r="S360">
        <f t="shared" si="15"/>
        <v>2.2167059039999994</v>
      </c>
    </row>
    <row r="361" spans="1:19">
      <c r="A361" s="8">
        <v>42810</v>
      </c>
      <c r="B361" s="7" t="s">
        <v>20</v>
      </c>
      <c r="C361" s="7">
        <v>46</v>
      </c>
      <c r="D361" s="7" t="s">
        <v>60</v>
      </c>
      <c r="E361">
        <v>72</v>
      </c>
      <c r="F361" s="7">
        <v>0.73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0.45696300000000001</v>
      </c>
      <c r="P361">
        <f t="shared" si="14"/>
        <v>0.45696300000000001</v>
      </c>
      <c r="S361">
        <f t="shared" si="15"/>
        <v>0.41853832774999994</v>
      </c>
    </row>
    <row r="362" spans="1:19">
      <c r="A362" s="8">
        <v>42810</v>
      </c>
      <c r="B362" s="7" t="s">
        <v>20</v>
      </c>
      <c r="C362" s="7">
        <v>46</v>
      </c>
      <c r="D362" s="7" t="s">
        <v>60</v>
      </c>
      <c r="E362">
        <v>306</v>
      </c>
      <c r="F362" s="7">
        <v>1.44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16.861533000000001</v>
      </c>
      <c r="P362">
        <f t="shared" si="14"/>
        <v>16.861533000000001</v>
      </c>
      <c r="S362">
        <f t="shared" si="15"/>
        <v>1.6286002559999999</v>
      </c>
    </row>
    <row r="363" spans="1:19">
      <c r="A363" s="8">
        <v>42811</v>
      </c>
      <c r="B363" s="7" t="s">
        <v>20</v>
      </c>
      <c r="C363" s="7">
        <v>46</v>
      </c>
      <c r="D363" s="7" t="s">
        <v>60</v>
      </c>
      <c r="E363">
        <v>194</v>
      </c>
      <c r="F363" s="7">
        <v>1.22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9.0097729999999991</v>
      </c>
      <c r="P363">
        <f t="shared" si="14"/>
        <v>9.0097729999999991</v>
      </c>
      <c r="S363">
        <f t="shared" si="15"/>
        <v>1.168985639</v>
      </c>
    </row>
    <row r="364" spans="1:19">
      <c r="A364" s="8">
        <v>42811</v>
      </c>
      <c r="B364" s="7" t="s">
        <v>20</v>
      </c>
      <c r="C364" s="7">
        <v>46</v>
      </c>
      <c r="D364" s="7" t="s">
        <v>62</v>
      </c>
      <c r="F364" s="7">
        <v>2.0099999999999998</v>
      </c>
      <c r="J364">
        <f>93+155+207+227+251</f>
        <v>933</v>
      </c>
      <c r="K364">
        <v>5</v>
      </c>
      <c r="L364">
        <v>251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9.7861390000000057</v>
      </c>
      <c r="P364">
        <f t="shared" si="14"/>
        <v>9.7861390000000057</v>
      </c>
      <c r="S364">
        <f t="shared" si="15"/>
        <v>3.1730844397499989</v>
      </c>
    </row>
    <row r="365" spans="1:19">
      <c r="A365" s="8">
        <v>42811</v>
      </c>
      <c r="B365" s="7" t="s">
        <v>20</v>
      </c>
      <c r="C365" s="7">
        <v>46</v>
      </c>
      <c r="D365" s="7" t="s">
        <v>62</v>
      </c>
      <c r="F365" s="7">
        <v>0.84</v>
      </c>
      <c r="I365" s="7"/>
      <c r="J365">
        <f>24+21+55+56+72</f>
        <v>228</v>
      </c>
      <c r="K365">
        <v>5</v>
      </c>
      <c r="L365">
        <v>72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-2.3882809999999992</v>
      </c>
      <c r="P365" t="str">
        <f t="shared" si="14"/>
        <v xml:space="preserve"> </v>
      </c>
      <c r="S365">
        <f t="shared" si="15"/>
        <v>0.55417647599999986</v>
      </c>
    </row>
    <row r="366" spans="1:19">
      <c r="A366" s="8">
        <v>42810</v>
      </c>
      <c r="B366" s="7" t="s">
        <v>20</v>
      </c>
      <c r="C366" s="7">
        <v>42</v>
      </c>
      <c r="D366" s="7" t="s">
        <v>62</v>
      </c>
      <c r="F366" s="7">
        <v>1.23</v>
      </c>
      <c r="J366">
        <f>91+91+112+125</f>
        <v>419</v>
      </c>
      <c r="K366">
        <v>4</v>
      </c>
      <c r="L366">
        <v>125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6.575292000000001</v>
      </c>
      <c r="P366">
        <f t="shared" si="14"/>
        <v>6.575292000000001</v>
      </c>
      <c r="S366">
        <f t="shared" si="15"/>
        <v>1.1882278777499999</v>
      </c>
    </row>
    <row r="367" spans="1:19">
      <c r="A367" s="8">
        <v>42810</v>
      </c>
      <c r="B367" s="7" t="s">
        <v>20</v>
      </c>
      <c r="C367" s="7">
        <v>42</v>
      </c>
      <c r="D367" s="7" t="s">
        <v>62</v>
      </c>
      <c r="F367" s="7">
        <v>1.36</v>
      </c>
      <c r="J367">
        <f>69+81+88+106+121</f>
        <v>465</v>
      </c>
      <c r="K367">
        <v>5</v>
      </c>
      <c r="L367">
        <v>121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5.070648999999996</v>
      </c>
      <c r="P367">
        <f t="shared" si="14"/>
        <v>5.070648999999996</v>
      </c>
      <c r="S367">
        <f t="shared" si="15"/>
        <v>1.4526712160000002</v>
      </c>
    </row>
    <row r="368" spans="1:19">
      <c r="A368" s="8">
        <v>42810</v>
      </c>
      <c r="B368" s="7" t="s">
        <v>20</v>
      </c>
      <c r="C368" s="7">
        <v>42</v>
      </c>
      <c r="D368" s="7" t="s">
        <v>62</v>
      </c>
      <c r="F368" s="7">
        <v>1.85</v>
      </c>
      <c r="J368">
        <f>44+51+76+78+99+102</f>
        <v>450</v>
      </c>
      <c r="K368">
        <v>6</v>
      </c>
      <c r="L368">
        <v>102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2.3656260000000024</v>
      </c>
      <c r="P368">
        <f t="shared" si="14"/>
        <v>2.3656260000000024</v>
      </c>
      <c r="S368">
        <f t="shared" si="15"/>
        <v>2.6880229437500001</v>
      </c>
    </row>
    <row r="369" spans="1:19">
      <c r="A369" s="8">
        <v>42810</v>
      </c>
      <c r="B369" s="7" t="s">
        <v>20</v>
      </c>
      <c r="C369" s="7">
        <v>42</v>
      </c>
      <c r="D369" s="7" t="s">
        <v>62</v>
      </c>
      <c r="F369" s="7">
        <v>1.29</v>
      </c>
      <c r="J369">
        <f>119+164+182</f>
        <v>465</v>
      </c>
      <c r="K369">
        <v>3</v>
      </c>
      <c r="L369">
        <v>182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0.73940999999999946</v>
      </c>
      <c r="P369">
        <f t="shared" si="14"/>
        <v>0.73940999999999946</v>
      </c>
      <c r="S369">
        <f t="shared" si="15"/>
        <v>1.3069799797500001</v>
      </c>
    </row>
    <row r="370" spans="1:19">
      <c r="A370" s="8">
        <v>42810</v>
      </c>
      <c r="B370" s="7" t="s">
        <v>20</v>
      </c>
      <c r="C370" s="7">
        <v>42</v>
      </c>
      <c r="D370" s="7" t="s">
        <v>62</v>
      </c>
      <c r="F370" s="7">
        <v>1.42</v>
      </c>
      <c r="H370" s="7"/>
      <c r="J370">
        <f>37+95+117+122+147+156</f>
        <v>674</v>
      </c>
      <c r="K370">
        <v>6</v>
      </c>
      <c r="L370">
        <v>156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7.0995160000000013</v>
      </c>
      <c r="P370">
        <f t="shared" si="14"/>
        <v>7.0995160000000013</v>
      </c>
      <c r="S370">
        <f t="shared" si="15"/>
        <v>1.5836755189999998</v>
      </c>
    </row>
    <row r="371" spans="1:19">
      <c r="A371" s="8">
        <v>42810</v>
      </c>
      <c r="B371" s="7" t="s">
        <v>20</v>
      </c>
      <c r="C371" s="7">
        <v>42</v>
      </c>
      <c r="D371" s="7" t="s">
        <v>62</v>
      </c>
      <c r="F371" s="7">
        <v>1.68</v>
      </c>
      <c r="J371">
        <f>109+118+136+149</f>
        <v>512</v>
      </c>
      <c r="K371">
        <v>4</v>
      </c>
      <c r="L371">
        <v>149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8.0646270000000051</v>
      </c>
      <c r="P371">
        <f t="shared" si="14"/>
        <v>8.0646270000000051</v>
      </c>
      <c r="S371">
        <f t="shared" si="15"/>
        <v>2.2167059039999994</v>
      </c>
    </row>
    <row r="372" spans="1:19">
      <c r="A372" s="8">
        <v>42810</v>
      </c>
      <c r="B372" s="7" t="s">
        <v>20</v>
      </c>
      <c r="C372" s="7">
        <v>42</v>
      </c>
      <c r="D372" s="7" t="s">
        <v>62</v>
      </c>
      <c r="F372" s="7">
        <v>1.24</v>
      </c>
      <c r="J372">
        <f>52+79+84+112+114</f>
        <v>441</v>
      </c>
      <c r="K372">
        <v>5</v>
      </c>
      <c r="L372">
        <v>114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4.9292440000000042</v>
      </c>
      <c r="P372">
        <f t="shared" si="14"/>
        <v>4.9292440000000042</v>
      </c>
      <c r="S372">
        <f t="shared" si="15"/>
        <v>1.207627196</v>
      </c>
    </row>
    <row r="373" spans="1:19">
      <c r="A373" s="8">
        <v>42810</v>
      </c>
      <c r="B373" s="7" t="s">
        <v>20</v>
      </c>
      <c r="C373" s="7">
        <v>42</v>
      </c>
      <c r="D373" s="7" t="s">
        <v>62</v>
      </c>
      <c r="F373" s="7">
        <v>1.1399999999999999</v>
      </c>
      <c r="G373" s="7"/>
      <c r="J373">
        <f>57+124+146+164</f>
        <v>491</v>
      </c>
      <c r="K373">
        <v>4</v>
      </c>
      <c r="L373">
        <v>164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1.5770970000000055</v>
      </c>
      <c r="P373">
        <f t="shared" si="14"/>
        <v>1.5770970000000055</v>
      </c>
      <c r="S373">
        <f t="shared" si="15"/>
        <v>1.0207025909999998</v>
      </c>
    </row>
    <row r="374" spans="1:19">
      <c r="A374" s="8">
        <v>42810</v>
      </c>
      <c r="B374" s="7" t="s">
        <v>20</v>
      </c>
      <c r="C374" s="7">
        <v>42</v>
      </c>
      <c r="D374" s="7" t="s">
        <v>62</v>
      </c>
      <c r="F374" s="7">
        <v>1.35</v>
      </c>
      <c r="J374">
        <f>88+134+144+170</f>
        <v>536</v>
      </c>
      <c r="K374">
        <v>4</v>
      </c>
      <c r="L374">
        <v>170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3.9886020000000038</v>
      </c>
      <c r="P374">
        <f t="shared" si="14"/>
        <v>3.9886020000000038</v>
      </c>
      <c r="S374">
        <f t="shared" si="15"/>
        <v>1.4313869437500002</v>
      </c>
    </row>
    <row r="375" spans="1:19">
      <c r="A375" s="8">
        <v>42810</v>
      </c>
      <c r="B375" s="7" t="s">
        <v>20</v>
      </c>
      <c r="C375" s="7">
        <v>42</v>
      </c>
      <c r="D375" s="7" t="s">
        <v>62</v>
      </c>
      <c r="F375" s="7">
        <v>1.57</v>
      </c>
      <c r="J375">
        <f>102+140+158+178</f>
        <v>578</v>
      </c>
      <c r="K375">
        <v>4</v>
      </c>
      <c r="L375">
        <v>178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5.5163520000000013</v>
      </c>
      <c r="P375">
        <f t="shared" si="14"/>
        <v>5.5163520000000013</v>
      </c>
      <c r="S375">
        <f t="shared" si="15"/>
        <v>1.93592629775</v>
      </c>
    </row>
    <row r="376" spans="1:19">
      <c r="A376" s="8">
        <v>42810</v>
      </c>
      <c r="B376" s="7" t="s">
        <v>20</v>
      </c>
      <c r="C376" s="7">
        <v>42</v>
      </c>
      <c r="D376" s="7" t="s">
        <v>62</v>
      </c>
      <c r="F376" s="7">
        <v>1.89</v>
      </c>
      <c r="H376" s="7"/>
      <c r="J376">
        <f>55+112+134+165+189+195</f>
        <v>850</v>
      </c>
      <c r="K376">
        <v>6</v>
      </c>
      <c r="L376">
        <v>195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11.851841</v>
      </c>
      <c r="P376">
        <f t="shared" si="14"/>
        <v>11.851841</v>
      </c>
      <c r="S376">
        <f t="shared" si="15"/>
        <v>2.8055184097499999</v>
      </c>
    </row>
    <row r="377" spans="1:19">
      <c r="A377" s="8">
        <v>42810</v>
      </c>
      <c r="B377" s="7" t="s">
        <v>20</v>
      </c>
      <c r="C377" s="7">
        <v>42</v>
      </c>
      <c r="D377" s="7" t="s">
        <v>62</v>
      </c>
      <c r="F377" s="7">
        <v>1.27</v>
      </c>
      <c r="J377">
        <f>105+120+123</f>
        <v>348</v>
      </c>
      <c r="K377">
        <v>3</v>
      </c>
      <c r="L377">
        <v>123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7.5435300000000041</v>
      </c>
      <c r="P377">
        <f t="shared" si="14"/>
        <v>7.5435300000000041</v>
      </c>
      <c r="S377">
        <f t="shared" si="15"/>
        <v>1.26676762775</v>
      </c>
    </row>
    <row r="378" spans="1:19">
      <c r="A378" s="8">
        <v>42810</v>
      </c>
      <c r="B378" s="7" t="s">
        <v>20</v>
      </c>
      <c r="C378" s="7">
        <v>42</v>
      </c>
      <c r="D378" s="7" t="s">
        <v>62</v>
      </c>
      <c r="F378" s="7">
        <v>2.2000000000000002</v>
      </c>
      <c r="J378">
        <f>67+122+175+180+224+226</f>
        <v>994</v>
      </c>
      <c r="K378">
        <v>6</v>
      </c>
      <c r="L378">
        <v>226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16.013966000000003</v>
      </c>
      <c r="P378">
        <f t="shared" si="14"/>
        <v>16.013966000000003</v>
      </c>
      <c r="S378">
        <f t="shared" si="15"/>
        <v>3.8013239000000003</v>
      </c>
    </row>
    <row r="379" spans="1:19">
      <c r="A379" s="8">
        <v>42811</v>
      </c>
      <c r="B379" s="7" t="s">
        <v>20</v>
      </c>
      <c r="C379" s="7">
        <v>20</v>
      </c>
      <c r="D379" s="7" t="s">
        <v>62</v>
      </c>
      <c r="F379" s="7">
        <v>0.81</v>
      </c>
      <c r="J379">
        <f>11+12+20+27+35+43+49</f>
        <v>197</v>
      </c>
      <c r="K379">
        <v>7</v>
      </c>
      <c r="L379">
        <v>49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-12.410756999999997</v>
      </c>
      <c r="P379" t="str">
        <f t="shared" si="14"/>
        <v xml:space="preserve"> </v>
      </c>
      <c r="S379">
        <f t="shared" si="15"/>
        <v>0.51529929975000011</v>
      </c>
    </row>
    <row r="380" spans="1:19">
      <c r="A380" s="8">
        <v>42811</v>
      </c>
      <c r="B380" s="7" t="s">
        <v>20</v>
      </c>
      <c r="C380" s="7">
        <v>20</v>
      </c>
      <c r="D380" s="7" t="s">
        <v>62</v>
      </c>
      <c r="F380" s="7">
        <v>0.6</v>
      </c>
      <c r="J380">
        <f>38+51+41+57</f>
        <v>187</v>
      </c>
      <c r="K380">
        <v>4</v>
      </c>
      <c r="L380">
        <v>57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5.3087920000000004</v>
      </c>
      <c r="P380">
        <f t="shared" si="14"/>
        <v>5.3087920000000004</v>
      </c>
      <c r="S380">
        <f t="shared" si="15"/>
        <v>0.28274309999999997</v>
      </c>
    </row>
    <row r="381" spans="1:19">
      <c r="A381" s="8">
        <v>42811</v>
      </c>
      <c r="B381" s="7" t="s">
        <v>20</v>
      </c>
      <c r="C381" s="7">
        <v>20</v>
      </c>
      <c r="D381" s="7" t="s">
        <v>62</v>
      </c>
      <c r="F381" s="7">
        <v>1.56</v>
      </c>
      <c r="J381">
        <f>21+44+45+58</f>
        <v>168</v>
      </c>
      <c r="K381">
        <v>4</v>
      </c>
      <c r="L381">
        <v>58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3.2262019999999971</v>
      </c>
      <c r="P381">
        <f t="shared" ref="P381:P444" si="16">IF(O381&lt;0," ",O381)</f>
        <v>3.2262019999999971</v>
      </c>
      <c r="S381">
        <f t="shared" si="15"/>
        <v>1.9113433560000002</v>
      </c>
    </row>
    <row r="382" spans="1:19">
      <c r="A382" s="8">
        <v>42811</v>
      </c>
      <c r="B382" s="7" t="s">
        <v>20</v>
      </c>
      <c r="C382" s="7">
        <v>20</v>
      </c>
      <c r="D382" s="7" t="s">
        <v>62</v>
      </c>
      <c r="F382" s="7">
        <v>0.9</v>
      </c>
      <c r="G382" s="7"/>
      <c r="I382" s="7"/>
      <c r="J382">
        <f>33+35+36+53+66+71+85+94+99</f>
        <v>572</v>
      </c>
      <c r="K382">
        <v>9</v>
      </c>
      <c r="L382">
        <v>99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-6.3595879999999951</v>
      </c>
      <c r="P382" t="str">
        <f t="shared" si="16"/>
        <v xml:space="preserve"> </v>
      </c>
      <c r="S382">
        <f t="shared" si="15"/>
        <v>0.636171975</v>
      </c>
    </row>
    <row r="383" spans="1:19">
      <c r="A383" s="8">
        <v>42814</v>
      </c>
      <c r="B383" s="7" t="s">
        <v>20</v>
      </c>
      <c r="C383" s="7">
        <v>20</v>
      </c>
      <c r="D383" s="7" t="s">
        <v>62</v>
      </c>
      <c r="F383" s="7">
        <v>0.77</v>
      </c>
      <c r="G383" s="7"/>
      <c r="I383" s="7"/>
      <c r="J383">
        <f>27+29+35</f>
        <v>91</v>
      </c>
      <c r="K383">
        <v>3</v>
      </c>
      <c r="L383">
        <v>35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9.9580549999999981</v>
      </c>
      <c r="P383">
        <f t="shared" si="16"/>
        <v>9.9580549999999981</v>
      </c>
      <c r="S383">
        <f t="shared" si="15"/>
        <v>0.46566217774999996</v>
      </c>
    </row>
    <row r="384" spans="1:19">
      <c r="A384" s="8">
        <v>42814</v>
      </c>
      <c r="B384" s="7" t="s">
        <v>20</v>
      </c>
      <c r="C384" s="7">
        <v>20</v>
      </c>
      <c r="D384" s="7" t="s">
        <v>62</v>
      </c>
      <c r="F384" s="7">
        <v>1.1100000000000001</v>
      </c>
      <c r="G384" s="7"/>
      <c r="I384" s="7"/>
      <c r="J384">
        <f>60+74+76+94+100</f>
        <v>404</v>
      </c>
      <c r="K384">
        <v>5</v>
      </c>
      <c r="L384">
        <v>100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5.6777390000000025</v>
      </c>
      <c r="P384">
        <f t="shared" si="16"/>
        <v>5.6777390000000025</v>
      </c>
      <c r="S384">
        <f t="shared" si="15"/>
        <v>0.96768825975000017</v>
      </c>
    </row>
    <row r="385" spans="1:19">
      <c r="A385" s="8">
        <v>42814</v>
      </c>
      <c r="B385" s="7" t="s">
        <v>20</v>
      </c>
      <c r="C385" s="7">
        <v>20</v>
      </c>
      <c r="D385" s="7" t="s">
        <v>62</v>
      </c>
      <c r="F385" s="7">
        <v>0.82</v>
      </c>
      <c r="J385">
        <f>17+23+27+29</f>
        <v>96</v>
      </c>
      <c r="K385">
        <v>4</v>
      </c>
      <c r="L385">
        <v>29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5.211946999999995</v>
      </c>
      <c r="P385">
        <f t="shared" si="16"/>
        <v>5.211946999999995</v>
      </c>
      <c r="S385">
        <f t="shared" si="15"/>
        <v>0.52810127899999992</v>
      </c>
    </row>
    <row r="386" spans="1:19">
      <c r="A386" s="8">
        <v>42814</v>
      </c>
      <c r="B386" s="7" t="s">
        <v>20</v>
      </c>
      <c r="C386" s="7">
        <v>20</v>
      </c>
      <c r="D386" s="7" t="s">
        <v>62</v>
      </c>
      <c r="F386" s="7">
        <v>1.36</v>
      </c>
      <c r="G386" s="7"/>
      <c r="H386" s="7"/>
      <c r="I386" s="7"/>
      <c r="J386">
        <f>56+87+88+118</f>
        <v>349</v>
      </c>
      <c r="K386">
        <v>4</v>
      </c>
      <c r="L386">
        <v>118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2.1211570000000002</v>
      </c>
      <c r="P386">
        <f t="shared" si="16"/>
        <v>2.1211570000000002</v>
      </c>
      <c r="S386">
        <f t="shared" si="15"/>
        <v>1.4526712160000002</v>
      </c>
    </row>
    <row r="387" spans="1:19">
      <c r="A387" s="8">
        <v>42814</v>
      </c>
      <c r="B387" s="7" t="s">
        <v>20</v>
      </c>
      <c r="C387" s="7">
        <v>20</v>
      </c>
      <c r="D387" s="7" t="s">
        <v>62</v>
      </c>
      <c r="F387" s="7">
        <v>1.5</v>
      </c>
      <c r="G387" s="7"/>
      <c r="I387" s="7"/>
      <c r="J387">
        <f>26+34+48+50+64</f>
        <v>222</v>
      </c>
      <c r="K387">
        <v>5</v>
      </c>
      <c r="L387">
        <v>64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-0.54085099999999642</v>
      </c>
      <c r="P387" t="str">
        <f t="shared" si="16"/>
        <v xml:space="preserve"> </v>
      </c>
      <c r="S387">
        <f t="shared" si="15"/>
        <v>1.767144375</v>
      </c>
    </row>
    <row r="388" spans="1:19">
      <c r="A388" s="8">
        <v>42814</v>
      </c>
      <c r="B388" s="7" t="s">
        <v>20</v>
      </c>
      <c r="C388" s="7">
        <v>20</v>
      </c>
      <c r="D388" s="7" t="s">
        <v>62</v>
      </c>
      <c r="F388" s="7">
        <v>2.58</v>
      </c>
      <c r="I388" s="7"/>
      <c r="J388">
        <f>80+109+158+162+167+181</f>
        <v>857</v>
      </c>
      <c r="K388">
        <v>6</v>
      </c>
      <c r="L388">
        <v>181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16.725556000000012</v>
      </c>
      <c r="P388">
        <f t="shared" si="16"/>
        <v>16.725556000000012</v>
      </c>
      <c r="S388">
        <f t="shared" si="15"/>
        <v>5.2279199190000005</v>
      </c>
    </row>
    <row r="389" spans="1:19">
      <c r="A389" s="8">
        <v>42814</v>
      </c>
      <c r="B389" s="7" t="s">
        <v>20</v>
      </c>
      <c r="C389" s="7">
        <v>20</v>
      </c>
      <c r="D389" s="7" t="s">
        <v>62</v>
      </c>
      <c r="F389" s="7">
        <v>1.27</v>
      </c>
      <c r="I389" s="7"/>
      <c r="J389">
        <f>28+62+91+97</f>
        <v>278</v>
      </c>
      <c r="K389">
        <v>4</v>
      </c>
      <c r="L389">
        <v>97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1.790696999999998</v>
      </c>
      <c r="P389">
        <f t="shared" si="16"/>
        <v>1.790696999999998</v>
      </c>
      <c r="S389">
        <f t="shared" si="15"/>
        <v>1.26676762775</v>
      </c>
    </row>
    <row r="390" spans="1:19">
      <c r="A390" s="8">
        <v>42814</v>
      </c>
      <c r="B390" s="7" t="s">
        <v>20</v>
      </c>
      <c r="C390" s="7">
        <v>20</v>
      </c>
      <c r="D390" s="7" t="s">
        <v>62</v>
      </c>
      <c r="F390" s="7">
        <v>0.52</v>
      </c>
      <c r="G390" s="7"/>
      <c r="I390" s="7"/>
      <c r="J390">
        <f>24+27+29</f>
        <v>80</v>
      </c>
      <c r="K390">
        <v>3</v>
      </c>
      <c r="L390">
        <v>29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10.734219999999997</v>
      </c>
      <c r="P390">
        <f t="shared" si="16"/>
        <v>10.734219999999997</v>
      </c>
      <c r="S390">
        <f t="shared" si="15"/>
        <v>0.21237148400000003</v>
      </c>
    </row>
    <row r="391" spans="1:19">
      <c r="A391" s="8">
        <v>42814</v>
      </c>
      <c r="B391" s="7" t="s">
        <v>20</v>
      </c>
      <c r="C391" s="7">
        <v>20</v>
      </c>
      <c r="D391" s="7" t="s">
        <v>62</v>
      </c>
      <c r="F391" s="7">
        <v>1.21</v>
      </c>
      <c r="G391" s="7"/>
      <c r="J391">
        <f>53+67+78</f>
        <v>198</v>
      </c>
      <c r="K391">
        <v>3</v>
      </c>
      <c r="L391">
        <v>78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7.0363049999999987</v>
      </c>
      <c r="P391">
        <f t="shared" si="16"/>
        <v>7.0363049999999987</v>
      </c>
      <c r="S391">
        <f t="shared" si="15"/>
        <v>1.1499004797499999</v>
      </c>
    </row>
    <row r="392" spans="1:19">
      <c r="A392" s="8">
        <v>42814</v>
      </c>
      <c r="B392" s="7" t="s">
        <v>20</v>
      </c>
      <c r="C392" s="7">
        <v>20</v>
      </c>
      <c r="D392" s="7" t="s">
        <v>62</v>
      </c>
      <c r="F392" s="7">
        <v>1.1000000000000001</v>
      </c>
      <c r="I392" s="7"/>
      <c r="J392">
        <f>50+53+78+82</f>
        <v>263</v>
      </c>
      <c r="K392">
        <v>4</v>
      </c>
      <c r="L392">
        <v>82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4.9030470000000008</v>
      </c>
      <c r="P392">
        <f t="shared" si="16"/>
        <v>4.9030470000000008</v>
      </c>
      <c r="S392">
        <f t="shared" si="15"/>
        <v>0.95033097500000008</v>
      </c>
    </row>
    <row r="393" spans="1:19">
      <c r="A393" s="8">
        <v>42814</v>
      </c>
      <c r="B393" s="7" t="s">
        <v>20</v>
      </c>
      <c r="C393" s="7">
        <v>20</v>
      </c>
      <c r="D393" s="7" t="s">
        <v>62</v>
      </c>
      <c r="F393" s="7">
        <v>1.21</v>
      </c>
      <c r="H393" s="7"/>
      <c r="I393" s="7"/>
      <c r="J393">
        <f>42+66+83+103</f>
        <v>294</v>
      </c>
      <c r="K393">
        <v>4</v>
      </c>
      <c r="L393">
        <v>103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1.4833069999999999</v>
      </c>
      <c r="P393">
        <f t="shared" si="16"/>
        <v>1.4833069999999999</v>
      </c>
      <c r="S393">
        <f t="shared" si="15"/>
        <v>1.1499004797499999</v>
      </c>
    </row>
    <row r="394" spans="1:19">
      <c r="A394" s="8">
        <v>42814</v>
      </c>
      <c r="B394" s="7" t="s">
        <v>20</v>
      </c>
      <c r="C394" s="7">
        <v>20</v>
      </c>
      <c r="D394" s="7" t="s">
        <v>62</v>
      </c>
      <c r="F394" s="7">
        <v>0.79</v>
      </c>
      <c r="I394" s="7"/>
      <c r="J394">
        <f>29+40+50+63</f>
        <v>182</v>
      </c>
      <c r="K394">
        <v>4</v>
      </c>
      <c r="L394">
        <v>63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3.032547000000001</v>
      </c>
      <c r="P394">
        <f t="shared" si="16"/>
        <v>3.032547000000001</v>
      </c>
      <c r="S394">
        <f t="shared" si="15"/>
        <v>0.49016657975000005</v>
      </c>
    </row>
    <row r="395" spans="1:19">
      <c r="A395" s="8">
        <v>42814</v>
      </c>
      <c r="B395" s="7" t="s">
        <v>20</v>
      </c>
      <c r="C395" s="7">
        <v>20</v>
      </c>
      <c r="D395" s="7" t="s">
        <v>62</v>
      </c>
      <c r="F395" s="7">
        <v>0.83</v>
      </c>
      <c r="G395" s="7"/>
      <c r="I395" s="7"/>
      <c r="J395">
        <f>41+67+70+83</f>
        <v>261</v>
      </c>
      <c r="K395">
        <v>4</v>
      </c>
      <c r="L395">
        <v>83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4.4142919999999997</v>
      </c>
      <c r="P395">
        <f t="shared" si="16"/>
        <v>4.4142919999999997</v>
      </c>
      <c r="S395">
        <f t="shared" si="15"/>
        <v>0.54106033774999995</v>
      </c>
    </row>
    <row r="396" spans="1:19">
      <c r="A396" s="8">
        <v>42814</v>
      </c>
      <c r="B396" s="7" t="s">
        <v>20</v>
      </c>
      <c r="C396" s="7">
        <v>20</v>
      </c>
      <c r="D396" s="7" t="s">
        <v>62</v>
      </c>
      <c r="F396" s="7">
        <v>0.77</v>
      </c>
      <c r="I396" s="7"/>
      <c r="J396">
        <f>11+17+26+31</f>
        <v>85</v>
      </c>
      <c r="K396">
        <v>4</v>
      </c>
      <c r="L396">
        <v>31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3.5781519999999958</v>
      </c>
      <c r="P396">
        <f t="shared" si="16"/>
        <v>3.5781519999999958</v>
      </c>
      <c r="S396">
        <f t="shared" si="15"/>
        <v>0.46566217774999996</v>
      </c>
    </row>
    <row r="397" spans="1:19">
      <c r="A397" s="8">
        <v>42814</v>
      </c>
      <c r="B397" s="7" t="s">
        <v>20</v>
      </c>
      <c r="C397" s="7">
        <v>14</v>
      </c>
      <c r="D397" s="7" t="s">
        <v>61</v>
      </c>
      <c r="F397" s="7">
        <v>1.31</v>
      </c>
      <c r="G397" s="7"/>
      <c r="I397" s="7"/>
      <c r="J397">
        <f>88+115+120+140+126</f>
        <v>589</v>
      </c>
      <c r="K397">
        <v>5</v>
      </c>
      <c r="L397">
        <v>140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-4.5905969999999998</v>
      </c>
      <c r="P397" t="str">
        <f t="shared" si="16"/>
        <v xml:space="preserve"> </v>
      </c>
      <c r="S397">
        <f t="shared" si="15"/>
        <v>1.34782064975</v>
      </c>
    </row>
    <row r="398" spans="1:19">
      <c r="A398" s="8">
        <v>42814</v>
      </c>
      <c r="B398" s="7" t="s">
        <v>20</v>
      </c>
      <c r="C398" s="7">
        <v>14</v>
      </c>
      <c r="D398" s="7" t="s">
        <v>61</v>
      </c>
      <c r="E398">
        <v>56</v>
      </c>
      <c r="F398" s="7">
        <v>1.44</v>
      </c>
      <c r="G398" s="7">
        <v>1</v>
      </c>
      <c r="I398" s="7"/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2.1563976</v>
      </c>
      <c r="P398">
        <f t="shared" si="16"/>
        <v>2.1563976</v>
      </c>
      <c r="S398">
        <f t="shared" si="15"/>
        <v>1.6286002559999999</v>
      </c>
    </row>
    <row r="399" spans="1:19">
      <c r="A399" s="8">
        <v>42814</v>
      </c>
      <c r="B399" s="7" t="s">
        <v>20</v>
      </c>
      <c r="C399" s="7">
        <v>14</v>
      </c>
      <c r="D399" s="7" t="s">
        <v>61</v>
      </c>
      <c r="F399" s="7">
        <v>1.95</v>
      </c>
      <c r="G399" s="7"/>
      <c r="I399" s="7"/>
      <c r="J399">
        <f>64+88+94+116</f>
        <v>362</v>
      </c>
      <c r="K399">
        <v>4</v>
      </c>
      <c r="L399">
        <v>116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-4.5905969999999998</v>
      </c>
      <c r="P399" t="str">
        <f t="shared" si="16"/>
        <v xml:space="preserve"> </v>
      </c>
      <c r="S399">
        <f t="shared" si="15"/>
        <v>2.9864739937499998</v>
      </c>
    </row>
    <row r="400" spans="1:19">
      <c r="A400" s="8">
        <v>42814</v>
      </c>
      <c r="B400" s="7" t="s">
        <v>20</v>
      </c>
      <c r="C400" s="7">
        <v>14</v>
      </c>
      <c r="D400" s="7" t="s">
        <v>62</v>
      </c>
      <c r="F400" s="7">
        <v>1.75</v>
      </c>
      <c r="G400" s="7"/>
      <c r="H400" s="7"/>
      <c r="I400" s="7"/>
      <c r="J400">
        <f>28+50+53+76+84+93</f>
        <v>384</v>
      </c>
      <c r="K400">
        <v>6</v>
      </c>
      <c r="L400">
        <v>93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-1.1109989999999996</v>
      </c>
      <c r="P400" t="str">
        <f t="shared" si="16"/>
        <v xml:space="preserve"> </v>
      </c>
      <c r="S400">
        <f t="shared" si="15"/>
        <v>2.4052798437499998</v>
      </c>
    </row>
    <row r="401" spans="1:19">
      <c r="A401" s="8">
        <v>42814</v>
      </c>
      <c r="B401" s="7" t="s">
        <v>20</v>
      </c>
      <c r="C401" s="7">
        <v>14</v>
      </c>
      <c r="D401" s="7" t="s">
        <v>62</v>
      </c>
      <c r="F401" s="7">
        <v>2.04</v>
      </c>
      <c r="G401" s="7"/>
      <c r="J401">
        <f>33+54+71+81+101+106</f>
        <v>446</v>
      </c>
      <c r="K401">
        <v>6</v>
      </c>
      <c r="L401">
        <v>106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0.7856260000000006</v>
      </c>
      <c r="P401">
        <f t="shared" si="16"/>
        <v>0.7856260000000006</v>
      </c>
      <c r="S401">
        <f t="shared" si="15"/>
        <v>3.268510236</v>
      </c>
    </row>
    <row r="402" spans="1:19">
      <c r="A402" s="8">
        <v>42814</v>
      </c>
      <c r="B402" s="7" t="s">
        <v>20</v>
      </c>
      <c r="C402" s="7">
        <v>14</v>
      </c>
      <c r="D402" s="7" t="s">
        <v>62</v>
      </c>
      <c r="F402" s="7">
        <v>0.89</v>
      </c>
      <c r="G402" s="7"/>
      <c r="J402">
        <f>14+28+33+37</f>
        <v>112</v>
      </c>
      <c r="K402">
        <v>4</v>
      </c>
      <c r="L402">
        <v>37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4.3020669999999974</v>
      </c>
      <c r="P402">
        <f t="shared" si="16"/>
        <v>4.3020669999999974</v>
      </c>
      <c r="S402">
        <f t="shared" si="15"/>
        <v>0.62211335975000004</v>
      </c>
    </row>
    <row r="403" spans="1:19">
      <c r="A403" s="8">
        <v>42814</v>
      </c>
      <c r="B403" s="7" t="s">
        <v>20</v>
      </c>
      <c r="C403" s="7">
        <v>14</v>
      </c>
      <c r="D403" s="7" t="s">
        <v>62</v>
      </c>
      <c r="F403" s="7">
        <v>2.4700000000000002</v>
      </c>
      <c r="J403">
        <f>60+96</f>
        <v>156</v>
      </c>
      <c r="K403">
        <v>2</v>
      </c>
      <c r="L403">
        <v>96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4.6985379999999992</v>
      </c>
      <c r="P403">
        <f t="shared" si="16"/>
        <v>4.6985379999999992</v>
      </c>
      <c r="S403">
        <f t="shared" si="15"/>
        <v>4.7916316077500003</v>
      </c>
    </row>
    <row r="404" spans="1:19">
      <c r="A404" s="8">
        <v>42814</v>
      </c>
      <c r="B404" s="7" t="s">
        <v>20</v>
      </c>
      <c r="C404" s="7">
        <v>4</v>
      </c>
      <c r="D404" s="7"/>
      <c r="F404" s="7"/>
      <c r="M404" t="s">
        <v>64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0</v>
      </c>
      <c r="P404">
        <f t="shared" si="16"/>
        <v>0</v>
      </c>
      <c r="S404">
        <f t="shared" ref="S404:S467" si="17">3.14159*((F404/2)^2)</f>
        <v>0</v>
      </c>
    </row>
    <row r="405" spans="1:19">
      <c r="A405" s="8">
        <v>42814</v>
      </c>
      <c r="B405" s="7" t="s">
        <v>21</v>
      </c>
      <c r="C405" s="7">
        <v>36</v>
      </c>
      <c r="D405" s="7" t="s">
        <v>62</v>
      </c>
      <c r="F405" s="7">
        <v>1.1299999999999999</v>
      </c>
      <c r="J405">
        <f>26+70+94+109</f>
        <v>299</v>
      </c>
      <c r="K405">
        <v>4</v>
      </c>
      <c r="L405">
        <v>109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0.14461200000000218</v>
      </c>
      <c r="P405">
        <f t="shared" si="16"/>
        <v>0.14461200000000218</v>
      </c>
      <c r="S405">
        <f t="shared" si="17"/>
        <v>1.0028740677499997</v>
      </c>
    </row>
    <row r="406" spans="1:19">
      <c r="A406" s="8">
        <v>42814</v>
      </c>
      <c r="B406" s="7" t="s">
        <v>21</v>
      </c>
      <c r="C406" s="7">
        <v>36</v>
      </c>
      <c r="D406" s="7" t="s">
        <v>62</v>
      </c>
      <c r="F406" s="7">
        <v>1.52</v>
      </c>
      <c r="J406">
        <f>40+51+88+92+113+131</f>
        <v>515</v>
      </c>
      <c r="K406">
        <v>6</v>
      </c>
      <c r="L406">
        <v>131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-0.27640399999999943</v>
      </c>
      <c r="P406" t="str">
        <f t="shared" si="16"/>
        <v xml:space="preserve"> </v>
      </c>
      <c r="S406">
        <f t="shared" si="17"/>
        <v>1.8145823839999999</v>
      </c>
    </row>
    <row r="407" spans="1:19">
      <c r="A407" s="8">
        <v>42814</v>
      </c>
      <c r="B407" s="7" t="s">
        <v>21</v>
      </c>
      <c r="C407" s="7">
        <v>36</v>
      </c>
      <c r="D407" s="7" t="s">
        <v>62</v>
      </c>
      <c r="F407" s="7">
        <v>0.74</v>
      </c>
      <c r="J407">
        <f>26+49+63+66</f>
        <v>204</v>
      </c>
      <c r="K407">
        <v>4</v>
      </c>
      <c r="L407">
        <v>66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4.1914219999999993</v>
      </c>
      <c r="P407">
        <f t="shared" si="16"/>
        <v>4.1914219999999993</v>
      </c>
      <c r="S407">
        <f t="shared" si="17"/>
        <v>0.43008367099999995</v>
      </c>
    </row>
    <row r="408" spans="1:19">
      <c r="A408" s="8">
        <v>42814</v>
      </c>
      <c r="B408" s="7" t="s">
        <v>21</v>
      </c>
      <c r="C408" s="7">
        <v>36</v>
      </c>
      <c r="D408" s="7" t="s">
        <v>62</v>
      </c>
      <c r="F408" s="7">
        <v>1.54</v>
      </c>
      <c r="J408">
        <f>48+44+87+94+116+122</f>
        <v>511</v>
      </c>
      <c r="K408">
        <v>6</v>
      </c>
      <c r="L408">
        <v>122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2.059781000000001</v>
      </c>
      <c r="P408">
        <f t="shared" si="16"/>
        <v>2.059781000000001</v>
      </c>
      <c r="S408">
        <f t="shared" si="17"/>
        <v>1.8626487109999998</v>
      </c>
    </row>
    <row r="409" spans="1:19">
      <c r="A409" s="8">
        <v>42814</v>
      </c>
      <c r="B409" s="7" t="s">
        <v>21</v>
      </c>
      <c r="C409" s="7">
        <v>36</v>
      </c>
      <c r="D409" s="7" t="s">
        <v>62</v>
      </c>
      <c r="F409" s="7">
        <v>1.58</v>
      </c>
      <c r="J409">
        <f>104+105+125</f>
        <v>334</v>
      </c>
      <c r="K409">
        <v>3</v>
      </c>
      <c r="L409">
        <v>125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5.6284699999999965</v>
      </c>
      <c r="P409">
        <f t="shared" si="16"/>
        <v>5.6284699999999965</v>
      </c>
      <c r="S409">
        <f t="shared" si="17"/>
        <v>1.9606663190000002</v>
      </c>
    </row>
    <row r="410" spans="1:19">
      <c r="A410" s="8">
        <v>42814</v>
      </c>
      <c r="B410" s="7" t="s">
        <v>21</v>
      </c>
      <c r="C410" s="7">
        <v>36</v>
      </c>
      <c r="D410" s="7" t="s">
        <v>62</v>
      </c>
      <c r="F410" s="7">
        <v>1.24</v>
      </c>
      <c r="J410">
        <f>39+46+76+90+112+122</f>
        <v>485</v>
      </c>
      <c r="K410">
        <v>6</v>
      </c>
      <c r="L410">
        <v>122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-0.37784899999999766</v>
      </c>
      <c r="P410" t="str">
        <f t="shared" si="16"/>
        <v xml:space="preserve"> </v>
      </c>
      <c r="S410">
        <f t="shared" si="17"/>
        <v>1.207627196</v>
      </c>
    </row>
    <row r="411" spans="1:19">
      <c r="A411" s="8">
        <v>42814</v>
      </c>
      <c r="B411" s="7" t="s">
        <v>21</v>
      </c>
      <c r="C411" s="7">
        <v>36</v>
      </c>
      <c r="D411" s="7" t="s">
        <v>62</v>
      </c>
      <c r="F411" s="7">
        <v>0.89</v>
      </c>
      <c r="G411" s="7"/>
      <c r="I411" s="7"/>
      <c r="J411">
        <f>18+36+43+52</f>
        <v>149</v>
      </c>
      <c r="K411">
        <v>4</v>
      </c>
      <c r="L411">
        <v>52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3.2523270000000011</v>
      </c>
      <c r="P411">
        <f t="shared" si="16"/>
        <v>3.2523270000000011</v>
      </c>
      <c r="S411">
        <f t="shared" si="17"/>
        <v>0.62211335975000004</v>
      </c>
    </row>
    <row r="412" spans="1:19">
      <c r="A412" s="8">
        <v>42814</v>
      </c>
      <c r="B412" s="7" t="s">
        <v>21</v>
      </c>
      <c r="C412" s="7">
        <v>36</v>
      </c>
      <c r="D412" s="7" t="s">
        <v>62</v>
      </c>
      <c r="F412" s="7">
        <v>1.1499999999999999</v>
      </c>
      <c r="G412" s="7"/>
      <c r="I412" s="7"/>
      <c r="J412">
        <f>33+51+83+87</f>
        <v>254</v>
      </c>
      <c r="K412">
        <v>4</v>
      </c>
      <c r="L412">
        <v>87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2.5530270000000002</v>
      </c>
      <c r="P412">
        <f t="shared" si="16"/>
        <v>2.5530270000000002</v>
      </c>
      <c r="S412">
        <f t="shared" si="17"/>
        <v>1.0386881937499999</v>
      </c>
    </row>
    <row r="413" spans="1:19">
      <c r="A413" s="8">
        <v>42814</v>
      </c>
      <c r="B413" s="7" t="s">
        <v>21</v>
      </c>
      <c r="C413" s="7">
        <v>36</v>
      </c>
      <c r="D413" s="7" t="s">
        <v>62</v>
      </c>
      <c r="F413" s="7">
        <v>1.52</v>
      </c>
      <c r="H413" s="7"/>
      <c r="J413">
        <f>69+83+123+124+139</f>
        <v>538</v>
      </c>
      <c r="K413">
        <v>5</v>
      </c>
      <c r="L413">
        <v>139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6.4923539999999988</v>
      </c>
      <c r="P413">
        <f t="shared" si="16"/>
        <v>6.4923539999999988</v>
      </c>
      <c r="S413">
        <f t="shared" si="17"/>
        <v>1.8145823839999999</v>
      </c>
    </row>
    <row r="414" spans="1:19">
      <c r="A414" s="8">
        <v>42814</v>
      </c>
      <c r="B414" s="7" t="s">
        <v>21</v>
      </c>
      <c r="C414" s="7">
        <v>36</v>
      </c>
      <c r="D414" s="7" t="s">
        <v>62</v>
      </c>
      <c r="F414" s="7">
        <v>0.68</v>
      </c>
      <c r="J414">
        <f>34+38+60</f>
        <v>132</v>
      </c>
      <c r="K414">
        <v>3</v>
      </c>
      <c r="L414">
        <v>60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6.2708849999999963</v>
      </c>
      <c r="P414">
        <f t="shared" si="16"/>
        <v>6.2708849999999963</v>
      </c>
      <c r="S414">
        <f t="shared" si="17"/>
        <v>0.36316780400000004</v>
      </c>
    </row>
    <row r="415" spans="1:19">
      <c r="A415" s="8">
        <v>42814</v>
      </c>
      <c r="B415" s="7" t="s">
        <v>21</v>
      </c>
      <c r="C415" s="7">
        <v>36</v>
      </c>
      <c r="D415" s="7" t="s">
        <v>62</v>
      </c>
      <c r="F415" s="7">
        <v>1.41</v>
      </c>
      <c r="G415" s="7"/>
      <c r="I415" s="7"/>
      <c r="J415">
        <f>71+92+96</f>
        <v>259</v>
      </c>
      <c r="K415">
        <v>3</v>
      </c>
      <c r="L415">
        <v>96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7.3329500000000003</v>
      </c>
      <c r="P415">
        <f t="shared" si="16"/>
        <v>7.3329500000000003</v>
      </c>
      <c r="S415">
        <f t="shared" si="17"/>
        <v>1.5614487697499997</v>
      </c>
    </row>
    <row r="416" spans="1:19">
      <c r="A416" s="8">
        <v>42814</v>
      </c>
      <c r="B416" s="7" t="s">
        <v>21</v>
      </c>
      <c r="C416" s="7">
        <v>36</v>
      </c>
      <c r="D416" s="7" t="s">
        <v>62</v>
      </c>
      <c r="F416" s="7">
        <v>1.29</v>
      </c>
      <c r="G416" s="7"/>
      <c r="H416" s="7"/>
      <c r="I416" s="7"/>
      <c r="J416">
        <f>47+72+98+100+130</f>
        <v>447</v>
      </c>
      <c r="K416">
        <v>5</v>
      </c>
      <c r="L416">
        <v>130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0.67185399999999618</v>
      </c>
      <c r="P416">
        <f t="shared" si="16"/>
        <v>0.67185399999999618</v>
      </c>
      <c r="S416">
        <f t="shared" si="17"/>
        <v>1.3069799797500001</v>
      </c>
    </row>
    <row r="417" spans="1:19">
      <c r="A417" s="8">
        <v>42814</v>
      </c>
      <c r="B417" s="7" t="s">
        <v>21</v>
      </c>
      <c r="C417" s="7">
        <v>36</v>
      </c>
      <c r="D417" s="7" t="s">
        <v>62</v>
      </c>
      <c r="F417" s="7">
        <v>1.64</v>
      </c>
      <c r="G417" s="7"/>
      <c r="I417" s="7"/>
      <c r="J417">
        <f>96+120+135</f>
        <v>351</v>
      </c>
      <c r="K417">
        <v>3</v>
      </c>
      <c r="L417">
        <v>135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4.2098550000000046</v>
      </c>
      <c r="P417">
        <f t="shared" si="16"/>
        <v>4.2098550000000046</v>
      </c>
      <c r="S417">
        <f t="shared" si="17"/>
        <v>2.1124051159999997</v>
      </c>
    </row>
    <row r="418" spans="1:19">
      <c r="A418" s="8">
        <v>42814</v>
      </c>
      <c r="B418" s="7" t="s">
        <v>21</v>
      </c>
      <c r="C418" s="7">
        <v>36</v>
      </c>
      <c r="D418" s="7" t="s">
        <v>62</v>
      </c>
      <c r="F418" s="7">
        <v>0.89</v>
      </c>
      <c r="G418" s="7"/>
      <c r="H418" s="7"/>
      <c r="I418" s="7"/>
      <c r="J418">
        <f>27+56+62+89</f>
        <v>234</v>
      </c>
      <c r="K418">
        <v>4</v>
      </c>
      <c r="L418">
        <v>89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7.5437000000000864E-2</v>
      </c>
      <c r="P418">
        <f t="shared" si="16"/>
        <v>7.5437000000000864E-2</v>
      </c>
      <c r="S418">
        <f t="shared" si="17"/>
        <v>0.62211335975000004</v>
      </c>
    </row>
    <row r="419" spans="1:19">
      <c r="A419" s="8">
        <v>42814</v>
      </c>
      <c r="B419" s="7" t="s">
        <v>21</v>
      </c>
      <c r="C419" s="7">
        <v>36</v>
      </c>
      <c r="D419" s="7" t="s">
        <v>62</v>
      </c>
      <c r="F419" s="7">
        <v>0.85</v>
      </c>
      <c r="H419" s="7"/>
      <c r="J419">
        <f>47+70+79</f>
        <v>196</v>
      </c>
      <c r="K419">
        <v>3</v>
      </c>
      <c r="L419">
        <v>79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6.5475500000000011</v>
      </c>
      <c r="P419">
        <f t="shared" si="16"/>
        <v>6.5475500000000011</v>
      </c>
      <c r="S419">
        <f t="shared" si="17"/>
        <v>0.56744969374999987</v>
      </c>
    </row>
    <row r="420" spans="1:19">
      <c r="A420" s="8">
        <v>42814</v>
      </c>
      <c r="B420" s="7" t="s">
        <v>21</v>
      </c>
      <c r="C420" s="7">
        <v>36</v>
      </c>
      <c r="D420" s="7" t="s">
        <v>62</v>
      </c>
      <c r="F420" s="7">
        <v>1.25</v>
      </c>
      <c r="J420">
        <f>20+31+44+45</f>
        <v>140</v>
      </c>
      <c r="K420">
        <v>4</v>
      </c>
      <c r="L420">
        <v>45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4.5172469999999976</v>
      </c>
      <c r="P420">
        <f t="shared" si="16"/>
        <v>4.5172469999999976</v>
      </c>
      <c r="S420">
        <f t="shared" si="17"/>
        <v>1.22718359375</v>
      </c>
    </row>
    <row r="421" spans="1:19">
      <c r="A421" s="8">
        <v>42814</v>
      </c>
      <c r="B421" s="7" t="s">
        <v>21</v>
      </c>
      <c r="C421" s="7">
        <v>36</v>
      </c>
      <c r="D421" s="7" t="s">
        <v>62</v>
      </c>
      <c r="F421" s="7">
        <v>1.58</v>
      </c>
      <c r="G421" s="7"/>
      <c r="I421" s="7"/>
      <c r="J421">
        <f>69+121+129+142</f>
        <v>461</v>
      </c>
      <c r="K421">
        <v>4</v>
      </c>
      <c r="L421">
        <v>142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5.3918369999999989</v>
      </c>
      <c r="P421">
        <f t="shared" si="16"/>
        <v>5.3918369999999989</v>
      </c>
      <c r="S421">
        <f t="shared" si="17"/>
        <v>1.9606663190000002</v>
      </c>
    </row>
    <row r="422" spans="1:19">
      <c r="A422" s="8">
        <v>42814</v>
      </c>
      <c r="B422" s="7" t="s">
        <v>21</v>
      </c>
      <c r="C422" s="7">
        <v>36</v>
      </c>
      <c r="D422" s="7" t="s">
        <v>62</v>
      </c>
      <c r="F422" s="7">
        <v>0.86</v>
      </c>
      <c r="G422" s="7"/>
      <c r="J422">
        <f>38+54+69+93</f>
        <v>254</v>
      </c>
      <c r="K422">
        <v>4</v>
      </c>
      <c r="L422">
        <v>93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0.74555699999999803</v>
      </c>
      <c r="P422">
        <f t="shared" si="16"/>
        <v>0.74555699999999803</v>
      </c>
      <c r="S422">
        <f t="shared" si="17"/>
        <v>0.58087999099999987</v>
      </c>
    </row>
    <row r="423" spans="1:19">
      <c r="A423" s="8">
        <v>42814</v>
      </c>
      <c r="B423" s="7" t="s">
        <v>21</v>
      </c>
      <c r="C423" s="7">
        <v>33</v>
      </c>
      <c r="D423" s="7" t="s">
        <v>62</v>
      </c>
      <c r="F423" s="7">
        <v>0.83</v>
      </c>
      <c r="J423">
        <f>30+46+68+71</f>
        <v>215</v>
      </c>
      <c r="K423">
        <v>4</v>
      </c>
      <c r="L423">
        <v>71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3.7165019999999984</v>
      </c>
      <c r="P423">
        <f t="shared" si="16"/>
        <v>3.7165019999999984</v>
      </c>
      <c r="S423">
        <f t="shared" si="17"/>
        <v>0.54106033774999995</v>
      </c>
    </row>
    <row r="424" spans="1:19">
      <c r="A424" s="8">
        <v>42814</v>
      </c>
      <c r="B424" s="7" t="s">
        <v>21</v>
      </c>
      <c r="C424" s="7">
        <v>33</v>
      </c>
      <c r="D424" s="7" t="s">
        <v>62</v>
      </c>
      <c r="F424" s="7">
        <v>0.81</v>
      </c>
      <c r="G424" s="7"/>
      <c r="H424" s="7"/>
      <c r="I424" s="7"/>
      <c r="J424">
        <f>19+52+80+81</f>
        <v>232</v>
      </c>
      <c r="K424">
        <v>4</v>
      </c>
      <c r="L424">
        <v>81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2.2978869999999993</v>
      </c>
      <c r="P424">
        <f t="shared" si="16"/>
        <v>2.2978869999999993</v>
      </c>
      <c r="S424">
        <f t="shared" si="17"/>
        <v>0.51529929975000011</v>
      </c>
    </row>
    <row r="425" spans="1:19">
      <c r="A425" s="8">
        <v>42814</v>
      </c>
      <c r="B425" s="7" t="s">
        <v>21</v>
      </c>
      <c r="C425" s="7">
        <v>33</v>
      </c>
      <c r="D425" s="7" t="s">
        <v>62</v>
      </c>
      <c r="F425" s="7">
        <v>1.46</v>
      </c>
      <c r="G425" s="7"/>
      <c r="H425" s="7"/>
      <c r="I425" s="7"/>
      <c r="J425">
        <f>65+79+94+106</f>
        <v>344</v>
      </c>
      <c r="K425">
        <v>4</v>
      </c>
      <c r="L425">
        <v>106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5.2673219999999965</v>
      </c>
      <c r="P425">
        <f t="shared" si="16"/>
        <v>5.2673219999999965</v>
      </c>
      <c r="S425">
        <f t="shared" si="17"/>
        <v>1.6741533109999998</v>
      </c>
    </row>
    <row r="426" spans="1:19">
      <c r="A426" s="8">
        <v>42814</v>
      </c>
      <c r="B426" s="7" t="s">
        <v>21</v>
      </c>
      <c r="C426" s="7">
        <v>33</v>
      </c>
      <c r="D426" s="7" t="s">
        <v>62</v>
      </c>
      <c r="F426" s="7">
        <v>2.73</v>
      </c>
      <c r="G426" s="7"/>
      <c r="I426" s="7"/>
      <c r="J426">
        <f>58+82+97+118+125+141+143</f>
        <v>764</v>
      </c>
      <c r="K426">
        <v>7</v>
      </c>
      <c r="L426">
        <v>143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12.431298000000005</v>
      </c>
      <c r="P426">
        <f t="shared" si="16"/>
        <v>12.431298000000005</v>
      </c>
      <c r="S426">
        <f t="shared" si="17"/>
        <v>5.8534890277499994</v>
      </c>
    </row>
    <row r="427" spans="1:19">
      <c r="A427" s="8">
        <v>42818</v>
      </c>
      <c r="B427" s="7" t="s">
        <v>21</v>
      </c>
      <c r="C427" s="7">
        <v>33</v>
      </c>
      <c r="D427" s="7" t="s">
        <v>62</v>
      </c>
      <c r="F427" s="7">
        <v>1.72</v>
      </c>
      <c r="I427" s="7"/>
      <c r="J427">
        <f>59+65+94+103+118+132</f>
        <v>571</v>
      </c>
      <c r="K427">
        <v>6</v>
      </c>
      <c r="L427">
        <v>132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4.6726310000000026</v>
      </c>
      <c r="P427">
        <f t="shared" si="16"/>
        <v>4.6726310000000026</v>
      </c>
      <c r="S427">
        <f t="shared" si="17"/>
        <v>2.3235199639999995</v>
      </c>
    </row>
    <row r="428" spans="1:19">
      <c r="A428" s="8">
        <v>42818</v>
      </c>
      <c r="B428" s="7" t="s">
        <v>21</v>
      </c>
      <c r="C428" s="7">
        <v>33</v>
      </c>
      <c r="D428" s="7" t="s">
        <v>62</v>
      </c>
      <c r="F428" s="7">
        <v>0.93</v>
      </c>
      <c r="H428" s="7"/>
      <c r="J428">
        <f>22+30+49+66+76+89</f>
        <v>332</v>
      </c>
      <c r="K428">
        <v>6</v>
      </c>
      <c r="L428">
        <v>89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-4.7812790000000049</v>
      </c>
      <c r="P428" t="str">
        <f t="shared" si="16"/>
        <v xml:space="preserve"> </v>
      </c>
      <c r="S428">
        <f t="shared" si="17"/>
        <v>0.67929029775000005</v>
      </c>
    </row>
    <row r="429" spans="1:19">
      <c r="A429" s="8">
        <v>42818</v>
      </c>
      <c r="B429" s="7" t="s">
        <v>21</v>
      </c>
      <c r="C429" s="7">
        <v>33</v>
      </c>
      <c r="D429" s="7" t="s">
        <v>62</v>
      </c>
      <c r="F429" s="7">
        <v>0.53</v>
      </c>
      <c r="J429">
        <v>8</v>
      </c>
      <c r="K429">
        <v>1</v>
      </c>
      <c r="L429">
        <v>8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24.354710999999998</v>
      </c>
      <c r="P429">
        <f t="shared" si="16"/>
        <v>24.354710999999998</v>
      </c>
      <c r="S429">
        <f t="shared" si="17"/>
        <v>0.22061815775000002</v>
      </c>
    </row>
    <row r="430" spans="1:19">
      <c r="A430" s="8">
        <v>42818</v>
      </c>
      <c r="B430" s="7" t="s">
        <v>21</v>
      </c>
      <c r="C430" s="7">
        <v>33</v>
      </c>
      <c r="D430" s="7" t="s">
        <v>62</v>
      </c>
      <c r="F430" s="7">
        <v>0.47</v>
      </c>
      <c r="G430" s="7"/>
      <c r="J430">
        <f>8+10+10</f>
        <v>28</v>
      </c>
      <c r="K430">
        <v>3</v>
      </c>
      <c r="L430">
        <v>10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11.582614999999997</v>
      </c>
      <c r="P430">
        <f t="shared" si="16"/>
        <v>11.582614999999997</v>
      </c>
      <c r="S430">
        <f t="shared" si="17"/>
        <v>0.17349430774999999</v>
      </c>
    </row>
    <row r="431" spans="1:19">
      <c r="A431" s="8">
        <v>42818</v>
      </c>
      <c r="B431" s="7" t="s">
        <v>21</v>
      </c>
      <c r="C431" s="7">
        <v>33</v>
      </c>
      <c r="D431" s="7" t="s">
        <v>62</v>
      </c>
      <c r="F431" s="7">
        <v>1.7</v>
      </c>
      <c r="G431" s="7"/>
      <c r="I431" s="7"/>
      <c r="J431">
        <f>50+78+85+105+108</f>
        <v>426</v>
      </c>
      <c r="K431">
        <v>5</v>
      </c>
      <c r="L431">
        <v>108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5.3303890000000038</v>
      </c>
      <c r="P431">
        <f t="shared" si="16"/>
        <v>5.3303890000000038</v>
      </c>
      <c r="S431">
        <f t="shared" si="17"/>
        <v>2.2697987749999995</v>
      </c>
    </row>
    <row r="432" spans="1:19">
      <c r="A432" s="8">
        <v>42818</v>
      </c>
      <c r="B432" s="7" t="s">
        <v>21</v>
      </c>
      <c r="C432" s="7">
        <v>33</v>
      </c>
      <c r="D432" s="7" t="s">
        <v>62</v>
      </c>
      <c r="F432" s="7">
        <v>0.88</v>
      </c>
      <c r="J432">
        <f>31+46+64+84</f>
        <v>225</v>
      </c>
      <c r="K432">
        <v>4</v>
      </c>
      <c r="L432">
        <v>84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0.73786700000000138</v>
      </c>
      <c r="P432">
        <f t="shared" si="16"/>
        <v>0.73786700000000138</v>
      </c>
      <c r="S432">
        <f t="shared" si="17"/>
        <v>0.60821182399999996</v>
      </c>
    </row>
    <row r="433" spans="1:19">
      <c r="A433" s="8">
        <v>42818</v>
      </c>
      <c r="B433" s="7" t="s">
        <v>21</v>
      </c>
      <c r="C433" s="7">
        <v>33</v>
      </c>
      <c r="D433" s="7" t="s">
        <v>62</v>
      </c>
      <c r="F433" s="7">
        <v>3.8</v>
      </c>
      <c r="H433" s="7"/>
      <c r="J433">
        <f>69+140+147+176+177</f>
        <v>709</v>
      </c>
      <c r="K433">
        <v>5</v>
      </c>
      <c r="L433">
        <v>177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11.077149000000006</v>
      </c>
      <c r="P433">
        <f t="shared" si="16"/>
        <v>11.077149000000006</v>
      </c>
      <c r="S433">
        <f t="shared" si="17"/>
        <v>11.3411399</v>
      </c>
    </row>
    <row r="434" spans="1:19">
      <c r="A434" s="8">
        <v>42818</v>
      </c>
      <c r="B434" s="7" t="s">
        <v>21</v>
      </c>
      <c r="C434" s="7">
        <v>33</v>
      </c>
      <c r="D434" s="7" t="s">
        <v>62</v>
      </c>
      <c r="F434" s="7">
        <v>1.38</v>
      </c>
      <c r="H434" s="7"/>
      <c r="J434">
        <f>40+95+102+120</f>
        <v>357</v>
      </c>
      <c r="K434">
        <v>4</v>
      </c>
      <c r="L434">
        <v>120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2.2687070000000027</v>
      </c>
      <c r="P434">
        <f t="shared" si="16"/>
        <v>2.2687070000000027</v>
      </c>
      <c r="S434">
        <f t="shared" si="17"/>
        <v>1.4957109989999997</v>
      </c>
    </row>
    <row r="435" spans="1:19">
      <c r="A435" s="8">
        <v>42818</v>
      </c>
      <c r="B435" s="7" t="s">
        <v>21</v>
      </c>
      <c r="C435" s="7">
        <v>33</v>
      </c>
      <c r="D435" s="7" t="s">
        <v>62</v>
      </c>
      <c r="F435" s="7">
        <v>1.63</v>
      </c>
      <c r="G435" s="7"/>
      <c r="J435">
        <f>42+37+73+91+100+125+129</f>
        <v>597</v>
      </c>
      <c r="K435">
        <v>7</v>
      </c>
      <c r="L435">
        <v>129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0.99164300000000338</v>
      </c>
      <c r="P435">
        <f t="shared" si="16"/>
        <v>0.99164300000000338</v>
      </c>
      <c r="S435">
        <f t="shared" si="17"/>
        <v>2.0867226177499996</v>
      </c>
    </row>
    <row r="436" spans="1:19">
      <c r="A436" s="8">
        <v>42818</v>
      </c>
      <c r="B436" s="7" t="s">
        <v>21</v>
      </c>
      <c r="C436" s="7">
        <v>33</v>
      </c>
      <c r="D436" s="7" t="s">
        <v>62</v>
      </c>
      <c r="F436" s="7">
        <v>0.88</v>
      </c>
      <c r="H436" s="7"/>
      <c r="J436">
        <f>16+26+41+53</f>
        <v>136</v>
      </c>
      <c r="K436">
        <v>4</v>
      </c>
      <c r="L436">
        <v>53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1.7322670000000002</v>
      </c>
      <c r="P436">
        <f t="shared" si="16"/>
        <v>1.7322670000000002</v>
      </c>
      <c r="S436">
        <f t="shared" si="17"/>
        <v>0.60821182399999996</v>
      </c>
    </row>
    <row r="437" spans="1:19">
      <c r="A437" s="8">
        <v>42818</v>
      </c>
      <c r="B437" s="7" t="s">
        <v>21</v>
      </c>
      <c r="C437" s="7">
        <v>32</v>
      </c>
      <c r="D437" s="7" t="s">
        <v>62</v>
      </c>
      <c r="F437" s="7">
        <v>1.1100000000000001</v>
      </c>
      <c r="J437">
        <f>13+22+47+89+94+106</f>
        <v>371</v>
      </c>
      <c r="K437">
        <v>6</v>
      </c>
      <c r="L437">
        <v>106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-6.2459990000000047</v>
      </c>
      <c r="P437" t="str">
        <f t="shared" si="16"/>
        <v xml:space="preserve"> </v>
      </c>
      <c r="S437">
        <f t="shared" si="17"/>
        <v>0.96768825975000017</v>
      </c>
    </row>
    <row r="438" spans="1:19">
      <c r="A438" s="8">
        <v>42818</v>
      </c>
      <c r="B438" s="7" t="s">
        <v>21</v>
      </c>
      <c r="C438" s="7">
        <v>32</v>
      </c>
      <c r="D438" s="7" t="s">
        <v>62</v>
      </c>
      <c r="F438" s="7">
        <v>1.21</v>
      </c>
      <c r="J438">
        <f>32+37+72+80+96+114</f>
        <v>431</v>
      </c>
      <c r="K438">
        <v>6</v>
      </c>
      <c r="L438">
        <v>114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-3.030659</v>
      </c>
      <c r="P438" t="str">
        <f t="shared" si="16"/>
        <v xml:space="preserve"> </v>
      </c>
      <c r="S438">
        <f t="shared" si="17"/>
        <v>1.1499004797499999</v>
      </c>
    </row>
    <row r="439" spans="1:19">
      <c r="A439" s="8">
        <v>42818</v>
      </c>
      <c r="B439" s="7" t="s">
        <v>21</v>
      </c>
      <c r="C439" s="7">
        <v>32</v>
      </c>
      <c r="D439" s="7" t="s">
        <v>62</v>
      </c>
      <c r="F439" s="7">
        <v>1.65</v>
      </c>
      <c r="J439">
        <f>35+70+87+116+117+130</f>
        <v>555</v>
      </c>
      <c r="K439">
        <v>6</v>
      </c>
      <c r="L439">
        <v>130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3.7750409999999945</v>
      </c>
      <c r="P439">
        <f t="shared" si="16"/>
        <v>3.7750409999999945</v>
      </c>
      <c r="S439">
        <f t="shared" si="17"/>
        <v>2.1382446937499995</v>
      </c>
    </row>
    <row r="440" spans="1:19">
      <c r="A440" s="8">
        <v>42818</v>
      </c>
      <c r="B440" s="7" t="s">
        <v>21</v>
      </c>
      <c r="C440" s="7">
        <v>32</v>
      </c>
      <c r="D440" s="7" t="s">
        <v>62</v>
      </c>
      <c r="F440" s="7">
        <v>1.1499999999999999</v>
      </c>
      <c r="J440">
        <f>19+36+45+75+76+92</f>
        <v>343</v>
      </c>
      <c r="K440">
        <v>6</v>
      </c>
      <c r="L440">
        <v>92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-4.6537089999999992</v>
      </c>
      <c r="P440" t="str">
        <f t="shared" si="16"/>
        <v xml:space="preserve"> </v>
      </c>
      <c r="S440">
        <f t="shared" si="17"/>
        <v>1.0386881937499999</v>
      </c>
    </row>
    <row r="441" spans="1:19">
      <c r="A441" s="8">
        <v>42818</v>
      </c>
      <c r="B441" s="7" t="s">
        <v>21</v>
      </c>
      <c r="C441" s="7">
        <v>32</v>
      </c>
      <c r="D441" s="7" t="s">
        <v>62</v>
      </c>
      <c r="F441" s="7">
        <v>1.27</v>
      </c>
      <c r="J441">
        <f>42+88+123+129</f>
        <v>382</v>
      </c>
      <c r="K441">
        <v>4</v>
      </c>
      <c r="L441">
        <v>129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1.9013770000000001</v>
      </c>
      <c r="P441">
        <f t="shared" si="16"/>
        <v>1.9013770000000001</v>
      </c>
      <c r="S441">
        <f t="shared" si="17"/>
        <v>1.26676762775</v>
      </c>
    </row>
    <row r="442" spans="1:19">
      <c r="A442" s="8">
        <v>42818</v>
      </c>
      <c r="B442" s="7" t="s">
        <v>21</v>
      </c>
      <c r="C442" s="7">
        <v>32</v>
      </c>
      <c r="D442" s="7" t="s">
        <v>62</v>
      </c>
      <c r="F442" s="7">
        <v>1.6</v>
      </c>
      <c r="H442" s="7"/>
      <c r="J442">
        <f>37+52+67+82+98+100</f>
        <v>436</v>
      </c>
      <c r="K442">
        <v>6</v>
      </c>
      <c r="L442">
        <v>100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1.6555460000000011</v>
      </c>
      <c r="P442">
        <f t="shared" si="16"/>
        <v>1.6555460000000011</v>
      </c>
      <c r="S442">
        <f t="shared" si="17"/>
        <v>2.0106176000000002</v>
      </c>
    </row>
    <row r="443" spans="1:19">
      <c r="A443" s="8">
        <v>42818</v>
      </c>
      <c r="B443" s="7" t="s">
        <v>21</v>
      </c>
      <c r="C443" s="7">
        <v>32</v>
      </c>
      <c r="D443" s="7" t="s">
        <v>62</v>
      </c>
      <c r="E443" s="7"/>
      <c r="F443" s="7">
        <v>0.35</v>
      </c>
      <c r="H443" s="7"/>
      <c r="I443" s="7"/>
      <c r="J443">
        <f>5+8</f>
        <v>13</v>
      </c>
      <c r="K443">
        <v>2</v>
      </c>
      <c r="L443">
        <v>8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17.801132999999997</v>
      </c>
      <c r="P443">
        <f t="shared" si="16"/>
        <v>17.801132999999997</v>
      </c>
      <c r="S443">
        <f t="shared" si="17"/>
        <v>9.6211193749999979E-2</v>
      </c>
    </row>
    <row r="444" spans="1:19">
      <c r="A444" s="8">
        <v>42818</v>
      </c>
      <c r="B444" s="7" t="s">
        <v>21</v>
      </c>
      <c r="C444" s="7">
        <v>32</v>
      </c>
      <c r="D444" s="7" t="s">
        <v>62</v>
      </c>
      <c r="F444" s="7">
        <v>1.1599999999999999</v>
      </c>
      <c r="J444">
        <f>57+65+85+101</f>
        <v>308</v>
      </c>
      <c r="K444">
        <v>4</v>
      </c>
      <c r="L444">
        <v>101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3.3983670000000004</v>
      </c>
      <c r="P444">
        <f t="shared" si="16"/>
        <v>3.3983670000000004</v>
      </c>
      <c r="S444">
        <f t="shared" si="17"/>
        <v>1.0568308759999998</v>
      </c>
    </row>
    <row r="445" spans="1:19">
      <c r="A445" s="8">
        <v>42818</v>
      </c>
      <c r="B445" s="7" t="s">
        <v>21</v>
      </c>
      <c r="C445" s="7">
        <v>32</v>
      </c>
      <c r="D445" s="7" t="s">
        <v>62</v>
      </c>
      <c r="F445" s="7">
        <v>0.74</v>
      </c>
      <c r="J445">
        <f>32+53+59+66</f>
        <v>210</v>
      </c>
      <c r="K445">
        <v>4</v>
      </c>
      <c r="L445">
        <v>66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4.7539519999999982</v>
      </c>
      <c r="P445">
        <f t="shared" ref="P445:P508" si="18">IF(O445&lt;0," ",O445)</f>
        <v>4.7539519999999982</v>
      </c>
      <c r="S445">
        <f t="shared" si="17"/>
        <v>0.43008367099999995</v>
      </c>
    </row>
    <row r="446" spans="1:19">
      <c r="A446" s="8">
        <v>42818</v>
      </c>
      <c r="B446" s="7" t="s">
        <v>21</v>
      </c>
      <c r="C446" s="7">
        <v>32</v>
      </c>
      <c r="D446" s="7" t="s">
        <v>62</v>
      </c>
      <c r="F446" s="7">
        <v>1.19</v>
      </c>
      <c r="J446">
        <f>14+41+93+95+109</f>
        <v>352</v>
      </c>
      <c r="K446">
        <v>5</v>
      </c>
      <c r="L446">
        <v>109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-1.9087259999999944</v>
      </c>
      <c r="P446" t="str">
        <f t="shared" si="18"/>
        <v xml:space="preserve"> </v>
      </c>
      <c r="S446">
        <f t="shared" si="17"/>
        <v>1.11220139975</v>
      </c>
    </row>
    <row r="447" spans="1:19">
      <c r="A447" s="8">
        <v>42818</v>
      </c>
      <c r="B447" s="7" t="s">
        <v>21</v>
      </c>
      <c r="C447" s="7">
        <v>32</v>
      </c>
      <c r="D447" s="7" t="s">
        <v>62</v>
      </c>
      <c r="F447" s="7">
        <v>0.64</v>
      </c>
      <c r="H447" s="7"/>
      <c r="J447">
        <f>42+50+56+59</f>
        <v>207</v>
      </c>
      <c r="K447">
        <v>4</v>
      </c>
      <c r="L447">
        <v>59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6.5814020000000006</v>
      </c>
      <c r="P447">
        <f t="shared" si="18"/>
        <v>6.5814020000000006</v>
      </c>
      <c r="S447">
        <f t="shared" si="17"/>
        <v>0.321698816</v>
      </c>
    </row>
    <row r="448" spans="1:19">
      <c r="A448" s="8">
        <v>42818</v>
      </c>
      <c r="B448" s="7" t="s">
        <v>21</v>
      </c>
      <c r="C448" s="7">
        <v>32</v>
      </c>
      <c r="D448" s="7" t="s">
        <v>62</v>
      </c>
      <c r="F448" s="7">
        <v>0.78</v>
      </c>
      <c r="J448">
        <f>14+41+58+72</f>
        <v>185</v>
      </c>
      <c r="K448">
        <v>4</v>
      </c>
      <c r="L448">
        <v>72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0.602606999999999</v>
      </c>
      <c r="P448">
        <f t="shared" si="18"/>
        <v>0.602606999999999</v>
      </c>
      <c r="S448">
        <f t="shared" si="17"/>
        <v>0.47783583900000004</v>
      </c>
    </row>
    <row r="449" spans="1:19">
      <c r="A449" s="8">
        <v>42818</v>
      </c>
      <c r="B449" s="7" t="s">
        <v>21</v>
      </c>
      <c r="C449" s="7">
        <v>32</v>
      </c>
      <c r="D449" s="7" t="s">
        <v>62</v>
      </c>
      <c r="F449" s="7">
        <v>1.1399999999999999</v>
      </c>
      <c r="J449">
        <f>43+69+80+88</f>
        <v>280</v>
      </c>
      <c r="K449">
        <v>4</v>
      </c>
      <c r="L449">
        <v>88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4.6894119999999972</v>
      </c>
      <c r="P449">
        <f t="shared" si="18"/>
        <v>4.6894119999999972</v>
      </c>
      <c r="S449">
        <f t="shared" si="17"/>
        <v>1.0207025909999998</v>
      </c>
    </row>
    <row r="450" spans="1:19">
      <c r="A450" s="8">
        <v>42818</v>
      </c>
      <c r="B450" s="7" t="s">
        <v>21</v>
      </c>
      <c r="C450" s="7">
        <v>32</v>
      </c>
      <c r="D450" s="7" t="s">
        <v>62</v>
      </c>
      <c r="F450" s="7">
        <v>1.85</v>
      </c>
      <c r="J450">
        <f>59+72+107+139+145+153</f>
        <v>675</v>
      </c>
      <c r="K450">
        <v>6</v>
      </c>
      <c r="L450">
        <v>153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8.0970060000000004</v>
      </c>
      <c r="P450">
        <f t="shared" si="18"/>
        <v>8.0970060000000004</v>
      </c>
      <c r="S450">
        <f t="shared" si="17"/>
        <v>2.6880229437500001</v>
      </c>
    </row>
    <row r="451" spans="1:19">
      <c r="A451" s="8">
        <v>42818</v>
      </c>
      <c r="B451" s="7" t="s">
        <v>21</v>
      </c>
      <c r="C451" s="7">
        <v>32</v>
      </c>
      <c r="D451" s="7" t="s">
        <v>62</v>
      </c>
      <c r="F451" s="7">
        <v>1.28</v>
      </c>
      <c r="J451">
        <f>14+33+70+83+89</f>
        <v>289</v>
      </c>
      <c r="K451">
        <v>5</v>
      </c>
      <c r="L451">
        <v>89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-1.7903909999999996</v>
      </c>
      <c r="P451" t="str">
        <f t="shared" si="18"/>
        <v xml:space="preserve"> </v>
      </c>
      <c r="S451">
        <f t="shared" si="17"/>
        <v>1.286795264</v>
      </c>
    </row>
    <row r="452" spans="1:19">
      <c r="A452" s="8">
        <v>42818</v>
      </c>
      <c r="B452" s="7" t="s">
        <v>21</v>
      </c>
      <c r="C452">
        <v>14</v>
      </c>
      <c r="D452" s="7" t="s">
        <v>60</v>
      </c>
      <c r="E452">
        <v>76</v>
      </c>
      <c r="F452" s="7">
        <v>1.42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0.73738300000000034</v>
      </c>
      <c r="P452">
        <f t="shared" si="18"/>
        <v>0.73738300000000034</v>
      </c>
      <c r="S452">
        <f t="shared" si="17"/>
        <v>1.5836755189999998</v>
      </c>
    </row>
    <row r="453" spans="1:19">
      <c r="A453" s="8">
        <v>42818</v>
      </c>
      <c r="B453" s="7" t="s">
        <v>21</v>
      </c>
      <c r="C453">
        <v>14</v>
      </c>
      <c r="D453" s="7" t="s">
        <v>60</v>
      </c>
      <c r="E453">
        <v>77</v>
      </c>
      <c r="F453" s="7">
        <v>1.66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0.80748800000000021</v>
      </c>
      <c r="P453">
        <f t="shared" si="18"/>
        <v>0.80748800000000021</v>
      </c>
      <c r="S453">
        <f t="shared" si="17"/>
        <v>2.1642413509999998</v>
      </c>
    </row>
    <row r="454" spans="1:19">
      <c r="A454" s="8">
        <v>42818</v>
      </c>
      <c r="B454" s="7" t="s">
        <v>21</v>
      </c>
      <c r="C454">
        <v>14</v>
      </c>
      <c r="D454" s="7" t="s">
        <v>60</v>
      </c>
      <c r="E454">
        <v>104</v>
      </c>
      <c r="F454" s="7">
        <v>0.76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2.700323</v>
      </c>
      <c r="P454">
        <f t="shared" si="18"/>
        <v>2.700323</v>
      </c>
      <c r="S454">
        <f t="shared" si="17"/>
        <v>0.45364559599999998</v>
      </c>
    </row>
    <row r="455" spans="1:19">
      <c r="A455" s="8">
        <v>42818</v>
      </c>
      <c r="B455" s="7" t="s">
        <v>21</v>
      </c>
      <c r="C455">
        <v>14</v>
      </c>
      <c r="D455" s="7" t="s">
        <v>60</v>
      </c>
      <c r="E455">
        <v>178</v>
      </c>
      <c r="F455" s="7">
        <v>0.57999999999999996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7.8880930000000005</v>
      </c>
      <c r="P455">
        <f t="shared" si="18"/>
        <v>7.8880930000000005</v>
      </c>
      <c r="S455">
        <f t="shared" si="17"/>
        <v>0.26420771899999995</v>
      </c>
    </row>
    <row r="456" spans="1:19">
      <c r="A456" s="8">
        <v>42818</v>
      </c>
      <c r="B456" s="7" t="s">
        <v>21</v>
      </c>
      <c r="C456">
        <v>14</v>
      </c>
      <c r="D456" s="7" t="s">
        <v>60</v>
      </c>
      <c r="E456">
        <v>155</v>
      </c>
      <c r="F456" s="7">
        <v>1.19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6.2756780000000001</v>
      </c>
      <c r="P456">
        <f t="shared" si="18"/>
        <v>6.2756780000000001</v>
      </c>
      <c r="S456">
        <f t="shared" si="17"/>
        <v>1.11220139975</v>
      </c>
    </row>
    <row r="457" spans="1:19">
      <c r="A457" s="8">
        <v>42818</v>
      </c>
      <c r="B457" s="7" t="s">
        <v>21</v>
      </c>
      <c r="C457">
        <v>14</v>
      </c>
      <c r="D457" s="7" t="s">
        <v>60</v>
      </c>
      <c r="E457">
        <v>136</v>
      </c>
      <c r="F457" s="7">
        <v>1.6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4.9436830000000009</v>
      </c>
      <c r="P457">
        <f t="shared" si="18"/>
        <v>4.9436830000000009</v>
      </c>
      <c r="S457">
        <f t="shared" si="17"/>
        <v>2.0106176000000002</v>
      </c>
    </row>
    <row r="458" spans="1:19">
      <c r="A458" s="8">
        <v>42818</v>
      </c>
      <c r="B458" s="7" t="s">
        <v>21</v>
      </c>
      <c r="C458">
        <v>14</v>
      </c>
      <c r="D458" s="7" t="s">
        <v>60</v>
      </c>
      <c r="E458">
        <v>75</v>
      </c>
      <c r="F458" s="7">
        <v>0.69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0.66727800000000048</v>
      </c>
      <c r="P458">
        <f t="shared" si="18"/>
        <v>0.66727800000000048</v>
      </c>
      <c r="S458">
        <f t="shared" si="17"/>
        <v>0.37392774974999993</v>
      </c>
    </row>
    <row r="459" spans="1:19">
      <c r="A459" s="8">
        <v>42818</v>
      </c>
      <c r="B459" s="7" t="s">
        <v>21</v>
      </c>
      <c r="C459">
        <v>14</v>
      </c>
      <c r="D459" s="7" t="s">
        <v>60</v>
      </c>
      <c r="E459">
        <v>126</v>
      </c>
      <c r="F459" s="7">
        <v>1.1299999999999999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4.2426330000000005</v>
      </c>
      <c r="P459">
        <f t="shared" si="18"/>
        <v>4.2426330000000005</v>
      </c>
      <c r="S459">
        <f t="shared" si="17"/>
        <v>1.0028740677499997</v>
      </c>
    </row>
    <row r="460" spans="1:19">
      <c r="A460" s="8">
        <v>42818</v>
      </c>
      <c r="B460" s="7" t="s">
        <v>21</v>
      </c>
      <c r="C460">
        <v>14</v>
      </c>
      <c r="D460" s="7" t="s">
        <v>60</v>
      </c>
      <c r="E460">
        <v>63</v>
      </c>
      <c r="F460" s="7">
        <v>0.53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-0.17398199999999964</v>
      </c>
      <c r="P460" t="str">
        <f t="shared" si="18"/>
        <v xml:space="preserve"> </v>
      </c>
      <c r="S460">
        <f t="shared" si="17"/>
        <v>0.22061815775000002</v>
      </c>
    </row>
    <row r="461" spans="1:19">
      <c r="A461" s="8">
        <v>42818</v>
      </c>
      <c r="B461" s="7" t="s">
        <v>21</v>
      </c>
      <c r="C461">
        <v>14</v>
      </c>
      <c r="D461" s="7" t="s">
        <v>60</v>
      </c>
      <c r="E461">
        <v>134</v>
      </c>
      <c r="F461" s="7">
        <v>1.6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4.8034729999999994</v>
      </c>
      <c r="P461">
        <f t="shared" si="18"/>
        <v>4.8034729999999994</v>
      </c>
      <c r="S461">
        <f t="shared" si="17"/>
        <v>2.0106176000000002</v>
      </c>
    </row>
    <row r="462" spans="1:19">
      <c r="A462" s="8">
        <v>42818</v>
      </c>
      <c r="B462" s="7" t="s">
        <v>21</v>
      </c>
      <c r="C462">
        <v>14</v>
      </c>
      <c r="D462" s="7" t="s">
        <v>60</v>
      </c>
      <c r="E462">
        <v>37</v>
      </c>
      <c r="F462" s="7">
        <v>0.82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-1.9967119999999996</v>
      </c>
      <c r="P462" t="str">
        <f t="shared" si="18"/>
        <v xml:space="preserve"> </v>
      </c>
      <c r="S462">
        <f t="shared" si="17"/>
        <v>0.52810127899999992</v>
      </c>
    </row>
    <row r="463" spans="1:19">
      <c r="A463" s="8">
        <v>42818</v>
      </c>
      <c r="B463" s="7" t="s">
        <v>21</v>
      </c>
      <c r="C463">
        <v>14</v>
      </c>
      <c r="D463" s="7" t="s">
        <v>60</v>
      </c>
      <c r="E463">
        <v>125</v>
      </c>
      <c r="F463" s="7">
        <v>1.32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4.1725280000000007</v>
      </c>
      <c r="P463">
        <f t="shared" si="18"/>
        <v>4.1725280000000007</v>
      </c>
      <c r="S463">
        <f t="shared" si="17"/>
        <v>1.368476604</v>
      </c>
    </row>
    <row r="464" spans="1:19">
      <c r="A464" s="8">
        <v>42818</v>
      </c>
      <c r="B464" s="7" t="s">
        <v>21</v>
      </c>
      <c r="C464">
        <v>14</v>
      </c>
      <c r="D464" s="7" t="s">
        <v>60</v>
      </c>
      <c r="E464">
        <v>67</v>
      </c>
      <c r="F464" s="7">
        <v>0.51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0.10643799999999981</v>
      </c>
      <c r="P464">
        <f t="shared" si="18"/>
        <v>0.10643799999999981</v>
      </c>
      <c r="S464">
        <f t="shared" si="17"/>
        <v>0.20428188975</v>
      </c>
    </row>
    <row r="465" spans="1:19">
      <c r="A465" s="8">
        <v>42818</v>
      </c>
      <c r="B465" s="7" t="s">
        <v>21</v>
      </c>
      <c r="C465">
        <v>14</v>
      </c>
      <c r="D465" s="7" t="s">
        <v>60</v>
      </c>
      <c r="E465">
        <v>55</v>
      </c>
      <c r="F465" s="7">
        <v>1.23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-0.73482199999999986</v>
      </c>
      <c r="P465" t="str">
        <f t="shared" si="18"/>
        <v xml:space="preserve"> </v>
      </c>
      <c r="S465">
        <f t="shared" si="17"/>
        <v>1.1882278777499999</v>
      </c>
    </row>
    <row r="466" spans="1:19">
      <c r="A466" s="8">
        <v>42818</v>
      </c>
      <c r="B466" s="7" t="s">
        <v>21</v>
      </c>
      <c r="C466">
        <v>14</v>
      </c>
      <c r="D466" s="7" t="s">
        <v>60</v>
      </c>
      <c r="E466">
        <v>72</v>
      </c>
      <c r="F466" s="7">
        <v>0.81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0.45696300000000001</v>
      </c>
      <c r="P466">
        <f t="shared" si="18"/>
        <v>0.45696300000000001</v>
      </c>
      <c r="S466">
        <f t="shared" si="17"/>
        <v>0.51529929975000011</v>
      </c>
    </row>
    <row r="467" spans="1:19">
      <c r="A467" s="8">
        <v>42818</v>
      </c>
      <c r="B467" s="7" t="s">
        <v>21</v>
      </c>
      <c r="C467">
        <v>14</v>
      </c>
      <c r="D467" s="7" t="s">
        <v>60</v>
      </c>
      <c r="E467">
        <v>169</v>
      </c>
      <c r="F467" s="7">
        <v>1.22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7.2571479999999999</v>
      </c>
      <c r="P467">
        <f t="shared" si="18"/>
        <v>7.2571479999999999</v>
      </c>
      <c r="S467">
        <f t="shared" si="17"/>
        <v>1.168985639</v>
      </c>
    </row>
    <row r="468" spans="1:19">
      <c r="A468" s="8">
        <v>42818</v>
      </c>
      <c r="B468" s="7" t="s">
        <v>21</v>
      </c>
      <c r="C468">
        <v>14</v>
      </c>
      <c r="D468" s="7" t="s">
        <v>60</v>
      </c>
      <c r="E468">
        <v>93</v>
      </c>
      <c r="F468" s="7">
        <v>0.95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1.9291680000000007</v>
      </c>
      <c r="P468">
        <f t="shared" si="18"/>
        <v>1.9291680000000007</v>
      </c>
      <c r="S468">
        <f t="shared" ref="S468:S531" si="19">3.14159*((F468/2)^2)</f>
        <v>0.70882124375</v>
      </c>
    </row>
    <row r="469" spans="1:19">
      <c r="A469" s="8">
        <v>42818</v>
      </c>
      <c r="B469" s="7" t="s">
        <v>21</v>
      </c>
      <c r="C469">
        <v>14</v>
      </c>
      <c r="D469" s="7" t="s">
        <v>60</v>
      </c>
      <c r="E469">
        <v>104</v>
      </c>
      <c r="F469" s="7">
        <v>1.3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2.700323</v>
      </c>
      <c r="P469">
        <f t="shared" si="18"/>
        <v>2.700323</v>
      </c>
      <c r="S469">
        <f t="shared" si="19"/>
        <v>1.3273217750000001</v>
      </c>
    </row>
    <row r="470" spans="1:19">
      <c r="A470" s="8">
        <v>42818</v>
      </c>
      <c r="B470" s="7" t="s">
        <v>21</v>
      </c>
      <c r="C470">
        <v>14</v>
      </c>
      <c r="D470" s="7" t="s">
        <v>60</v>
      </c>
      <c r="E470">
        <v>31</v>
      </c>
      <c r="F470" s="7">
        <v>0.64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-2.4173419999999997</v>
      </c>
      <c r="P470" t="str">
        <f t="shared" si="18"/>
        <v xml:space="preserve"> </v>
      </c>
      <c r="S470">
        <f t="shared" si="19"/>
        <v>0.321698816</v>
      </c>
    </row>
    <row r="471" spans="1:19">
      <c r="A471" s="8">
        <v>42818</v>
      </c>
      <c r="B471" s="7" t="s">
        <v>21</v>
      </c>
      <c r="C471">
        <v>14</v>
      </c>
      <c r="D471" s="7" t="s">
        <v>60</v>
      </c>
      <c r="E471">
        <v>16</v>
      </c>
      <c r="F471" s="7">
        <v>0.5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-3.4689169999999998</v>
      </c>
      <c r="P471" t="str">
        <f t="shared" si="18"/>
        <v xml:space="preserve"> </v>
      </c>
      <c r="S471">
        <f t="shared" si="19"/>
        <v>0.19634937499999999</v>
      </c>
    </row>
    <row r="472" spans="1:19">
      <c r="A472" s="8">
        <v>42818</v>
      </c>
      <c r="B472" s="7" t="s">
        <v>21</v>
      </c>
      <c r="C472">
        <v>14</v>
      </c>
      <c r="D472" s="7" t="s">
        <v>60</v>
      </c>
      <c r="E472">
        <v>101</v>
      </c>
      <c r="F472" s="7">
        <v>1.0900000000000001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2.4900080000000004</v>
      </c>
      <c r="P472">
        <f t="shared" si="18"/>
        <v>2.4900080000000004</v>
      </c>
      <c r="S472">
        <f t="shared" si="19"/>
        <v>0.93313076975000009</v>
      </c>
    </row>
    <row r="473" spans="1:19">
      <c r="A473" s="8">
        <v>42818</v>
      </c>
      <c r="B473" s="7" t="s">
        <v>21</v>
      </c>
      <c r="C473">
        <v>14</v>
      </c>
      <c r="D473" s="7" t="s">
        <v>60</v>
      </c>
      <c r="E473">
        <v>34</v>
      </c>
      <c r="F473" s="7">
        <v>0.88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-2.2070269999999996</v>
      </c>
      <c r="P473" t="str">
        <f t="shared" si="18"/>
        <v xml:space="preserve"> </v>
      </c>
      <c r="S473">
        <f t="shared" si="19"/>
        <v>0.60821182399999996</v>
      </c>
    </row>
    <row r="474" spans="1:19">
      <c r="A474" s="8">
        <v>42818</v>
      </c>
      <c r="B474" s="7" t="s">
        <v>21</v>
      </c>
      <c r="C474">
        <v>14</v>
      </c>
      <c r="D474" s="7" t="s">
        <v>60</v>
      </c>
      <c r="E474">
        <v>31</v>
      </c>
      <c r="F474" s="7">
        <v>0.7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-2.4173419999999997</v>
      </c>
      <c r="P474" t="str">
        <f t="shared" si="18"/>
        <v xml:space="preserve"> </v>
      </c>
      <c r="S474">
        <f t="shared" si="19"/>
        <v>0.38484477499999992</v>
      </c>
    </row>
    <row r="475" spans="1:19">
      <c r="A475" s="8">
        <v>42818</v>
      </c>
      <c r="B475" s="7" t="s">
        <v>21</v>
      </c>
      <c r="C475">
        <v>14</v>
      </c>
      <c r="D475" s="7" t="s">
        <v>60</v>
      </c>
      <c r="E475">
        <v>74</v>
      </c>
      <c r="F475" s="7">
        <v>0.49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0.59717300000000062</v>
      </c>
      <c r="P475">
        <f t="shared" si="18"/>
        <v>0.59717300000000062</v>
      </c>
      <c r="S475">
        <f t="shared" si="19"/>
        <v>0.18857393974999997</v>
      </c>
    </row>
    <row r="476" spans="1:19">
      <c r="A476" s="8">
        <v>42818</v>
      </c>
      <c r="B476" s="7" t="s">
        <v>21</v>
      </c>
      <c r="C476">
        <v>14</v>
      </c>
      <c r="D476" s="7" t="s">
        <v>60</v>
      </c>
      <c r="E476">
        <v>51</v>
      </c>
      <c r="F476" s="7">
        <v>0.99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-1.0152419999999998</v>
      </c>
      <c r="P476" t="str">
        <f t="shared" si="18"/>
        <v xml:space="preserve"> </v>
      </c>
      <c r="S476">
        <f t="shared" si="19"/>
        <v>0.76976808975</v>
      </c>
    </row>
    <row r="477" spans="1:19">
      <c r="A477" s="8">
        <v>42818</v>
      </c>
      <c r="B477" s="7" t="s">
        <v>21</v>
      </c>
      <c r="C477">
        <v>14</v>
      </c>
      <c r="D477" s="7" t="s">
        <v>60</v>
      </c>
      <c r="E477">
        <v>130</v>
      </c>
      <c r="F477" s="7">
        <v>1.48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4.523053</v>
      </c>
      <c r="P477">
        <f t="shared" si="18"/>
        <v>4.523053</v>
      </c>
      <c r="S477">
        <f t="shared" si="19"/>
        <v>1.7203346839999998</v>
      </c>
    </row>
    <row r="478" spans="1:19">
      <c r="A478" s="8">
        <v>42818</v>
      </c>
      <c r="B478" s="7" t="s">
        <v>21</v>
      </c>
      <c r="C478">
        <v>14</v>
      </c>
      <c r="D478" s="7" t="s">
        <v>60</v>
      </c>
      <c r="E478">
        <v>160</v>
      </c>
      <c r="F478" s="7">
        <v>1.73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6.6262029999999994</v>
      </c>
      <c r="P478">
        <f t="shared" si="18"/>
        <v>6.6262029999999994</v>
      </c>
      <c r="S478">
        <f t="shared" si="19"/>
        <v>2.3506161777500001</v>
      </c>
    </row>
    <row r="479" spans="1:19">
      <c r="A479" s="8">
        <v>42818</v>
      </c>
      <c r="B479" s="7" t="s">
        <v>21</v>
      </c>
      <c r="C479">
        <v>14</v>
      </c>
      <c r="D479" s="7" t="s">
        <v>60</v>
      </c>
      <c r="E479">
        <v>162</v>
      </c>
      <c r="F479" s="7">
        <v>1.61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6.7664130000000009</v>
      </c>
      <c r="P479">
        <f t="shared" si="18"/>
        <v>6.7664130000000009</v>
      </c>
      <c r="S479">
        <f t="shared" si="19"/>
        <v>2.0358288597500001</v>
      </c>
    </row>
    <row r="480" spans="1:19">
      <c r="A480" s="8">
        <v>42818</v>
      </c>
      <c r="B480" s="7" t="s">
        <v>21</v>
      </c>
      <c r="C480">
        <v>14</v>
      </c>
      <c r="D480" s="7" t="s">
        <v>60</v>
      </c>
      <c r="E480">
        <v>36</v>
      </c>
      <c r="F480" s="7">
        <v>0.83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-2.0668169999999999</v>
      </c>
      <c r="P480" t="str">
        <f t="shared" si="18"/>
        <v xml:space="preserve"> </v>
      </c>
      <c r="S480">
        <f t="shared" si="19"/>
        <v>0.54106033774999995</v>
      </c>
    </row>
    <row r="481" spans="1:19">
      <c r="A481" s="8">
        <v>42818</v>
      </c>
      <c r="B481" s="7" t="s">
        <v>21</v>
      </c>
      <c r="C481">
        <v>14</v>
      </c>
      <c r="D481" s="7" t="s">
        <v>60</v>
      </c>
      <c r="E481">
        <v>58</v>
      </c>
      <c r="F481" s="7">
        <v>0.92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-0.52450699999999983</v>
      </c>
      <c r="P481" t="str">
        <f t="shared" si="18"/>
        <v xml:space="preserve"> </v>
      </c>
      <c r="S481">
        <f t="shared" si="19"/>
        <v>0.66476044400000001</v>
      </c>
    </row>
    <row r="482" spans="1:19">
      <c r="A482" s="8">
        <v>42818</v>
      </c>
      <c r="B482" s="7" t="s">
        <v>21</v>
      </c>
      <c r="C482">
        <v>14</v>
      </c>
      <c r="D482" s="7" t="s">
        <v>60</v>
      </c>
      <c r="E482">
        <v>33</v>
      </c>
      <c r="F482" s="7">
        <v>0.82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-2.2771319999999999</v>
      </c>
      <c r="P482" t="str">
        <f t="shared" si="18"/>
        <v xml:space="preserve"> </v>
      </c>
      <c r="S482">
        <f t="shared" si="19"/>
        <v>0.52810127899999992</v>
      </c>
    </row>
    <row r="483" spans="1:19">
      <c r="A483" s="8">
        <v>42818</v>
      </c>
      <c r="B483" s="7" t="s">
        <v>21</v>
      </c>
      <c r="C483">
        <v>14</v>
      </c>
      <c r="D483" s="7" t="s">
        <v>60</v>
      </c>
      <c r="E483">
        <v>122</v>
      </c>
      <c r="F483" s="7">
        <v>1.47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3.9622130000000011</v>
      </c>
      <c r="P483">
        <f t="shared" si="18"/>
        <v>3.9622130000000011</v>
      </c>
      <c r="S483">
        <f t="shared" si="19"/>
        <v>1.6971654577499997</v>
      </c>
    </row>
    <row r="484" spans="1:19">
      <c r="A484" s="8">
        <v>42818</v>
      </c>
      <c r="B484" s="7" t="s">
        <v>21</v>
      </c>
      <c r="C484">
        <v>14</v>
      </c>
      <c r="D484" s="7" t="s">
        <v>60</v>
      </c>
      <c r="E484">
        <v>45</v>
      </c>
      <c r="F484" s="7">
        <v>1.02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-1.4358719999999998</v>
      </c>
      <c r="P484" t="str">
        <f t="shared" si="18"/>
        <v xml:space="preserve"> </v>
      </c>
      <c r="S484">
        <f t="shared" si="19"/>
        <v>0.817127559</v>
      </c>
    </row>
    <row r="485" spans="1:19">
      <c r="A485" s="8">
        <v>42818</v>
      </c>
      <c r="B485" s="7" t="s">
        <v>21</v>
      </c>
      <c r="C485">
        <v>14</v>
      </c>
      <c r="D485" s="7" t="s">
        <v>60</v>
      </c>
      <c r="E485">
        <v>99</v>
      </c>
      <c r="F485" s="7">
        <v>1.04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2.3497979999999998</v>
      </c>
      <c r="P485">
        <f t="shared" si="18"/>
        <v>2.3497979999999998</v>
      </c>
      <c r="S485">
        <f t="shared" si="19"/>
        <v>0.84948593600000011</v>
      </c>
    </row>
    <row r="486" spans="1:19">
      <c r="A486" s="8">
        <v>42818</v>
      </c>
      <c r="B486" s="7" t="s">
        <v>21</v>
      </c>
      <c r="C486">
        <v>14</v>
      </c>
      <c r="D486" s="7" t="s">
        <v>60</v>
      </c>
      <c r="E486">
        <v>36</v>
      </c>
      <c r="F486" s="7">
        <v>0.65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-2.0668169999999999</v>
      </c>
      <c r="P486" t="str">
        <f t="shared" si="18"/>
        <v xml:space="preserve"> </v>
      </c>
      <c r="S486">
        <f t="shared" si="19"/>
        <v>0.33183044375000004</v>
      </c>
    </row>
    <row r="487" spans="1:19">
      <c r="A487" s="8">
        <v>42818</v>
      </c>
      <c r="B487" s="7" t="s">
        <v>21</v>
      </c>
      <c r="C487">
        <v>14</v>
      </c>
      <c r="D487" s="7" t="s">
        <v>60</v>
      </c>
      <c r="E487">
        <v>133</v>
      </c>
      <c r="F487" s="7">
        <v>1.34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4.7333679999999996</v>
      </c>
      <c r="P487">
        <f t="shared" si="18"/>
        <v>4.7333679999999996</v>
      </c>
      <c r="S487">
        <f t="shared" si="19"/>
        <v>1.4102597510000001</v>
      </c>
    </row>
    <row r="488" spans="1:19">
      <c r="A488" s="8">
        <v>42818</v>
      </c>
      <c r="B488" s="7" t="s">
        <v>21</v>
      </c>
      <c r="C488">
        <v>14</v>
      </c>
      <c r="D488" s="7" t="s">
        <v>60</v>
      </c>
      <c r="E488">
        <v>44</v>
      </c>
      <c r="F488" s="7">
        <v>0.83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-1.5059769999999997</v>
      </c>
      <c r="P488" t="str">
        <f t="shared" si="18"/>
        <v xml:space="preserve"> </v>
      </c>
      <c r="S488">
        <f t="shared" si="19"/>
        <v>0.54106033774999995</v>
      </c>
    </row>
    <row r="489" spans="1:19">
      <c r="A489" s="8">
        <v>42818</v>
      </c>
      <c r="B489" s="7" t="s">
        <v>21</v>
      </c>
      <c r="C489">
        <v>14</v>
      </c>
      <c r="D489" s="7" t="s">
        <v>60</v>
      </c>
      <c r="E489">
        <v>106</v>
      </c>
      <c r="F489" s="7">
        <v>0.82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2.8405330000000006</v>
      </c>
      <c r="P489">
        <f t="shared" si="18"/>
        <v>2.8405330000000006</v>
      </c>
      <c r="S489">
        <f t="shared" si="19"/>
        <v>0.52810127899999992</v>
      </c>
    </row>
    <row r="490" spans="1:19">
      <c r="A490" s="8">
        <v>42818</v>
      </c>
      <c r="B490" s="7" t="s">
        <v>21</v>
      </c>
      <c r="C490">
        <v>14</v>
      </c>
      <c r="D490" s="7" t="s">
        <v>60</v>
      </c>
      <c r="E490">
        <v>118</v>
      </c>
      <c r="F490" s="7">
        <v>1.22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3.6817929999999999</v>
      </c>
      <c r="P490">
        <f t="shared" si="18"/>
        <v>3.6817929999999999</v>
      </c>
      <c r="S490">
        <f t="shared" si="19"/>
        <v>1.168985639</v>
      </c>
    </row>
    <row r="491" spans="1:19">
      <c r="A491" s="8">
        <v>42818</v>
      </c>
      <c r="B491" s="7" t="s">
        <v>21</v>
      </c>
      <c r="C491">
        <v>14</v>
      </c>
      <c r="D491" s="7" t="s">
        <v>60</v>
      </c>
      <c r="E491">
        <v>128</v>
      </c>
      <c r="F491" s="7">
        <v>0.99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4.3828430000000003</v>
      </c>
      <c r="P491">
        <f t="shared" si="18"/>
        <v>4.3828430000000003</v>
      </c>
      <c r="S491">
        <f t="shared" si="19"/>
        <v>0.76976808975</v>
      </c>
    </row>
    <row r="492" spans="1:19">
      <c r="A492" s="8">
        <v>42818</v>
      </c>
      <c r="B492" s="7" t="s">
        <v>21</v>
      </c>
      <c r="C492">
        <v>14</v>
      </c>
      <c r="D492" s="7" t="s">
        <v>60</v>
      </c>
      <c r="E492">
        <v>69</v>
      </c>
      <c r="F492" s="7">
        <v>0.51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0.24664800000000042</v>
      </c>
      <c r="P492">
        <f t="shared" si="18"/>
        <v>0.24664800000000042</v>
      </c>
      <c r="S492">
        <f t="shared" si="19"/>
        <v>0.20428188975</v>
      </c>
    </row>
    <row r="493" spans="1:19">
      <c r="A493" s="8">
        <v>42818</v>
      </c>
      <c r="B493" s="7" t="s">
        <v>21</v>
      </c>
      <c r="C493">
        <v>14</v>
      </c>
      <c r="D493" s="7" t="s">
        <v>60</v>
      </c>
      <c r="E493">
        <v>170</v>
      </c>
      <c r="F493" s="7">
        <v>1.58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7.3272529999999998</v>
      </c>
      <c r="P493">
        <f t="shared" si="18"/>
        <v>7.3272529999999998</v>
      </c>
      <c r="S493">
        <f t="shared" si="19"/>
        <v>1.9606663190000002</v>
      </c>
    </row>
    <row r="494" spans="1:19">
      <c r="A494" s="8">
        <v>42818</v>
      </c>
      <c r="B494" s="7" t="s">
        <v>21</v>
      </c>
      <c r="C494">
        <v>14</v>
      </c>
      <c r="D494" s="7" t="s">
        <v>60</v>
      </c>
      <c r="E494">
        <v>31</v>
      </c>
      <c r="F494" s="7">
        <v>0.89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-2.4173419999999997</v>
      </c>
      <c r="P494" t="str">
        <f t="shared" si="18"/>
        <v xml:space="preserve"> </v>
      </c>
      <c r="S494">
        <f t="shared" si="19"/>
        <v>0.62211335975000004</v>
      </c>
    </row>
    <row r="495" spans="1:19">
      <c r="A495" s="8">
        <v>42818</v>
      </c>
      <c r="B495" s="7" t="s">
        <v>21</v>
      </c>
      <c r="C495">
        <v>14</v>
      </c>
      <c r="D495" s="7" t="s">
        <v>60</v>
      </c>
      <c r="E495">
        <v>84</v>
      </c>
      <c r="F495" s="7">
        <v>0.71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1.2982230000000001</v>
      </c>
      <c r="P495">
        <f t="shared" si="18"/>
        <v>1.2982230000000001</v>
      </c>
      <c r="S495">
        <f t="shared" si="19"/>
        <v>0.39591887974999995</v>
      </c>
    </row>
    <row r="496" spans="1:19">
      <c r="A496" s="8">
        <v>42818</v>
      </c>
      <c r="B496" s="7" t="s">
        <v>21</v>
      </c>
      <c r="C496">
        <v>14</v>
      </c>
      <c r="D496" s="7" t="s">
        <v>60</v>
      </c>
      <c r="E496">
        <v>30</v>
      </c>
      <c r="F496" s="7">
        <v>0.65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-2.487447</v>
      </c>
      <c r="P496" t="str">
        <f t="shared" si="18"/>
        <v xml:space="preserve"> </v>
      </c>
      <c r="S496">
        <f t="shared" si="19"/>
        <v>0.33183044375000004</v>
      </c>
    </row>
    <row r="497" spans="1:19">
      <c r="A497" s="8">
        <v>42818</v>
      </c>
      <c r="B497" s="7" t="s">
        <v>21</v>
      </c>
      <c r="C497">
        <v>14</v>
      </c>
      <c r="D497" s="7" t="s">
        <v>60</v>
      </c>
      <c r="E497">
        <v>185</v>
      </c>
      <c r="F497" s="7">
        <v>1.56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8.3788279999999986</v>
      </c>
      <c r="P497">
        <f t="shared" si="18"/>
        <v>8.3788279999999986</v>
      </c>
      <c r="S497">
        <f t="shared" si="19"/>
        <v>1.9113433560000002</v>
      </c>
    </row>
    <row r="498" spans="1:19">
      <c r="A498" s="8">
        <v>42818</v>
      </c>
      <c r="B498" s="7" t="s">
        <v>21</v>
      </c>
      <c r="C498">
        <v>14</v>
      </c>
      <c r="D498" s="7" t="s">
        <v>60</v>
      </c>
      <c r="E498">
        <v>27</v>
      </c>
      <c r="F498" s="7">
        <v>0.79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-2.697762</v>
      </c>
      <c r="P498" t="str">
        <f t="shared" si="18"/>
        <v xml:space="preserve"> </v>
      </c>
      <c r="S498">
        <f t="shared" si="19"/>
        <v>0.49016657975000005</v>
      </c>
    </row>
    <row r="499" spans="1:19">
      <c r="A499" s="8">
        <v>42818</v>
      </c>
      <c r="B499" s="7" t="s">
        <v>21</v>
      </c>
      <c r="C499">
        <v>14</v>
      </c>
      <c r="D499" s="7" t="s">
        <v>60</v>
      </c>
      <c r="E499">
        <v>80</v>
      </c>
      <c r="F499" s="7">
        <v>0.7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1.0178029999999998</v>
      </c>
      <c r="P499">
        <f t="shared" si="18"/>
        <v>1.0178029999999998</v>
      </c>
      <c r="S499">
        <f t="shared" si="19"/>
        <v>0.38484477499999992</v>
      </c>
    </row>
    <row r="500" spans="1:19">
      <c r="A500" s="8">
        <v>42818</v>
      </c>
      <c r="B500" s="7" t="s">
        <v>21</v>
      </c>
      <c r="C500">
        <v>14</v>
      </c>
      <c r="D500" s="7" t="s">
        <v>60</v>
      </c>
      <c r="E500">
        <v>30</v>
      </c>
      <c r="F500" s="7">
        <v>0.64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-2.487447</v>
      </c>
      <c r="P500" t="str">
        <f t="shared" si="18"/>
        <v xml:space="preserve"> </v>
      </c>
      <c r="S500">
        <f t="shared" si="19"/>
        <v>0.321698816</v>
      </c>
    </row>
    <row r="501" spans="1:19">
      <c r="A501" s="8">
        <v>42818</v>
      </c>
      <c r="B501" s="7" t="s">
        <v>21</v>
      </c>
      <c r="C501">
        <v>14</v>
      </c>
      <c r="D501" s="7" t="s">
        <v>60</v>
      </c>
      <c r="E501">
        <v>144</v>
      </c>
      <c r="F501" s="7">
        <v>1.95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5.5045229999999998</v>
      </c>
      <c r="P501">
        <f t="shared" si="18"/>
        <v>5.5045229999999998</v>
      </c>
      <c r="S501">
        <f t="shared" si="19"/>
        <v>2.9864739937499998</v>
      </c>
    </row>
    <row r="502" spans="1:19">
      <c r="A502" s="8">
        <v>42818</v>
      </c>
      <c r="B502" s="7" t="s">
        <v>21</v>
      </c>
      <c r="C502">
        <v>14</v>
      </c>
      <c r="D502" s="7" t="s">
        <v>60</v>
      </c>
      <c r="E502">
        <v>55</v>
      </c>
      <c r="F502" s="7">
        <v>1.1399999999999999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-0.73482199999999986</v>
      </c>
      <c r="P502" t="str">
        <f t="shared" si="18"/>
        <v xml:space="preserve"> </v>
      </c>
      <c r="S502">
        <f t="shared" si="19"/>
        <v>1.0207025909999998</v>
      </c>
    </row>
    <row r="503" spans="1:19">
      <c r="A503" s="8">
        <v>42818</v>
      </c>
      <c r="B503" s="7" t="s">
        <v>21</v>
      </c>
      <c r="C503">
        <v>14</v>
      </c>
      <c r="D503" s="7" t="s">
        <v>60</v>
      </c>
      <c r="E503">
        <v>108</v>
      </c>
      <c r="F503" s="7">
        <v>1.02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2.9807430000000004</v>
      </c>
      <c r="P503">
        <f t="shared" si="18"/>
        <v>2.9807430000000004</v>
      </c>
      <c r="S503">
        <f t="shared" si="19"/>
        <v>0.817127559</v>
      </c>
    </row>
    <row r="504" spans="1:19">
      <c r="A504" s="8">
        <v>42818</v>
      </c>
      <c r="B504" s="7" t="s">
        <v>21</v>
      </c>
      <c r="C504">
        <v>14</v>
      </c>
      <c r="D504" s="7" t="s">
        <v>60</v>
      </c>
      <c r="E504">
        <v>194</v>
      </c>
      <c r="F504" s="7">
        <v>1.49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9.0097729999999991</v>
      </c>
      <c r="P504">
        <f t="shared" si="18"/>
        <v>9.0097729999999991</v>
      </c>
      <c r="S504">
        <f t="shared" si="19"/>
        <v>1.7436609897499999</v>
      </c>
    </row>
    <row r="505" spans="1:19">
      <c r="A505" s="8">
        <v>42818</v>
      </c>
      <c r="B505" s="7" t="s">
        <v>21</v>
      </c>
      <c r="C505">
        <v>14</v>
      </c>
      <c r="D505" s="7" t="s">
        <v>60</v>
      </c>
      <c r="E505">
        <v>145</v>
      </c>
      <c r="F505" s="7">
        <v>1.87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5.5746279999999997</v>
      </c>
      <c r="P505">
        <f t="shared" si="18"/>
        <v>5.5746279999999997</v>
      </c>
      <c r="S505">
        <f t="shared" si="19"/>
        <v>2.7464565177500004</v>
      </c>
    </row>
    <row r="506" spans="1:19">
      <c r="A506" s="8">
        <v>42818</v>
      </c>
      <c r="B506" s="7" t="s">
        <v>21</v>
      </c>
      <c r="C506">
        <v>14</v>
      </c>
      <c r="D506" s="7" t="s">
        <v>60</v>
      </c>
      <c r="E506">
        <v>123</v>
      </c>
      <c r="F506" s="7">
        <v>1.24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4.032318000000001</v>
      </c>
      <c r="P506">
        <f t="shared" si="18"/>
        <v>4.032318000000001</v>
      </c>
      <c r="S506">
        <f t="shared" si="19"/>
        <v>1.207627196</v>
      </c>
    </row>
    <row r="507" spans="1:19">
      <c r="A507" s="8">
        <v>42818</v>
      </c>
      <c r="B507" s="7" t="s">
        <v>21</v>
      </c>
      <c r="C507">
        <v>14</v>
      </c>
      <c r="D507" s="7" t="s">
        <v>60</v>
      </c>
      <c r="E507">
        <v>70</v>
      </c>
      <c r="F507" s="7">
        <v>0.85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0.31675300000000028</v>
      </c>
      <c r="P507">
        <f t="shared" si="18"/>
        <v>0.31675300000000028</v>
      </c>
      <c r="S507">
        <f t="shared" si="19"/>
        <v>0.56744969374999987</v>
      </c>
    </row>
    <row r="508" spans="1:19">
      <c r="A508" s="8">
        <v>42818</v>
      </c>
      <c r="B508" s="7" t="s">
        <v>21</v>
      </c>
      <c r="C508">
        <v>14</v>
      </c>
      <c r="D508" s="7" t="s">
        <v>60</v>
      </c>
      <c r="E508">
        <v>60</v>
      </c>
      <c r="F508" s="7">
        <v>0.74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-0.38429700000000011</v>
      </c>
      <c r="P508" t="str">
        <f t="shared" si="18"/>
        <v xml:space="preserve"> </v>
      </c>
      <c r="S508">
        <f t="shared" si="19"/>
        <v>0.43008367099999995</v>
      </c>
    </row>
    <row r="509" spans="1:19">
      <c r="A509" s="8">
        <v>42818</v>
      </c>
      <c r="B509" s="7" t="s">
        <v>21</v>
      </c>
      <c r="C509">
        <v>14</v>
      </c>
      <c r="D509" s="7" t="s">
        <v>60</v>
      </c>
      <c r="E509">
        <v>146</v>
      </c>
      <c r="F509" s="7">
        <v>0.97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5.6447329999999996</v>
      </c>
      <c r="P509">
        <f t="shared" ref="P509:P572" si="20">IF(O509&lt;0," ",O509)</f>
        <v>5.6447329999999996</v>
      </c>
      <c r="S509">
        <f t="shared" si="19"/>
        <v>0.7389805077499999</v>
      </c>
    </row>
    <row r="510" spans="1:19">
      <c r="A510" s="8">
        <v>42818</v>
      </c>
      <c r="B510" s="7" t="s">
        <v>21</v>
      </c>
      <c r="C510">
        <v>14</v>
      </c>
      <c r="D510" s="7" t="s">
        <v>60</v>
      </c>
      <c r="E510">
        <v>182</v>
      </c>
      <c r="F510" s="7">
        <v>1.25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8.1685130000000008</v>
      </c>
      <c r="P510">
        <f t="shared" si="20"/>
        <v>8.1685130000000008</v>
      </c>
      <c r="S510">
        <f t="shared" si="19"/>
        <v>1.22718359375</v>
      </c>
    </row>
    <row r="511" spans="1:19">
      <c r="A511" s="8">
        <v>42818</v>
      </c>
      <c r="B511" s="7" t="s">
        <v>21</v>
      </c>
      <c r="C511" s="7">
        <v>11</v>
      </c>
      <c r="D511" s="7" t="s">
        <v>60</v>
      </c>
      <c r="E511">
        <v>29</v>
      </c>
      <c r="F511" s="7">
        <v>1.32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-2.5575519999999998</v>
      </c>
      <c r="P511" t="str">
        <f t="shared" si="20"/>
        <v xml:space="preserve"> </v>
      </c>
      <c r="S511">
        <f t="shared" si="19"/>
        <v>1.368476604</v>
      </c>
    </row>
    <row r="512" spans="1:19">
      <c r="A512" s="8">
        <v>42818</v>
      </c>
      <c r="B512" s="7" t="s">
        <v>21</v>
      </c>
      <c r="C512" s="7">
        <v>11</v>
      </c>
      <c r="D512" s="7" t="s">
        <v>60</v>
      </c>
      <c r="E512">
        <v>21</v>
      </c>
      <c r="F512" s="7">
        <v>0.91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-3.1183920000000001</v>
      </c>
      <c r="P512" t="str">
        <f t="shared" si="20"/>
        <v xml:space="preserve"> </v>
      </c>
      <c r="S512">
        <f t="shared" si="19"/>
        <v>0.65038766975000006</v>
      </c>
    </row>
    <row r="513" spans="1:19">
      <c r="A513" s="8">
        <v>42818</v>
      </c>
      <c r="B513" s="7" t="s">
        <v>21</v>
      </c>
      <c r="C513" s="7">
        <v>11</v>
      </c>
      <c r="D513" s="7" t="s">
        <v>60</v>
      </c>
      <c r="E513">
        <v>114</v>
      </c>
      <c r="F513" s="7">
        <v>1.4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3.4013730000000004</v>
      </c>
      <c r="P513">
        <f t="shared" si="20"/>
        <v>3.4013730000000004</v>
      </c>
      <c r="S513">
        <f t="shared" si="19"/>
        <v>1.5393790999999997</v>
      </c>
    </row>
    <row r="514" spans="1:19">
      <c r="A514" s="8">
        <v>42818</v>
      </c>
      <c r="B514" s="7" t="s">
        <v>21</v>
      </c>
      <c r="C514" s="7">
        <v>11</v>
      </c>
      <c r="D514" s="7" t="s">
        <v>60</v>
      </c>
      <c r="E514">
        <v>131</v>
      </c>
      <c r="F514" s="7">
        <v>1.44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4.5931579999999999</v>
      </c>
      <c r="P514">
        <f t="shared" si="20"/>
        <v>4.5931579999999999</v>
      </c>
      <c r="S514">
        <f t="shared" si="19"/>
        <v>1.6286002559999999</v>
      </c>
    </row>
    <row r="515" spans="1:19">
      <c r="A515" s="8">
        <v>42818</v>
      </c>
      <c r="B515" s="7" t="s">
        <v>21</v>
      </c>
      <c r="C515" s="7">
        <v>11</v>
      </c>
      <c r="D515" s="7" t="s">
        <v>60</v>
      </c>
      <c r="E515">
        <v>61</v>
      </c>
      <c r="F515" s="7">
        <v>1.1299999999999999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-0.31419199999999936</v>
      </c>
      <c r="P515" t="str">
        <f t="shared" si="20"/>
        <v xml:space="preserve"> </v>
      </c>
      <c r="S515">
        <f t="shared" si="19"/>
        <v>1.0028740677499997</v>
      </c>
    </row>
    <row r="516" spans="1:19">
      <c r="A516" s="8">
        <v>42818</v>
      </c>
      <c r="B516" s="7" t="s">
        <v>21</v>
      </c>
      <c r="C516" s="7">
        <v>11</v>
      </c>
      <c r="D516" s="7" t="s">
        <v>60</v>
      </c>
      <c r="E516">
        <v>103</v>
      </c>
      <c r="F516" s="7">
        <v>0.98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2.6302180000000002</v>
      </c>
      <c r="P516">
        <f t="shared" si="20"/>
        <v>2.6302180000000002</v>
      </c>
      <c r="S516">
        <f t="shared" si="19"/>
        <v>0.7542957589999999</v>
      </c>
    </row>
    <row r="517" spans="1:19">
      <c r="A517" s="8">
        <v>42818</v>
      </c>
      <c r="B517" s="7" t="s">
        <v>21</v>
      </c>
      <c r="C517" s="7">
        <v>11</v>
      </c>
      <c r="D517" s="7" t="s">
        <v>60</v>
      </c>
      <c r="E517">
        <v>157</v>
      </c>
      <c r="F517" s="7">
        <v>0.83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6.4158879999999998</v>
      </c>
      <c r="P517">
        <f t="shared" si="20"/>
        <v>6.4158879999999998</v>
      </c>
      <c r="S517">
        <f t="shared" si="19"/>
        <v>0.54106033774999995</v>
      </c>
    </row>
    <row r="518" spans="1:19">
      <c r="A518" s="8">
        <v>42818</v>
      </c>
      <c r="B518" s="7" t="s">
        <v>21</v>
      </c>
      <c r="C518" s="7">
        <v>11</v>
      </c>
      <c r="D518" s="7" t="s">
        <v>60</v>
      </c>
      <c r="E518">
        <v>26</v>
      </c>
      <c r="F518" s="7">
        <v>0.77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-2.7678669999999999</v>
      </c>
      <c r="P518" t="str">
        <f t="shared" si="20"/>
        <v xml:space="preserve"> </v>
      </c>
      <c r="S518">
        <f t="shared" si="19"/>
        <v>0.46566217774999996</v>
      </c>
    </row>
    <row r="519" spans="1:19">
      <c r="A519" s="8">
        <v>42818</v>
      </c>
      <c r="B519" s="7" t="s">
        <v>21</v>
      </c>
      <c r="C519" s="7">
        <v>11</v>
      </c>
      <c r="D519" s="7" t="s">
        <v>60</v>
      </c>
      <c r="E519">
        <v>187</v>
      </c>
      <c r="F519" s="7">
        <v>1.2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8.5190380000000019</v>
      </c>
      <c r="P519">
        <f t="shared" si="20"/>
        <v>8.5190380000000019</v>
      </c>
      <c r="S519">
        <f t="shared" si="19"/>
        <v>1.1309723999999999</v>
      </c>
    </row>
    <row r="520" spans="1:19">
      <c r="A520" s="8">
        <v>42818</v>
      </c>
      <c r="B520" s="7" t="s">
        <v>21</v>
      </c>
      <c r="C520" s="7">
        <v>11</v>
      </c>
      <c r="D520" s="7" t="s">
        <v>60</v>
      </c>
      <c r="E520">
        <v>13</v>
      </c>
      <c r="F520" s="7">
        <v>0.57999999999999996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-3.6792319999999998</v>
      </c>
      <c r="P520" t="str">
        <f t="shared" si="20"/>
        <v xml:space="preserve"> </v>
      </c>
      <c r="S520">
        <f t="shared" si="19"/>
        <v>0.26420771899999995</v>
      </c>
    </row>
    <row r="521" spans="1:19">
      <c r="A521" s="8">
        <v>42818</v>
      </c>
      <c r="B521" s="7" t="s">
        <v>21</v>
      </c>
      <c r="C521" s="7">
        <v>11</v>
      </c>
      <c r="D521" s="7" t="s">
        <v>60</v>
      </c>
      <c r="E521">
        <v>23</v>
      </c>
      <c r="F521" s="7">
        <v>0.7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-2.9781819999999999</v>
      </c>
      <c r="P521" t="str">
        <f t="shared" si="20"/>
        <v xml:space="preserve"> </v>
      </c>
      <c r="S521">
        <f t="shared" si="19"/>
        <v>0.38484477499999992</v>
      </c>
    </row>
    <row r="522" spans="1:19">
      <c r="A522" s="8">
        <v>42818</v>
      </c>
      <c r="B522" s="7" t="s">
        <v>21</v>
      </c>
      <c r="C522" s="7">
        <v>11</v>
      </c>
      <c r="D522" s="7" t="s">
        <v>60</v>
      </c>
      <c r="E522">
        <v>32</v>
      </c>
      <c r="F522" s="7">
        <v>0.59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-2.3472369999999998</v>
      </c>
      <c r="P522" t="str">
        <f t="shared" si="20"/>
        <v xml:space="preserve"> </v>
      </c>
      <c r="S522">
        <f t="shared" si="19"/>
        <v>0.27339686974999994</v>
      </c>
    </row>
    <row r="523" spans="1:19">
      <c r="A523" s="8">
        <v>42818</v>
      </c>
      <c r="B523" s="7" t="s">
        <v>21</v>
      </c>
      <c r="C523" s="7">
        <v>11</v>
      </c>
      <c r="D523" s="7" t="s">
        <v>60</v>
      </c>
      <c r="E523">
        <v>50</v>
      </c>
      <c r="F523" s="7">
        <v>0.74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-1.0853469999999996</v>
      </c>
      <c r="P523" t="str">
        <f t="shared" si="20"/>
        <v xml:space="preserve"> </v>
      </c>
      <c r="S523">
        <f t="shared" si="19"/>
        <v>0.43008367099999995</v>
      </c>
    </row>
    <row r="524" spans="1:19">
      <c r="A524" s="8">
        <v>42818</v>
      </c>
      <c r="B524" s="7" t="s">
        <v>21</v>
      </c>
      <c r="C524" s="7">
        <v>11</v>
      </c>
      <c r="D524" s="7" t="s">
        <v>60</v>
      </c>
      <c r="E524">
        <v>212</v>
      </c>
      <c r="F524" s="7">
        <v>1.07</v>
      </c>
      <c r="G524">
        <v>4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5.1926432</v>
      </c>
      <c r="P524">
        <f t="shared" si="20"/>
        <v>5.1926432</v>
      </c>
      <c r="S524">
        <f t="shared" si="19"/>
        <v>0.89920159774999997</v>
      </c>
    </row>
    <row r="525" spans="1:19">
      <c r="A525" s="8">
        <v>42818</v>
      </c>
      <c r="B525" s="7" t="s">
        <v>21</v>
      </c>
      <c r="C525" s="7">
        <v>11</v>
      </c>
      <c r="D525" s="7" t="s">
        <v>60</v>
      </c>
      <c r="E525">
        <v>169</v>
      </c>
      <c r="F525" s="7">
        <v>0.96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7.2571479999999999</v>
      </c>
      <c r="P525">
        <f t="shared" si="20"/>
        <v>7.2571479999999999</v>
      </c>
      <c r="S525">
        <f t="shared" si="19"/>
        <v>0.7238223359999999</v>
      </c>
    </row>
    <row r="526" spans="1:19">
      <c r="A526" s="8">
        <v>42818</v>
      </c>
      <c r="B526" s="7" t="s">
        <v>21</v>
      </c>
      <c r="C526" s="7">
        <v>11</v>
      </c>
      <c r="D526" s="7" t="s">
        <v>60</v>
      </c>
      <c r="E526">
        <v>233</v>
      </c>
      <c r="F526" s="7">
        <v>1.1200000000000001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11.743868000000003</v>
      </c>
      <c r="P526">
        <f t="shared" si="20"/>
        <v>11.743868000000003</v>
      </c>
      <c r="S526">
        <f t="shared" si="19"/>
        <v>0.98520262400000014</v>
      </c>
    </row>
    <row r="527" spans="1:19">
      <c r="A527" s="8">
        <v>42818</v>
      </c>
      <c r="B527" s="7" t="s">
        <v>21</v>
      </c>
      <c r="C527" s="7">
        <v>11</v>
      </c>
      <c r="D527" s="7" t="s">
        <v>60</v>
      </c>
      <c r="E527">
        <v>58</v>
      </c>
      <c r="F527" s="7">
        <v>0.96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-0.52450699999999983</v>
      </c>
      <c r="P527" t="str">
        <f t="shared" si="20"/>
        <v xml:space="preserve"> </v>
      </c>
      <c r="S527">
        <f t="shared" si="19"/>
        <v>0.7238223359999999</v>
      </c>
    </row>
    <row r="528" spans="1:19">
      <c r="A528" s="8">
        <v>42818</v>
      </c>
      <c r="B528" s="7" t="s">
        <v>21</v>
      </c>
      <c r="C528" s="7">
        <v>11</v>
      </c>
      <c r="D528" s="7" t="s">
        <v>60</v>
      </c>
      <c r="E528">
        <v>257</v>
      </c>
      <c r="F528" s="7">
        <v>1.67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13.426388000000003</v>
      </c>
      <c r="P528">
        <f t="shared" si="20"/>
        <v>13.426388000000003</v>
      </c>
      <c r="S528">
        <f t="shared" si="19"/>
        <v>2.1903950877499998</v>
      </c>
    </row>
    <row r="529" spans="1:19">
      <c r="A529" s="8">
        <v>42818</v>
      </c>
      <c r="B529" s="7" t="s">
        <v>21</v>
      </c>
      <c r="C529" s="7">
        <v>11</v>
      </c>
      <c r="D529" s="7" t="s">
        <v>60</v>
      </c>
      <c r="E529">
        <v>183</v>
      </c>
      <c r="F529" s="7">
        <v>0.86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8.2386179999999989</v>
      </c>
      <c r="P529">
        <f t="shared" si="20"/>
        <v>8.2386179999999989</v>
      </c>
      <c r="S529">
        <f t="shared" si="19"/>
        <v>0.58087999099999987</v>
      </c>
    </row>
    <row r="530" spans="1:19">
      <c r="A530" s="8">
        <v>42818</v>
      </c>
      <c r="B530" s="7" t="s">
        <v>21</v>
      </c>
      <c r="C530" s="7">
        <v>11</v>
      </c>
      <c r="D530" s="7" t="s">
        <v>60</v>
      </c>
      <c r="E530">
        <v>31</v>
      </c>
      <c r="F530" s="7">
        <v>0.69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-2.4173419999999997</v>
      </c>
      <c r="P530" t="str">
        <f t="shared" si="20"/>
        <v xml:space="preserve"> </v>
      </c>
      <c r="S530">
        <f t="shared" si="19"/>
        <v>0.37392774974999993</v>
      </c>
    </row>
    <row r="531" spans="1:19">
      <c r="A531" s="8">
        <v>42818</v>
      </c>
      <c r="B531" s="7" t="s">
        <v>21</v>
      </c>
      <c r="C531" s="7">
        <v>11</v>
      </c>
      <c r="D531" s="7" t="s">
        <v>60</v>
      </c>
      <c r="E531">
        <v>236</v>
      </c>
      <c r="F531" s="7">
        <v>1.95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11.954183</v>
      </c>
      <c r="P531">
        <f t="shared" si="20"/>
        <v>11.954183</v>
      </c>
      <c r="S531">
        <f t="shared" si="19"/>
        <v>2.9864739937499998</v>
      </c>
    </row>
    <row r="532" spans="1:19">
      <c r="A532" s="8">
        <v>42818</v>
      </c>
      <c r="B532" s="7" t="s">
        <v>21</v>
      </c>
      <c r="C532" s="7">
        <v>11</v>
      </c>
      <c r="D532" s="7" t="s">
        <v>60</v>
      </c>
      <c r="E532">
        <v>251</v>
      </c>
      <c r="F532" s="7">
        <v>2.83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13.005758</v>
      </c>
      <c r="P532">
        <f t="shared" si="20"/>
        <v>13.005758</v>
      </c>
      <c r="S532">
        <f t="shared" ref="S532:S573" si="21">3.14159*((F532/2)^2)</f>
        <v>6.2901700377500003</v>
      </c>
    </row>
    <row r="533" spans="1:19">
      <c r="A533" s="8">
        <v>42818</v>
      </c>
      <c r="B533" s="7" t="s">
        <v>21</v>
      </c>
      <c r="C533" s="7">
        <v>11</v>
      </c>
      <c r="D533" s="7" t="s">
        <v>60</v>
      </c>
      <c r="E533">
        <v>222</v>
      </c>
      <c r="F533" s="7">
        <v>1.1000000000000001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10.972712999999999</v>
      </c>
      <c r="P533">
        <f t="shared" si="20"/>
        <v>10.972712999999999</v>
      </c>
      <c r="S533">
        <f t="shared" si="21"/>
        <v>0.95033097500000008</v>
      </c>
    </row>
    <row r="534" spans="1:19">
      <c r="A534" s="8">
        <v>42818</v>
      </c>
      <c r="B534" s="7" t="s">
        <v>21</v>
      </c>
      <c r="C534" s="7">
        <v>11</v>
      </c>
      <c r="D534" s="7" t="s">
        <v>60</v>
      </c>
      <c r="E534">
        <v>183</v>
      </c>
      <c r="F534" s="7">
        <v>1.61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8.2386179999999989</v>
      </c>
      <c r="P534">
        <f t="shared" si="20"/>
        <v>8.2386179999999989</v>
      </c>
      <c r="S534">
        <f t="shared" si="21"/>
        <v>2.0358288597500001</v>
      </c>
    </row>
    <row r="535" spans="1:19">
      <c r="A535" s="8">
        <v>42818</v>
      </c>
      <c r="B535" s="7" t="s">
        <v>21</v>
      </c>
      <c r="C535" s="7">
        <v>11</v>
      </c>
      <c r="D535" s="7" t="s">
        <v>60</v>
      </c>
      <c r="E535">
        <v>202</v>
      </c>
      <c r="F535" s="7">
        <v>1.23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9.5706130000000016</v>
      </c>
      <c r="P535">
        <f t="shared" si="20"/>
        <v>9.5706130000000016</v>
      </c>
      <c r="S535">
        <f t="shared" si="21"/>
        <v>1.1882278777499999</v>
      </c>
    </row>
    <row r="536" spans="1:19">
      <c r="A536" s="8">
        <v>42818</v>
      </c>
      <c r="B536" s="7" t="s">
        <v>21</v>
      </c>
      <c r="C536" s="7">
        <v>11</v>
      </c>
      <c r="D536" s="7" t="s">
        <v>60</v>
      </c>
      <c r="E536">
        <v>257</v>
      </c>
      <c r="F536" s="7">
        <v>1.77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13.426388000000003</v>
      </c>
      <c r="P536">
        <f t="shared" si="20"/>
        <v>13.426388000000003</v>
      </c>
      <c r="S536">
        <f t="shared" si="21"/>
        <v>2.4605718277499999</v>
      </c>
    </row>
    <row r="537" spans="1:19">
      <c r="A537" s="8">
        <v>42818</v>
      </c>
      <c r="B537" s="7" t="s">
        <v>21</v>
      </c>
      <c r="C537" s="7">
        <v>11</v>
      </c>
      <c r="D537" s="7" t="s">
        <v>60</v>
      </c>
      <c r="E537">
        <v>184</v>
      </c>
      <c r="F537" s="7">
        <v>1.3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8.3087230000000005</v>
      </c>
      <c r="P537">
        <f t="shared" si="20"/>
        <v>8.3087230000000005</v>
      </c>
      <c r="S537">
        <f t="shared" si="21"/>
        <v>1.3273217750000001</v>
      </c>
    </row>
    <row r="538" spans="1:19">
      <c r="A538" s="8">
        <v>42818</v>
      </c>
      <c r="B538" s="7" t="s">
        <v>21</v>
      </c>
      <c r="C538" s="7">
        <v>11</v>
      </c>
      <c r="D538" s="7" t="s">
        <v>60</v>
      </c>
      <c r="E538">
        <v>298</v>
      </c>
      <c r="F538" s="7">
        <v>1.18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16.300693000000003</v>
      </c>
      <c r="P538">
        <f t="shared" si="20"/>
        <v>16.300693000000003</v>
      </c>
      <c r="S538">
        <f t="shared" si="21"/>
        <v>1.0935874789999998</v>
      </c>
    </row>
    <row r="539" spans="1:19">
      <c r="A539" s="8">
        <v>42818</v>
      </c>
      <c r="B539" s="7" t="s">
        <v>21</v>
      </c>
      <c r="C539" s="7">
        <v>11</v>
      </c>
      <c r="D539" s="7" t="s">
        <v>60</v>
      </c>
      <c r="E539">
        <v>216</v>
      </c>
      <c r="F539" s="7">
        <v>1.43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10.552083</v>
      </c>
      <c r="P539">
        <f t="shared" si="20"/>
        <v>10.552083</v>
      </c>
      <c r="S539">
        <f t="shared" si="21"/>
        <v>1.6060593477499998</v>
      </c>
    </row>
    <row r="540" spans="1:19">
      <c r="A540" s="8">
        <v>42818</v>
      </c>
      <c r="B540" s="7" t="s">
        <v>21</v>
      </c>
      <c r="C540" s="7">
        <v>11</v>
      </c>
      <c r="D540" s="7" t="s">
        <v>60</v>
      </c>
      <c r="E540">
        <v>261</v>
      </c>
      <c r="F540" s="7">
        <v>1.2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13.706808000000002</v>
      </c>
      <c r="P540">
        <f t="shared" si="20"/>
        <v>13.706808000000002</v>
      </c>
      <c r="S540">
        <f t="shared" si="21"/>
        <v>1.1309723999999999</v>
      </c>
    </row>
    <row r="541" spans="1:19">
      <c r="A541" s="8">
        <v>42818</v>
      </c>
      <c r="B541" s="7" t="s">
        <v>21</v>
      </c>
      <c r="C541" s="7">
        <v>11</v>
      </c>
      <c r="D541" s="7" t="s">
        <v>60</v>
      </c>
      <c r="E541">
        <v>71</v>
      </c>
      <c r="F541" s="7">
        <v>0.66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0.38685800000000015</v>
      </c>
      <c r="P541">
        <f t="shared" si="20"/>
        <v>0.38685800000000015</v>
      </c>
      <c r="S541">
        <f t="shared" si="21"/>
        <v>0.34211915100000001</v>
      </c>
    </row>
    <row r="542" spans="1:19">
      <c r="A542" s="8">
        <v>42818</v>
      </c>
      <c r="B542" s="7" t="s">
        <v>21</v>
      </c>
      <c r="C542" s="7">
        <v>11</v>
      </c>
      <c r="D542" s="7" t="s">
        <v>60</v>
      </c>
      <c r="E542">
        <v>262</v>
      </c>
      <c r="F542" s="7">
        <v>1.61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13.776913</v>
      </c>
      <c r="P542">
        <f t="shared" si="20"/>
        <v>13.776913</v>
      </c>
      <c r="S542">
        <f t="shared" si="21"/>
        <v>2.0358288597500001</v>
      </c>
    </row>
    <row r="543" spans="1:19">
      <c r="A543" s="8">
        <v>42818</v>
      </c>
      <c r="B543" s="7" t="s">
        <v>21</v>
      </c>
      <c r="C543" s="7">
        <v>11</v>
      </c>
      <c r="D543" s="7" t="s">
        <v>60</v>
      </c>
      <c r="E543">
        <v>226</v>
      </c>
      <c r="F543" s="7">
        <v>1.33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11.253133000000002</v>
      </c>
      <c r="P543">
        <f t="shared" si="20"/>
        <v>11.253133000000002</v>
      </c>
      <c r="S543">
        <f t="shared" si="21"/>
        <v>1.3892896377500001</v>
      </c>
    </row>
    <row r="544" spans="1:19">
      <c r="A544" s="8">
        <v>42818</v>
      </c>
      <c r="B544" s="7" t="s">
        <v>21</v>
      </c>
      <c r="C544" s="7">
        <v>11</v>
      </c>
      <c r="D544" s="7" t="s">
        <v>60</v>
      </c>
      <c r="E544">
        <v>139</v>
      </c>
      <c r="F544" s="7">
        <v>1.01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5.1539980000000005</v>
      </c>
      <c r="P544">
        <f t="shared" si="20"/>
        <v>5.1539980000000005</v>
      </c>
      <c r="S544">
        <f t="shared" si="21"/>
        <v>0.80118398974999994</v>
      </c>
    </row>
    <row r="545" spans="1:19">
      <c r="A545" s="8">
        <v>42818</v>
      </c>
      <c r="B545" s="7" t="s">
        <v>21</v>
      </c>
      <c r="C545" s="7">
        <v>11</v>
      </c>
      <c r="D545" s="7" t="s">
        <v>60</v>
      </c>
      <c r="E545">
        <v>129</v>
      </c>
      <c r="F545" s="7">
        <v>1.37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4.4529480000000001</v>
      </c>
      <c r="P545">
        <f t="shared" si="20"/>
        <v>4.4529480000000001</v>
      </c>
      <c r="S545">
        <f t="shared" si="21"/>
        <v>1.4741125677500002</v>
      </c>
    </row>
    <row r="546" spans="1:19">
      <c r="A546" s="8">
        <v>42818</v>
      </c>
      <c r="B546" s="7" t="s">
        <v>21</v>
      </c>
      <c r="C546" s="7">
        <v>11</v>
      </c>
      <c r="D546" s="7" t="s">
        <v>60</v>
      </c>
      <c r="E546">
        <v>91</v>
      </c>
      <c r="F546" s="7">
        <v>1.23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1.788958</v>
      </c>
      <c r="P546">
        <f t="shared" si="20"/>
        <v>1.788958</v>
      </c>
      <c r="S546">
        <f t="shared" si="21"/>
        <v>1.1882278777499999</v>
      </c>
    </row>
    <row r="547" spans="1:19">
      <c r="A547" s="8">
        <v>42818</v>
      </c>
      <c r="B547" s="7" t="s">
        <v>21</v>
      </c>
      <c r="C547" s="7">
        <v>11</v>
      </c>
      <c r="D547" s="7" t="s">
        <v>60</v>
      </c>
      <c r="E547">
        <v>186</v>
      </c>
      <c r="F547" s="7">
        <v>1.0900000000000001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8.4489330000000002</v>
      </c>
      <c r="P547">
        <f t="shared" si="20"/>
        <v>8.4489330000000002</v>
      </c>
      <c r="S547">
        <f t="shared" si="21"/>
        <v>0.93313076975000009</v>
      </c>
    </row>
    <row r="548" spans="1:19">
      <c r="A548" s="8">
        <v>42818</v>
      </c>
      <c r="B548" s="7" t="s">
        <v>21</v>
      </c>
      <c r="C548" s="7">
        <v>11</v>
      </c>
      <c r="D548" s="7" t="s">
        <v>60</v>
      </c>
      <c r="E548">
        <v>185</v>
      </c>
      <c r="F548" s="7">
        <v>1.34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8.3788279999999986</v>
      </c>
      <c r="P548">
        <f t="shared" si="20"/>
        <v>8.3788279999999986</v>
      </c>
      <c r="S548">
        <f t="shared" si="21"/>
        <v>1.4102597510000001</v>
      </c>
    </row>
    <row r="549" spans="1:19">
      <c r="A549" s="8">
        <v>42818</v>
      </c>
      <c r="B549" s="7" t="s">
        <v>21</v>
      </c>
      <c r="C549" s="7">
        <v>11</v>
      </c>
      <c r="D549" s="7" t="s">
        <v>60</v>
      </c>
      <c r="E549">
        <v>203</v>
      </c>
      <c r="F549" s="7">
        <v>1.45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9.6407179999999997</v>
      </c>
      <c r="P549">
        <f t="shared" si="20"/>
        <v>9.6407179999999997</v>
      </c>
      <c r="S549">
        <f t="shared" si="21"/>
        <v>1.6512982437499999</v>
      </c>
    </row>
    <row r="550" spans="1:19">
      <c r="A550" s="8">
        <v>42818</v>
      </c>
      <c r="B550" s="7" t="s">
        <v>21</v>
      </c>
      <c r="C550" s="7">
        <v>11</v>
      </c>
      <c r="D550" s="7" t="s">
        <v>60</v>
      </c>
      <c r="E550">
        <v>260</v>
      </c>
      <c r="F550" s="7">
        <v>1.34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13.636703000000001</v>
      </c>
      <c r="P550">
        <f t="shared" si="20"/>
        <v>13.636703000000001</v>
      </c>
      <c r="S550">
        <f t="shared" si="21"/>
        <v>1.4102597510000001</v>
      </c>
    </row>
    <row r="551" spans="1:19">
      <c r="A551" s="8">
        <v>42818</v>
      </c>
      <c r="B551" s="7" t="s">
        <v>21</v>
      </c>
      <c r="C551" s="7">
        <v>11</v>
      </c>
      <c r="D551" s="7" t="s">
        <v>60</v>
      </c>
      <c r="E551">
        <v>186</v>
      </c>
      <c r="F551" s="7">
        <v>1.1000000000000001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8.4489330000000002</v>
      </c>
      <c r="P551">
        <f t="shared" si="20"/>
        <v>8.4489330000000002</v>
      </c>
      <c r="S551">
        <f t="shared" si="21"/>
        <v>0.95033097500000008</v>
      </c>
    </row>
    <row r="552" spans="1:19">
      <c r="A552" s="8">
        <v>42818</v>
      </c>
      <c r="B552" s="7" t="s">
        <v>21</v>
      </c>
      <c r="C552" s="7">
        <v>11</v>
      </c>
      <c r="D552" s="7" t="s">
        <v>60</v>
      </c>
      <c r="E552">
        <v>204</v>
      </c>
      <c r="F552" s="7">
        <v>0.93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9.7108230000000013</v>
      </c>
      <c r="P552">
        <f t="shared" si="20"/>
        <v>9.7108230000000013</v>
      </c>
      <c r="S552">
        <f t="shared" si="21"/>
        <v>0.67929029775000005</v>
      </c>
    </row>
    <row r="553" spans="1:19">
      <c r="A553" s="8">
        <v>42818</v>
      </c>
      <c r="B553" s="7" t="s">
        <v>21</v>
      </c>
      <c r="C553" s="7">
        <v>11</v>
      </c>
      <c r="D553" s="7" t="s">
        <v>60</v>
      </c>
      <c r="E553">
        <v>222</v>
      </c>
      <c r="F553" s="7">
        <v>1.75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10.972712999999999</v>
      </c>
      <c r="P553">
        <f t="shared" si="20"/>
        <v>10.972712999999999</v>
      </c>
      <c r="S553">
        <f t="shared" si="21"/>
        <v>2.4052798437499998</v>
      </c>
    </row>
    <row r="554" spans="1:19">
      <c r="A554" s="8">
        <v>42818</v>
      </c>
      <c r="B554" s="7" t="s">
        <v>21</v>
      </c>
      <c r="C554" s="7">
        <v>11</v>
      </c>
      <c r="D554" s="7" t="s">
        <v>60</v>
      </c>
      <c r="E554">
        <v>38</v>
      </c>
      <c r="F554" s="7">
        <v>0.76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-1.9266069999999997</v>
      </c>
      <c r="P554" t="str">
        <f t="shared" si="20"/>
        <v xml:space="preserve"> </v>
      </c>
      <c r="S554">
        <f t="shared" si="21"/>
        <v>0.45364559599999998</v>
      </c>
    </row>
    <row r="555" spans="1:19">
      <c r="A555" s="8">
        <v>42818</v>
      </c>
      <c r="B555" s="7" t="s">
        <v>21</v>
      </c>
      <c r="C555" s="7">
        <v>11</v>
      </c>
      <c r="D555" s="7" t="s">
        <v>60</v>
      </c>
      <c r="E555">
        <v>27</v>
      </c>
      <c r="F555" s="7">
        <v>0.55000000000000004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-2.697762</v>
      </c>
      <c r="P555" t="str">
        <f t="shared" si="20"/>
        <v xml:space="preserve"> </v>
      </c>
      <c r="S555">
        <f t="shared" si="21"/>
        <v>0.23758274375000002</v>
      </c>
    </row>
    <row r="556" spans="1:19">
      <c r="A556" s="8">
        <v>42818</v>
      </c>
      <c r="B556" s="7" t="s">
        <v>21</v>
      </c>
      <c r="C556" s="7">
        <v>11</v>
      </c>
      <c r="D556" s="7" t="s">
        <v>60</v>
      </c>
      <c r="E556">
        <v>37</v>
      </c>
      <c r="F556" s="7">
        <v>0.75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-1.9967119999999996</v>
      </c>
      <c r="P556" t="str">
        <f t="shared" si="20"/>
        <v xml:space="preserve"> </v>
      </c>
      <c r="S556">
        <f t="shared" si="21"/>
        <v>0.44178609375</v>
      </c>
    </row>
    <row r="557" spans="1:19">
      <c r="A557" s="8">
        <v>42818</v>
      </c>
      <c r="B557" s="7" t="s">
        <v>21</v>
      </c>
      <c r="C557" s="7">
        <v>11</v>
      </c>
      <c r="D557" s="7" t="s">
        <v>60</v>
      </c>
      <c r="E557">
        <v>24</v>
      </c>
      <c r="F557" s="7">
        <v>0.45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-2.9080769999999996</v>
      </c>
      <c r="P557" t="str">
        <f t="shared" si="20"/>
        <v xml:space="preserve"> </v>
      </c>
      <c r="S557">
        <f t="shared" si="21"/>
        <v>0.15904299375</v>
      </c>
    </row>
    <row r="558" spans="1:19">
      <c r="A558" s="8">
        <v>42818</v>
      </c>
      <c r="B558" s="7" t="s">
        <v>21</v>
      </c>
      <c r="C558" s="7">
        <v>11</v>
      </c>
      <c r="D558" s="7" t="s">
        <v>60</v>
      </c>
      <c r="E558">
        <v>25</v>
      </c>
      <c r="F558" s="7">
        <v>0.61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-2.8379719999999997</v>
      </c>
      <c r="P558" t="str">
        <f t="shared" si="20"/>
        <v xml:space="preserve"> </v>
      </c>
      <c r="S558">
        <f t="shared" si="21"/>
        <v>0.29224640974999999</v>
      </c>
    </row>
    <row r="559" spans="1:19">
      <c r="A559" s="8">
        <v>42818</v>
      </c>
      <c r="B559" s="7" t="s">
        <v>21</v>
      </c>
      <c r="C559" s="7">
        <v>11</v>
      </c>
      <c r="D559" s="7" t="s">
        <v>60</v>
      </c>
      <c r="E559">
        <v>273</v>
      </c>
      <c r="F559" s="7">
        <v>0.97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14.548068000000001</v>
      </c>
      <c r="P559">
        <f t="shared" si="20"/>
        <v>14.548068000000001</v>
      </c>
      <c r="S559">
        <f t="shared" si="21"/>
        <v>0.7389805077499999</v>
      </c>
    </row>
    <row r="560" spans="1:19">
      <c r="A560" s="8">
        <v>42818</v>
      </c>
      <c r="B560" s="7" t="s">
        <v>21</v>
      </c>
      <c r="C560" s="7">
        <v>11</v>
      </c>
      <c r="D560" s="7" t="s">
        <v>60</v>
      </c>
      <c r="E560">
        <v>228</v>
      </c>
      <c r="F560" s="7">
        <v>1.6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11.393343000000002</v>
      </c>
      <c r="P560">
        <f t="shared" si="20"/>
        <v>11.393343000000002</v>
      </c>
      <c r="S560">
        <f t="shared" si="21"/>
        <v>2.0106176000000002</v>
      </c>
    </row>
    <row r="561" spans="1:19">
      <c r="A561" s="8">
        <v>42818</v>
      </c>
      <c r="B561" s="7" t="s">
        <v>21</v>
      </c>
      <c r="C561" s="7">
        <v>11</v>
      </c>
      <c r="D561" s="7" t="s">
        <v>60</v>
      </c>
      <c r="E561">
        <v>161</v>
      </c>
      <c r="F561" s="7">
        <v>0.87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6.696308000000001</v>
      </c>
      <c r="P561">
        <f t="shared" si="20"/>
        <v>6.696308000000001</v>
      </c>
      <c r="S561">
        <f t="shared" si="21"/>
        <v>0.59446736774999998</v>
      </c>
    </row>
    <row r="562" spans="1:19">
      <c r="A562" s="8">
        <v>42818</v>
      </c>
      <c r="B562" s="7" t="s">
        <v>21</v>
      </c>
      <c r="C562" s="7">
        <v>11</v>
      </c>
      <c r="D562" s="7" t="s">
        <v>60</v>
      </c>
      <c r="E562">
        <v>117</v>
      </c>
      <c r="F562" s="7">
        <v>0.88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3.611688</v>
      </c>
      <c r="P562">
        <f t="shared" si="20"/>
        <v>3.611688</v>
      </c>
      <c r="S562">
        <f t="shared" si="21"/>
        <v>0.60821182399999996</v>
      </c>
    </row>
    <row r="563" spans="1:19">
      <c r="A563" s="8">
        <v>42818</v>
      </c>
      <c r="B563" s="7" t="s">
        <v>21</v>
      </c>
      <c r="C563" s="7">
        <v>11</v>
      </c>
      <c r="D563" s="7" t="s">
        <v>60</v>
      </c>
      <c r="E563">
        <v>190</v>
      </c>
      <c r="F563" s="7">
        <v>0.92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8.7293529999999997</v>
      </c>
      <c r="P563">
        <f t="shared" si="20"/>
        <v>8.7293529999999997</v>
      </c>
      <c r="S563">
        <f t="shared" si="21"/>
        <v>0.66476044400000001</v>
      </c>
    </row>
    <row r="564" spans="1:19">
      <c r="A564" s="8">
        <v>42818</v>
      </c>
      <c r="B564" s="7" t="s">
        <v>21</v>
      </c>
      <c r="C564" s="7">
        <v>11</v>
      </c>
      <c r="D564" s="7" t="s">
        <v>60</v>
      </c>
      <c r="E564">
        <v>285</v>
      </c>
      <c r="F564" s="7">
        <v>1.58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15.389328000000003</v>
      </c>
      <c r="P564">
        <f t="shared" si="20"/>
        <v>15.389328000000003</v>
      </c>
      <c r="S564">
        <f t="shared" si="21"/>
        <v>1.9606663190000002</v>
      </c>
    </row>
    <row r="565" spans="1:19">
      <c r="A565" s="8">
        <v>42818</v>
      </c>
      <c r="B565" s="7" t="s">
        <v>21</v>
      </c>
      <c r="C565" s="7">
        <v>11</v>
      </c>
      <c r="D565" s="7" t="s">
        <v>60</v>
      </c>
      <c r="E565">
        <v>255</v>
      </c>
      <c r="F565" s="7">
        <v>1.52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13.286178</v>
      </c>
      <c r="P565">
        <f t="shared" si="20"/>
        <v>13.286178</v>
      </c>
      <c r="S565">
        <f t="shared" si="21"/>
        <v>1.8145823839999999</v>
      </c>
    </row>
    <row r="566" spans="1:19">
      <c r="A566" s="8">
        <v>42818</v>
      </c>
      <c r="B566" s="7" t="s">
        <v>21</v>
      </c>
      <c r="C566" s="7">
        <v>11</v>
      </c>
      <c r="D566" s="7" t="s">
        <v>60</v>
      </c>
      <c r="E566">
        <v>191</v>
      </c>
      <c r="F566" s="7">
        <v>1.45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8.7994580000000013</v>
      </c>
      <c r="P566">
        <f t="shared" si="20"/>
        <v>8.7994580000000013</v>
      </c>
      <c r="S566">
        <f t="shared" si="21"/>
        <v>1.6512982437499999</v>
      </c>
    </row>
    <row r="567" spans="1:19">
      <c r="A567" s="8">
        <v>42818</v>
      </c>
      <c r="B567" s="7" t="s">
        <v>21</v>
      </c>
      <c r="C567" s="7">
        <v>11</v>
      </c>
      <c r="D567" s="7" t="s">
        <v>60</v>
      </c>
      <c r="E567">
        <v>287</v>
      </c>
      <c r="F567" s="7">
        <v>0.98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15.529538000000002</v>
      </c>
      <c r="P567">
        <f t="shared" si="20"/>
        <v>15.529538000000002</v>
      </c>
      <c r="S567">
        <f t="shared" si="21"/>
        <v>0.7542957589999999</v>
      </c>
    </row>
    <row r="568" spans="1:19">
      <c r="A568" s="8">
        <v>42818</v>
      </c>
      <c r="B568" s="7" t="s">
        <v>21</v>
      </c>
      <c r="C568" s="7">
        <v>11</v>
      </c>
      <c r="D568" s="7" t="s">
        <v>60</v>
      </c>
      <c r="E568">
        <v>227</v>
      </c>
      <c r="F568" s="7">
        <v>1.65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11.323238</v>
      </c>
      <c r="P568">
        <f t="shared" si="20"/>
        <v>11.323238</v>
      </c>
      <c r="S568">
        <f t="shared" si="21"/>
        <v>2.1382446937499995</v>
      </c>
    </row>
    <row r="569" spans="1:19">
      <c r="A569" s="8">
        <v>42818</v>
      </c>
      <c r="B569" s="7" t="s">
        <v>21</v>
      </c>
      <c r="C569" s="7">
        <v>11</v>
      </c>
      <c r="D569" s="7" t="s">
        <v>60</v>
      </c>
      <c r="E569">
        <v>39</v>
      </c>
      <c r="F569" s="7">
        <v>0.57999999999999996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-1.8565019999999999</v>
      </c>
      <c r="P569" t="str">
        <f t="shared" si="20"/>
        <v xml:space="preserve"> </v>
      </c>
      <c r="S569">
        <f t="shared" si="21"/>
        <v>0.26420771899999995</v>
      </c>
    </row>
    <row r="570" spans="1:19">
      <c r="A570" s="8">
        <v>42818</v>
      </c>
      <c r="B570" s="7" t="s">
        <v>21</v>
      </c>
      <c r="C570" s="7">
        <v>11</v>
      </c>
      <c r="D570" s="7" t="s">
        <v>60</v>
      </c>
      <c r="E570">
        <v>234</v>
      </c>
      <c r="F570" s="7">
        <v>1.0900000000000001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11.813973000000001</v>
      </c>
      <c r="P570">
        <f t="shared" si="20"/>
        <v>11.813973000000001</v>
      </c>
      <c r="S570">
        <f t="shared" si="21"/>
        <v>0.93313076975000009</v>
      </c>
    </row>
    <row r="571" spans="1:19">
      <c r="A571" s="8">
        <v>42818</v>
      </c>
      <c r="B571" s="7" t="s">
        <v>21</v>
      </c>
      <c r="C571" s="7">
        <v>11</v>
      </c>
      <c r="D571" s="7" t="s">
        <v>60</v>
      </c>
      <c r="E571">
        <v>204</v>
      </c>
      <c r="F571" s="7">
        <v>1.52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9.7108230000000013</v>
      </c>
      <c r="P571">
        <f t="shared" si="20"/>
        <v>9.7108230000000013</v>
      </c>
      <c r="S571">
        <f t="shared" si="21"/>
        <v>1.8145823839999999</v>
      </c>
    </row>
    <row r="572" spans="1:19">
      <c r="A572" s="8">
        <v>42818</v>
      </c>
      <c r="B572" s="7" t="s">
        <v>21</v>
      </c>
      <c r="C572" s="7">
        <v>11</v>
      </c>
      <c r="D572" s="7" t="s">
        <v>60</v>
      </c>
      <c r="E572">
        <v>229</v>
      </c>
      <c r="F572" s="7">
        <v>1.65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11.463448</v>
      </c>
      <c r="P572">
        <f t="shared" si="20"/>
        <v>11.463448</v>
      </c>
      <c r="S572">
        <f t="shared" si="21"/>
        <v>2.1382446937499995</v>
      </c>
    </row>
    <row r="573" spans="1:19">
      <c r="A573" s="8">
        <v>42818</v>
      </c>
      <c r="B573" s="7" t="s">
        <v>21</v>
      </c>
      <c r="C573" s="7">
        <v>11</v>
      </c>
      <c r="D573" s="7" t="s">
        <v>60</v>
      </c>
      <c r="E573">
        <v>258</v>
      </c>
      <c r="F573" s="7">
        <v>0.9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13.496493000000001</v>
      </c>
      <c r="P573">
        <f t="shared" ref="P573:P636" si="22">IF(O573&lt;0," ",O573)</f>
        <v>13.496493000000001</v>
      </c>
      <c r="S573">
        <f t="shared" si="21"/>
        <v>0.636171975</v>
      </c>
    </row>
    <row r="574" spans="1:19">
      <c r="A574" s="8">
        <v>42818</v>
      </c>
      <c r="B574" s="7" t="s">
        <v>54</v>
      </c>
      <c r="C574" s="7">
        <v>49</v>
      </c>
      <c r="D574" s="7" t="s">
        <v>60</v>
      </c>
      <c r="E574">
        <v>247</v>
      </c>
      <c r="F574" s="7">
        <v>1.21</v>
      </c>
      <c r="G574" s="7"/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12.725338000000001</v>
      </c>
      <c r="P574">
        <f t="shared" si="22"/>
        <v>12.725338000000001</v>
      </c>
      <c r="S574">
        <f t="shared" ref="S574:S605" si="23">3.14159*((F574/2)^2)</f>
        <v>1.1499004797499999</v>
      </c>
    </row>
    <row r="575" spans="1:19">
      <c r="A575" s="8">
        <v>42818</v>
      </c>
      <c r="B575" s="7" t="s">
        <v>54</v>
      </c>
      <c r="C575" s="7">
        <v>49</v>
      </c>
      <c r="D575" s="7" t="s">
        <v>60</v>
      </c>
      <c r="E575">
        <v>220</v>
      </c>
      <c r="F575" s="7">
        <v>1.29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10.832502999999999</v>
      </c>
      <c r="P575">
        <f t="shared" si="22"/>
        <v>10.832502999999999</v>
      </c>
      <c r="S575">
        <f t="shared" si="23"/>
        <v>1.3069799797500001</v>
      </c>
    </row>
    <row r="576" spans="1:19">
      <c r="A576" s="8">
        <v>42818</v>
      </c>
      <c r="B576" s="7" t="s">
        <v>54</v>
      </c>
      <c r="C576" s="7">
        <v>49</v>
      </c>
      <c r="D576" s="7" t="s">
        <v>60</v>
      </c>
      <c r="E576">
        <v>307</v>
      </c>
      <c r="F576" s="7">
        <v>1.95</v>
      </c>
      <c r="G576" s="7"/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16.931638</v>
      </c>
      <c r="P576">
        <f t="shared" si="22"/>
        <v>16.931638</v>
      </c>
      <c r="S576">
        <f t="shared" si="23"/>
        <v>2.9864739937499998</v>
      </c>
    </row>
    <row r="577" spans="1:19">
      <c r="A577" s="8">
        <v>42818</v>
      </c>
      <c r="B577" s="7" t="s">
        <v>54</v>
      </c>
      <c r="C577" s="7">
        <v>49</v>
      </c>
      <c r="D577" s="7" t="s">
        <v>60</v>
      </c>
      <c r="E577">
        <v>333</v>
      </c>
      <c r="F577" s="7">
        <v>2.14</v>
      </c>
      <c r="G577" s="7"/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18.754368000000003</v>
      </c>
      <c r="P577">
        <f t="shared" si="22"/>
        <v>18.754368000000003</v>
      </c>
      <c r="S577">
        <f t="shared" si="23"/>
        <v>3.5968063909999999</v>
      </c>
    </row>
    <row r="578" spans="1:19">
      <c r="A578" s="8">
        <v>42818</v>
      </c>
      <c r="B578" s="7" t="s">
        <v>54</v>
      </c>
      <c r="C578" s="7">
        <v>49</v>
      </c>
      <c r="D578" s="7" t="s">
        <v>60</v>
      </c>
      <c r="E578">
        <v>281</v>
      </c>
      <c r="F578" s="7">
        <v>1.68</v>
      </c>
      <c r="G578" s="7"/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15.108908</v>
      </c>
      <c r="P578">
        <f t="shared" si="22"/>
        <v>15.108908</v>
      </c>
      <c r="S578">
        <f t="shared" si="23"/>
        <v>2.2167059039999994</v>
      </c>
    </row>
    <row r="579" spans="1:19">
      <c r="A579" s="8">
        <v>42818</v>
      </c>
      <c r="B579" s="7" t="s">
        <v>54</v>
      </c>
      <c r="C579" s="7">
        <v>49</v>
      </c>
      <c r="D579" s="7" t="s">
        <v>60</v>
      </c>
      <c r="E579">
        <v>110</v>
      </c>
      <c r="F579" s="7">
        <v>0.95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3.1209530000000001</v>
      </c>
      <c r="P579">
        <f t="shared" si="22"/>
        <v>3.1209530000000001</v>
      </c>
      <c r="S579">
        <f t="shared" si="23"/>
        <v>0.70882124375</v>
      </c>
    </row>
    <row r="580" spans="1:19">
      <c r="A580" s="8">
        <v>42818</v>
      </c>
      <c r="B580" s="7" t="s">
        <v>54</v>
      </c>
      <c r="C580" s="7">
        <v>49</v>
      </c>
      <c r="D580" s="7" t="s">
        <v>60</v>
      </c>
      <c r="E580">
        <v>364</v>
      </c>
      <c r="F580" s="7">
        <v>1.92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20.927623000000001</v>
      </c>
      <c r="P580">
        <f t="shared" si="22"/>
        <v>20.927623000000001</v>
      </c>
      <c r="S580">
        <f t="shared" si="23"/>
        <v>2.8952893439999996</v>
      </c>
    </row>
    <row r="581" spans="1:19">
      <c r="A581" s="8">
        <v>42818</v>
      </c>
      <c r="B581" s="7" t="s">
        <v>54</v>
      </c>
      <c r="C581" s="7">
        <v>49</v>
      </c>
      <c r="D581" s="7" t="s">
        <v>60</v>
      </c>
      <c r="E581">
        <v>376</v>
      </c>
      <c r="F581" s="7">
        <v>1.69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21.768883000000002</v>
      </c>
      <c r="P581">
        <f t="shared" si="22"/>
        <v>21.768883000000002</v>
      </c>
      <c r="S581">
        <f t="shared" si="23"/>
        <v>2.2431737997499996</v>
      </c>
    </row>
    <row r="582" spans="1:19">
      <c r="A582" s="8">
        <v>42818</v>
      </c>
      <c r="B582" s="7" t="s">
        <v>54</v>
      </c>
      <c r="C582" s="7">
        <v>49</v>
      </c>
      <c r="D582" s="7" t="s">
        <v>60</v>
      </c>
      <c r="E582">
        <v>313</v>
      </c>
      <c r="F582" s="7">
        <v>2.12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17.352268000000002</v>
      </c>
      <c r="P582">
        <f t="shared" si="22"/>
        <v>17.352268000000002</v>
      </c>
      <c r="S582">
        <f t="shared" si="23"/>
        <v>3.5298905240000003</v>
      </c>
    </row>
    <row r="583" spans="1:19">
      <c r="A583" s="8">
        <v>42818</v>
      </c>
      <c r="B583" s="7" t="s">
        <v>54</v>
      </c>
      <c r="C583" s="7">
        <v>49</v>
      </c>
      <c r="D583" s="7" t="s">
        <v>60</v>
      </c>
      <c r="E583">
        <v>295</v>
      </c>
      <c r="F583" s="7">
        <v>1.52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16.090378000000001</v>
      </c>
      <c r="P583">
        <f t="shared" si="22"/>
        <v>16.090378000000001</v>
      </c>
      <c r="S583">
        <f t="shared" si="23"/>
        <v>1.8145823839999999</v>
      </c>
    </row>
    <row r="584" spans="1:19">
      <c r="A584" s="8">
        <v>42818</v>
      </c>
      <c r="B584" s="7" t="s">
        <v>54</v>
      </c>
      <c r="C584" s="7">
        <v>26</v>
      </c>
      <c r="D584" s="7" t="s">
        <v>62</v>
      </c>
      <c r="F584" s="7">
        <v>1.1599999999999999</v>
      </c>
      <c r="H584" s="7"/>
      <c r="J584">
        <f>59+30+104+117+115</f>
        <v>425</v>
      </c>
      <c r="K584">
        <v>5</v>
      </c>
      <c r="L584">
        <v>117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2.5254290000000026</v>
      </c>
      <c r="P584">
        <f t="shared" si="22"/>
        <v>2.5254290000000026</v>
      </c>
      <c r="S584">
        <f t="shared" si="23"/>
        <v>1.0568308759999998</v>
      </c>
    </row>
    <row r="585" spans="1:19">
      <c r="A585" s="8">
        <v>42818</v>
      </c>
      <c r="B585" s="7" t="s">
        <v>54</v>
      </c>
      <c r="C585" s="7">
        <v>26</v>
      </c>
      <c r="D585" s="7" t="s">
        <v>62</v>
      </c>
      <c r="F585" s="7">
        <v>0.91</v>
      </c>
      <c r="J585">
        <f>30+31+40</f>
        <v>101</v>
      </c>
      <c r="K585">
        <v>3</v>
      </c>
      <c r="L585">
        <v>40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9.3893799999999956</v>
      </c>
      <c r="P585">
        <f t="shared" si="22"/>
        <v>9.3893799999999956</v>
      </c>
      <c r="S585">
        <f t="shared" si="23"/>
        <v>0.65038766975000006</v>
      </c>
    </row>
    <row r="586" spans="1:19">
      <c r="A586" s="8">
        <v>42818</v>
      </c>
      <c r="B586" s="7" t="s">
        <v>54</v>
      </c>
      <c r="C586" s="7">
        <v>26</v>
      </c>
      <c r="D586" s="7" t="s">
        <v>62</v>
      </c>
      <c r="F586" s="7">
        <v>1.1499999999999999</v>
      </c>
      <c r="J586">
        <f>29+36+51+62+64</f>
        <v>242</v>
      </c>
      <c r="K586">
        <v>5</v>
      </c>
      <c r="L586">
        <v>64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1.3342489999999998</v>
      </c>
      <c r="P586">
        <f t="shared" si="22"/>
        <v>1.3342489999999998</v>
      </c>
      <c r="S586">
        <f t="shared" si="23"/>
        <v>1.0386881937499999</v>
      </c>
    </row>
    <row r="587" spans="1:19">
      <c r="A587" s="8">
        <v>42818</v>
      </c>
      <c r="B587" s="7" t="s">
        <v>54</v>
      </c>
      <c r="C587" s="7">
        <v>26</v>
      </c>
      <c r="D587" s="7" t="s">
        <v>62</v>
      </c>
      <c r="F587" s="7">
        <v>2.3199999999999998</v>
      </c>
      <c r="J587">
        <f>46+75+128+147+153+152</f>
        <v>701</v>
      </c>
      <c r="K587">
        <v>153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-975.66076999999996</v>
      </c>
      <c r="P587" t="str">
        <f t="shared" si="22"/>
        <v xml:space="preserve"> </v>
      </c>
      <c r="S587">
        <f t="shared" si="23"/>
        <v>4.2273235039999992</v>
      </c>
    </row>
    <row r="588" spans="1:19">
      <c r="A588" s="8">
        <v>42818</v>
      </c>
      <c r="B588" s="7" t="s">
        <v>54</v>
      </c>
      <c r="C588" s="7">
        <v>26</v>
      </c>
      <c r="D588" s="7" t="s">
        <v>62</v>
      </c>
      <c r="F588" s="7">
        <v>1.18</v>
      </c>
      <c r="J588">
        <f>20+46+58+77+81</f>
        <v>282</v>
      </c>
      <c r="K588">
        <v>5</v>
      </c>
      <c r="L588">
        <v>81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-3.6716000000005522E-2</v>
      </c>
      <c r="P588" t="str">
        <f t="shared" si="22"/>
        <v xml:space="preserve"> </v>
      </c>
      <c r="S588">
        <f t="shared" si="23"/>
        <v>1.0935874789999998</v>
      </c>
    </row>
    <row r="589" spans="1:19">
      <c r="A589" s="8">
        <v>42818</v>
      </c>
      <c r="B589" s="7" t="s">
        <v>54</v>
      </c>
      <c r="C589" s="7">
        <v>26</v>
      </c>
      <c r="D589" s="7" t="s">
        <v>62</v>
      </c>
      <c r="F589" s="7">
        <v>1.23</v>
      </c>
      <c r="J589">
        <f>40+70+85+89+116</f>
        <v>400</v>
      </c>
      <c r="K589">
        <v>5</v>
      </c>
      <c r="L589">
        <v>116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0.48279899999999998</v>
      </c>
      <c r="P589">
        <f t="shared" si="22"/>
        <v>0.48279899999999998</v>
      </c>
      <c r="S589">
        <f t="shared" si="23"/>
        <v>1.1882278777499999</v>
      </c>
    </row>
    <row r="590" spans="1:19">
      <c r="A590" s="8">
        <v>42818</v>
      </c>
      <c r="B590" s="7" t="s">
        <v>54</v>
      </c>
      <c r="C590" s="7">
        <v>26</v>
      </c>
      <c r="D590" s="7" t="s">
        <v>62</v>
      </c>
      <c r="F590" s="7">
        <v>1.89</v>
      </c>
      <c r="J590">
        <f>68+77+109+125+138</f>
        <v>517</v>
      </c>
      <c r="K590">
        <v>5</v>
      </c>
      <c r="L590">
        <v>138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4.8247440000000026</v>
      </c>
      <c r="P590">
        <f t="shared" si="22"/>
        <v>4.8247440000000026</v>
      </c>
      <c r="S590">
        <f t="shared" si="23"/>
        <v>2.8055184097499999</v>
      </c>
    </row>
    <row r="591" spans="1:19">
      <c r="A591" s="8">
        <v>42818</v>
      </c>
      <c r="B591" s="7" t="s">
        <v>54</v>
      </c>
      <c r="C591" s="7">
        <v>26</v>
      </c>
      <c r="D591" s="7" t="s">
        <v>62</v>
      </c>
      <c r="F591" s="7">
        <v>1.28</v>
      </c>
      <c r="J591">
        <f>38+50+69+74+106+120</f>
        <v>457</v>
      </c>
      <c r="K591">
        <v>6</v>
      </c>
      <c r="L591">
        <v>120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-2.4004990000000035</v>
      </c>
      <c r="P591" t="str">
        <f t="shared" si="22"/>
        <v xml:space="preserve"> </v>
      </c>
      <c r="S591">
        <f t="shared" si="23"/>
        <v>1.286795264</v>
      </c>
    </row>
    <row r="592" spans="1:19">
      <c r="A592" s="8">
        <v>42818</v>
      </c>
      <c r="B592" s="7" t="s">
        <v>54</v>
      </c>
      <c r="C592" s="7">
        <v>26</v>
      </c>
      <c r="D592" s="7" t="s">
        <v>62</v>
      </c>
      <c r="F592" s="7">
        <v>0.94</v>
      </c>
      <c r="J592">
        <f>36+45+71+81+90</f>
        <v>323</v>
      </c>
      <c r="K592">
        <v>5</v>
      </c>
      <c r="L592">
        <v>90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1.0960339999999995</v>
      </c>
      <c r="P592">
        <f t="shared" si="22"/>
        <v>1.0960339999999995</v>
      </c>
      <c r="S592">
        <f t="shared" si="23"/>
        <v>0.69397723099999997</v>
      </c>
    </row>
    <row r="593" spans="1:19">
      <c r="A593" s="8">
        <v>42818</v>
      </c>
      <c r="B593" s="7" t="s">
        <v>54</v>
      </c>
      <c r="C593" s="7">
        <v>26</v>
      </c>
      <c r="D593" s="7" t="s">
        <v>62</v>
      </c>
      <c r="F593" s="7">
        <v>1.72</v>
      </c>
      <c r="J593">
        <f>50+79+110+122+145+147</f>
        <v>653</v>
      </c>
      <c r="K593">
        <v>6</v>
      </c>
      <c r="L593">
        <v>147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7.8418660000000031</v>
      </c>
      <c r="P593">
        <f t="shared" si="22"/>
        <v>7.8418660000000031</v>
      </c>
      <c r="S593">
        <f t="shared" si="23"/>
        <v>2.3235199639999995</v>
      </c>
    </row>
    <row r="594" spans="1:19">
      <c r="A594" s="8">
        <v>42818</v>
      </c>
      <c r="B594" s="7" t="s">
        <v>54</v>
      </c>
      <c r="C594" s="7">
        <v>26</v>
      </c>
      <c r="D594" s="7" t="s">
        <v>62</v>
      </c>
      <c r="F594" s="7">
        <v>1.01</v>
      </c>
      <c r="H594" s="7"/>
      <c r="J594">
        <f>12+30+32+38</f>
        <v>112</v>
      </c>
      <c r="K594">
        <v>4</v>
      </c>
      <c r="L594">
        <v>38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4.0008219999999994</v>
      </c>
      <c r="P594">
        <f t="shared" si="22"/>
        <v>4.0008219999999994</v>
      </c>
      <c r="S594">
        <f t="shared" si="23"/>
        <v>0.80118398974999994</v>
      </c>
    </row>
    <row r="595" spans="1:19">
      <c r="A595" s="8">
        <v>42818</v>
      </c>
      <c r="B595" s="7" t="s">
        <v>54</v>
      </c>
      <c r="C595" s="7">
        <v>26</v>
      </c>
      <c r="D595" s="7" t="s">
        <v>62</v>
      </c>
      <c r="F595" s="7">
        <v>0.99</v>
      </c>
      <c r="J595">
        <f>52+47+88+88+114</f>
        <v>389</v>
      </c>
      <c r="K595">
        <v>5</v>
      </c>
      <c r="L595">
        <v>114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5.398399999999981E-2</v>
      </c>
      <c r="P595">
        <f t="shared" si="22"/>
        <v>5.398399999999981E-2</v>
      </c>
      <c r="S595">
        <f t="shared" si="23"/>
        <v>0.76976808975</v>
      </c>
    </row>
    <row r="596" spans="1:19">
      <c r="A596" s="8">
        <v>42818</v>
      </c>
      <c r="B596" s="7" t="s">
        <v>54</v>
      </c>
      <c r="C596" s="7">
        <v>26</v>
      </c>
      <c r="D596" s="7" t="s">
        <v>62</v>
      </c>
      <c r="F596" s="7">
        <v>1.78</v>
      </c>
      <c r="J596">
        <f>37+64+93+123+122+149+154</f>
        <v>742</v>
      </c>
      <c r="K596">
        <v>7</v>
      </c>
      <c r="L596">
        <v>154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7.0549930000000032</v>
      </c>
      <c r="P596">
        <f t="shared" si="22"/>
        <v>7.0549930000000032</v>
      </c>
      <c r="S596">
        <f t="shared" si="23"/>
        <v>2.4884534390000002</v>
      </c>
    </row>
    <row r="597" spans="1:19">
      <c r="A597" s="8">
        <v>42818</v>
      </c>
      <c r="B597" s="7" t="s">
        <v>54</v>
      </c>
      <c r="C597" s="7">
        <v>26</v>
      </c>
      <c r="D597" s="7" t="s">
        <v>62</v>
      </c>
      <c r="F597" s="7">
        <v>0.86</v>
      </c>
      <c r="J597">
        <f>36+28+63+76+95</f>
        <v>298</v>
      </c>
      <c r="K597">
        <v>5</v>
      </c>
      <c r="L597">
        <v>95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-2.7540660000000017</v>
      </c>
      <c r="P597" t="str">
        <f t="shared" si="22"/>
        <v xml:space="preserve"> </v>
      </c>
      <c r="S597">
        <f t="shared" si="23"/>
        <v>0.58087999099999987</v>
      </c>
    </row>
    <row r="598" spans="1:19">
      <c r="A598" s="8">
        <v>42818</v>
      </c>
      <c r="B598" s="7" t="s">
        <v>54</v>
      </c>
      <c r="C598" s="7">
        <v>26</v>
      </c>
      <c r="D598" s="7" t="s">
        <v>62</v>
      </c>
      <c r="F598" s="7">
        <v>0.74</v>
      </c>
      <c r="J598">
        <f>19+24+58+66+87</f>
        <v>254</v>
      </c>
      <c r="K598">
        <v>5</v>
      </c>
      <c r="L598">
        <v>87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-4.4693260000000024</v>
      </c>
      <c r="P598" t="str">
        <f t="shared" si="22"/>
        <v xml:space="preserve"> </v>
      </c>
      <c r="S598">
        <f t="shared" si="23"/>
        <v>0.43008367099999995</v>
      </c>
    </row>
    <row r="599" spans="1:19">
      <c r="A599" s="8">
        <v>42818</v>
      </c>
      <c r="B599" s="7" t="s">
        <v>54</v>
      </c>
      <c r="C599" s="7">
        <v>26</v>
      </c>
      <c r="D599" s="7" t="s">
        <v>62</v>
      </c>
      <c r="F599" s="7">
        <v>1.32</v>
      </c>
      <c r="H599" s="7"/>
      <c r="J599">
        <f>48+57+65+80</f>
        <v>250</v>
      </c>
      <c r="K599">
        <v>4</v>
      </c>
      <c r="L599">
        <v>80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4.286722000000001</v>
      </c>
      <c r="P599">
        <f t="shared" si="22"/>
        <v>4.286722000000001</v>
      </c>
      <c r="S599">
        <f t="shared" si="23"/>
        <v>1.368476604</v>
      </c>
    </row>
    <row r="600" spans="1:19">
      <c r="A600" s="8">
        <v>42818</v>
      </c>
      <c r="B600" s="7" t="s">
        <v>54</v>
      </c>
      <c r="C600" s="7">
        <v>26</v>
      </c>
      <c r="D600" s="7" t="s">
        <v>62</v>
      </c>
      <c r="F600" s="7">
        <v>1.57</v>
      </c>
      <c r="J600">
        <f>31+36+71+68+95+119+117</f>
        <v>537</v>
      </c>
      <c r="K600">
        <v>7</v>
      </c>
      <c r="L600">
        <v>119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-1.6212069999999983</v>
      </c>
      <c r="P600" t="str">
        <f t="shared" si="22"/>
        <v xml:space="preserve"> </v>
      </c>
      <c r="S600">
        <f t="shared" si="23"/>
        <v>1.93592629775</v>
      </c>
    </row>
    <row r="601" spans="1:19">
      <c r="A601" s="8">
        <v>42818</v>
      </c>
      <c r="B601" s="7" t="s">
        <v>54</v>
      </c>
      <c r="C601" s="7">
        <v>26</v>
      </c>
      <c r="D601" s="7" t="s">
        <v>62</v>
      </c>
      <c r="F601" s="7">
        <v>0.98</v>
      </c>
      <c r="J601">
        <f>36+54+64+66</f>
        <v>220</v>
      </c>
      <c r="K601">
        <v>4</v>
      </c>
      <c r="L601">
        <v>66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5.6915019999999998</v>
      </c>
      <c r="P601">
        <f t="shared" si="22"/>
        <v>5.6915019999999998</v>
      </c>
      <c r="S601">
        <f t="shared" si="23"/>
        <v>0.7542957589999999</v>
      </c>
    </row>
    <row r="602" spans="1:19">
      <c r="A602" s="8">
        <v>42818</v>
      </c>
      <c r="B602" s="7" t="s">
        <v>54</v>
      </c>
      <c r="C602" s="7">
        <v>26</v>
      </c>
      <c r="D602" s="7" t="s">
        <v>62</v>
      </c>
      <c r="F602" s="7">
        <v>2.4300000000000002</v>
      </c>
      <c r="J602">
        <f>161+179+180+208+210</f>
        <v>938</v>
      </c>
      <c r="K602">
        <v>5</v>
      </c>
      <c r="L602">
        <v>210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22.605959000000013</v>
      </c>
      <c r="P602">
        <f t="shared" si="22"/>
        <v>22.605959000000013</v>
      </c>
      <c r="S602">
        <f t="shared" si="23"/>
        <v>4.6376936977500005</v>
      </c>
    </row>
    <row r="603" spans="1:19">
      <c r="A603" s="8">
        <v>42818</v>
      </c>
      <c r="B603" s="7" t="s">
        <v>54</v>
      </c>
      <c r="C603" s="7">
        <v>26</v>
      </c>
      <c r="D603" s="7" t="s">
        <v>62</v>
      </c>
      <c r="F603" s="7">
        <v>0.55000000000000004</v>
      </c>
      <c r="J603">
        <f>16+19+24</f>
        <v>59</v>
      </c>
      <c r="K603">
        <v>3</v>
      </c>
      <c r="L603">
        <v>24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10.271589999999996</v>
      </c>
      <c r="P603">
        <f t="shared" si="22"/>
        <v>10.271589999999996</v>
      </c>
      <c r="S603">
        <f t="shared" si="23"/>
        <v>0.23758274375000002</v>
      </c>
    </row>
    <row r="604" spans="1:19">
      <c r="A604" s="8">
        <v>42818</v>
      </c>
      <c r="B604" s="7" t="s">
        <v>54</v>
      </c>
      <c r="C604" s="7">
        <v>26</v>
      </c>
      <c r="D604" s="7" t="s">
        <v>62</v>
      </c>
      <c r="F604" s="7">
        <v>1.6</v>
      </c>
      <c r="J604">
        <f>42+69+95+97+110</f>
        <v>413</v>
      </c>
      <c r="K604">
        <v>5</v>
      </c>
      <c r="L604">
        <v>110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3.5090840000000014</v>
      </c>
      <c r="P604">
        <f t="shared" si="22"/>
        <v>3.5090840000000014</v>
      </c>
      <c r="S604">
        <f t="shared" si="23"/>
        <v>2.0106176000000002</v>
      </c>
    </row>
    <row r="605" spans="1:19">
      <c r="A605" s="8">
        <v>42818</v>
      </c>
      <c r="B605" s="7" t="s">
        <v>54</v>
      </c>
      <c r="C605" s="7">
        <v>26</v>
      </c>
      <c r="D605" s="7" t="s">
        <v>62</v>
      </c>
      <c r="F605" s="7">
        <v>2.5</v>
      </c>
      <c r="J605">
        <f>56+90+131+164+177</f>
        <v>618</v>
      </c>
      <c r="K605">
        <v>5</v>
      </c>
      <c r="L605">
        <v>177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2.5454440000000034</v>
      </c>
      <c r="P605">
        <f t="shared" si="22"/>
        <v>2.5454440000000034</v>
      </c>
      <c r="S605">
        <f t="shared" si="23"/>
        <v>4.9087343749999999</v>
      </c>
    </row>
    <row r="606" spans="1:19">
      <c r="A606" s="8">
        <v>42818</v>
      </c>
      <c r="B606" s="7" t="s">
        <v>54</v>
      </c>
      <c r="C606" s="7">
        <v>26</v>
      </c>
      <c r="D606" s="7" t="s">
        <v>62</v>
      </c>
      <c r="F606" s="7">
        <v>1.47</v>
      </c>
      <c r="J606">
        <f>44+42+59+63+73</f>
        <v>281</v>
      </c>
      <c r="K606">
        <v>5</v>
      </c>
      <c r="L606">
        <v>73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2.2794890000000017</v>
      </c>
      <c r="P606">
        <f t="shared" si="22"/>
        <v>2.2794890000000017</v>
      </c>
      <c r="S606">
        <f t="shared" ref="S606:S637" si="24">3.14159*((F606/2)^2)</f>
        <v>1.6971654577499997</v>
      </c>
    </row>
    <row r="607" spans="1:19">
      <c r="A607" s="8">
        <v>42818</v>
      </c>
      <c r="B607" s="7" t="s">
        <v>54</v>
      </c>
      <c r="C607" s="7">
        <v>26</v>
      </c>
      <c r="D607" s="7" t="s">
        <v>62</v>
      </c>
      <c r="F607" s="7">
        <v>2.0299999999999998</v>
      </c>
      <c r="J607">
        <f>35+71+90+93+129+124</f>
        <v>542</v>
      </c>
      <c r="K607">
        <v>6</v>
      </c>
      <c r="L607">
        <v>129</v>
      </c>
      <c r="O607">
        <f>IF(AND(OR(D607="S. acutus",D607="S. californicus",D607="S. tabernaemontani"),G607=0),E607*[1]Sheet1!$D$7+[1]Sheet1!$L$7,IF(AND(OR(D607="S. acutus",D607="S. tabernaemontani"),G607&gt;0),E607*[1]Sheet1!$D$8+N607*[1]Sheet1!$E$8,IF(AND(D607="S. californicus",G607&gt;0),E607*[1]Sheet1!$D$9+N607*[1]Sheet1!$E$9,IF(D607="S.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latifolia"),E607&gt;0),F607*[1]Sheet1!$C$4+E607*[1]Sheet1!$D$4+H607*[1]Sheet1!$J$4+I607*[1]Sheet1!$K$4+[1]Sheet1!$L$4,IF(AND(OR(D607="T. domingensis",D607="T. latifolia"),J607&gt;0),J607*[1]Sheet1!$G$5+K607*[1]Sheet1!$H$5+L607*[1]Sheet1!$I$5+[1]Sheet1!$L$5,0)))))))</f>
        <v>2.8574709999999968</v>
      </c>
      <c r="P607">
        <f t="shared" si="22"/>
        <v>2.8574709999999968</v>
      </c>
      <c r="S607">
        <f t="shared" si="24"/>
        <v>3.2365445577499989</v>
      </c>
    </row>
    <row r="608" spans="1:19">
      <c r="A608" s="8">
        <v>42818</v>
      </c>
      <c r="B608" s="7" t="s">
        <v>54</v>
      </c>
      <c r="C608">
        <v>23</v>
      </c>
      <c r="D608" s="7" t="s">
        <v>62</v>
      </c>
      <c r="F608" s="7">
        <v>1.08</v>
      </c>
      <c r="J608">
        <f>55+59+77+87+89</f>
        <v>367</v>
      </c>
      <c r="K608">
        <v>5</v>
      </c>
      <c r="L608">
        <v>89</v>
      </c>
      <c r="O608">
        <f>IF(AND(OR(D608="S. acutus",D608="S. californicus",D608="S. tabernaemontani"),G608=0),E608*[1]Sheet1!$D$7+[1]Sheet1!$L$7,IF(AND(OR(D608="S. acutus",D608="S. tabernaemontani"),G608&gt;0),E608*[1]Sheet1!$D$8+N608*[1]Sheet1!$E$8,IF(AND(D608="S. californicus",G608&gt;0),E608*[1]Sheet1!$D$9+N608*[1]Sheet1!$E$9,IF(D608="S.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latifolia"),E608&gt;0),F608*[1]Sheet1!$C$4+E608*[1]Sheet1!$D$4+H608*[1]Sheet1!$J$4+I608*[1]Sheet1!$K$4+[1]Sheet1!$L$4,IF(AND(OR(D608="T. domingensis",D608="T. latifolia"),J608&gt;0),J608*[1]Sheet1!$G$5+K608*[1]Sheet1!$H$5+L608*[1]Sheet1!$I$5+[1]Sheet1!$L$5,0)))))))</f>
        <v>5.5224989999999998</v>
      </c>
      <c r="P608">
        <f t="shared" si="22"/>
        <v>5.5224989999999998</v>
      </c>
      <c r="S608">
        <f t="shared" si="24"/>
        <v>0.91608764400000009</v>
      </c>
    </row>
    <row r="609" spans="1:19">
      <c r="A609" s="8">
        <v>42818</v>
      </c>
      <c r="B609" s="7" t="s">
        <v>54</v>
      </c>
      <c r="C609">
        <v>23</v>
      </c>
      <c r="D609" s="7" t="s">
        <v>62</v>
      </c>
      <c r="F609" s="7">
        <v>1.54</v>
      </c>
      <c r="J609">
        <f>41+70+91+106+123+126</f>
        <v>557</v>
      </c>
      <c r="K609">
        <v>6</v>
      </c>
      <c r="L609">
        <v>126</v>
      </c>
      <c r="O609">
        <f>IF(AND(OR(D609="S. acutus",D609="S. californicus",D609="S. tabernaemontani"),G609=0),E609*[1]Sheet1!$D$7+[1]Sheet1!$L$7,IF(AND(OR(D609="S. acutus",D609="S. tabernaemontani"),G609&gt;0),E609*[1]Sheet1!$D$8+N609*[1]Sheet1!$E$8,IF(AND(D609="S. californicus",G609&gt;0),E609*[1]Sheet1!$D$9+N609*[1]Sheet1!$E$9,IF(D609="S.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latifolia"),E609&gt;0),F609*[1]Sheet1!$C$4+E609*[1]Sheet1!$D$4+H609*[1]Sheet1!$J$4+I609*[1]Sheet1!$K$4+[1]Sheet1!$L$4,IF(AND(OR(D609="T. domingensis",D609="T. latifolia"),J609&gt;0),J609*[1]Sheet1!$G$5+K609*[1]Sheet1!$H$5+L609*[1]Sheet1!$I$5+[1]Sheet1!$L$5,0)))))))</f>
        <v>5.1675310000000039</v>
      </c>
      <c r="P609">
        <f t="shared" si="22"/>
        <v>5.1675310000000039</v>
      </c>
      <c r="S609">
        <f t="shared" si="24"/>
        <v>1.8626487109999998</v>
      </c>
    </row>
    <row r="610" spans="1:19">
      <c r="A610" s="8">
        <v>42818</v>
      </c>
      <c r="B610" s="7" t="s">
        <v>54</v>
      </c>
      <c r="C610">
        <v>23</v>
      </c>
      <c r="D610" s="7" t="s">
        <v>62</v>
      </c>
      <c r="F610" s="7">
        <v>1.22</v>
      </c>
      <c r="J610">
        <f>37+51+56</f>
        <v>144</v>
      </c>
      <c r="K610">
        <v>3</v>
      </c>
      <c r="L610">
        <v>56</v>
      </c>
      <c r="O610">
        <f>IF(AND(OR(D610="S. acutus",D610="S. californicus",D610="S. tabernaemontani"),G610=0),E610*[1]Sheet1!$D$7+[1]Sheet1!$L$7,IF(AND(OR(D610="S. acutus",D610="S. tabernaemontani"),G610&gt;0),E610*[1]Sheet1!$D$8+N610*[1]Sheet1!$E$8,IF(AND(D610="S. californicus",G610&gt;0),E610*[1]Sheet1!$D$9+N610*[1]Sheet1!$E$9,IF(D610="S.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latifolia"),E610&gt;0),F610*[1]Sheet1!$C$4+E610*[1]Sheet1!$D$4+H610*[1]Sheet1!$J$4+I610*[1]Sheet1!$K$4+[1]Sheet1!$L$4,IF(AND(OR(D610="T. domingensis",D610="T. latifolia"),J610&gt;0),J610*[1]Sheet1!$G$5+K610*[1]Sheet1!$H$5+L610*[1]Sheet1!$I$5+[1]Sheet1!$L$5,0)))))))</f>
        <v>8.6009249999999966</v>
      </c>
      <c r="P610">
        <f t="shared" si="22"/>
        <v>8.6009249999999966</v>
      </c>
      <c r="S610">
        <f t="shared" si="24"/>
        <v>1.168985639</v>
      </c>
    </row>
    <row r="611" spans="1:19">
      <c r="A611" s="8">
        <v>42818</v>
      </c>
      <c r="B611" s="7" t="s">
        <v>54</v>
      </c>
      <c r="C611">
        <v>23</v>
      </c>
      <c r="D611" s="7" t="s">
        <v>62</v>
      </c>
      <c r="F611" s="7">
        <v>0.59</v>
      </c>
      <c r="J611">
        <f>34+36</f>
        <v>70</v>
      </c>
      <c r="K611">
        <v>2</v>
      </c>
      <c r="L611">
        <v>36</v>
      </c>
      <c r="O611">
        <f>IF(AND(OR(D611="S. acutus",D611="S. californicus",D611="S. tabernaemontani"),G611=0),E611*[1]Sheet1!$D$7+[1]Sheet1!$L$7,IF(AND(OR(D611="S. acutus",D611="S. tabernaemontani"),G611&gt;0),E611*[1]Sheet1!$D$8+N611*[1]Sheet1!$E$8,IF(AND(D611="S. californicus",G611&gt;0),E611*[1]Sheet1!$D$9+N611*[1]Sheet1!$E$9,IF(D611="S.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latifolia"),E611&gt;0),F611*[1]Sheet1!$C$4+E611*[1]Sheet1!$D$4+H611*[1]Sheet1!$J$4+I611*[1]Sheet1!$K$4+[1]Sheet1!$L$4,IF(AND(OR(D611="T. domingensis",D611="T. latifolia"),J611&gt;0),J611*[1]Sheet1!$G$5+K611*[1]Sheet1!$H$5+L611*[1]Sheet1!$I$5+[1]Sheet1!$L$5,0)))))))</f>
        <v>14.710307999999998</v>
      </c>
      <c r="P611">
        <f t="shared" si="22"/>
        <v>14.710307999999998</v>
      </c>
      <c r="S611">
        <f t="shared" si="24"/>
        <v>0.27339686974999994</v>
      </c>
    </row>
    <row r="612" spans="1:19">
      <c r="A612" s="8">
        <v>42818</v>
      </c>
      <c r="B612" s="7" t="s">
        <v>54</v>
      </c>
      <c r="C612">
        <v>23</v>
      </c>
      <c r="D612" s="7" t="s">
        <v>62</v>
      </c>
      <c r="F612" s="7">
        <v>1.05</v>
      </c>
      <c r="J612">
        <f>45+53+62+64+78</f>
        <v>302</v>
      </c>
      <c r="K612">
        <v>5</v>
      </c>
      <c r="L612">
        <v>78</v>
      </c>
      <c r="O612">
        <f>IF(AND(OR(D612="S. acutus",D612="S. californicus",D612="S. tabernaemontani"),G612=0),E612*[1]Sheet1!$D$7+[1]Sheet1!$L$7,IF(AND(OR(D612="S. acutus",D612="S. tabernaemontani"),G612&gt;0),E612*[1]Sheet1!$D$8+N612*[1]Sheet1!$E$8,IF(AND(D612="S. californicus",G612&gt;0),E612*[1]Sheet1!$D$9+N612*[1]Sheet1!$E$9,IF(D612="S.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latifolia"),E612&gt;0),F612*[1]Sheet1!$C$4+E612*[1]Sheet1!$D$4+H612*[1]Sheet1!$J$4+I612*[1]Sheet1!$K$4+[1]Sheet1!$L$4,IF(AND(OR(D612="T. domingensis",D612="T. latifolia"),J612&gt;0),J612*[1]Sheet1!$G$5+K612*[1]Sheet1!$H$5+L612*[1]Sheet1!$I$5+[1]Sheet1!$L$5,0)))))))</f>
        <v>2.7421190000000024</v>
      </c>
      <c r="P612">
        <f t="shared" si="22"/>
        <v>2.7421190000000024</v>
      </c>
      <c r="S612">
        <f t="shared" si="24"/>
        <v>0.86590074375000003</v>
      </c>
    </row>
    <row r="613" spans="1:19">
      <c r="A613" s="8">
        <v>42818</v>
      </c>
      <c r="B613" s="7" t="s">
        <v>54</v>
      </c>
      <c r="C613">
        <v>23</v>
      </c>
      <c r="D613" s="7" t="s">
        <v>62</v>
      </c>
      <c r="F613" s="7">
        <v>0.65</v>
      </c>
      <c r="J613">
        <f>18+19+36</f>
        <v>73</v>
      </c>
      <c r="K613">
        <v>3</v>
      </c>
      <c r="L613">
        <v>36</v>
      </c>
      <c r="O613">
        <f>IF(AND(OR(D613="S. acutus",D613="S. californicus",D613="S. tabernaemontani"),G613=0),E613*[1]Sheet1!$D$7+[1]Sheet1!$L$7,IF(AND(OR(D613="S. acutus",D613="S. tabernaemontani"),G613&gt;0),E613*[1]Sheet1!$D$8+N613*[1]Sheet1!$E$8,IF(AND(D613="S. californicus",G613&gt;0),E613*[1]Sheet1!$D$9+N613*[1]Sheet1!$E$9,IF(D613="S.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latifolia"),E613&gt;0),F613*[1]Sheet1!$C$4+E613*[1]Sheet1!$D$4+H613*[1]Sheet1!$J$4+I613*[1]Sheet1!$K$4+[1]Sheet1!$L$4,IF(AND(OR(D613="T. domingensis",D613="T. latifolia"),J613&gt;0),J613*[1]Sheet1!$G$5+K613*[1]Sheet1!$H$5+L613*[1]Sheet1!$I$5+[1]Sheet1!$L$5,0)))))))</f>
        <v>7.96922</v>
      </c>
      <c r="P613">
        <f t="shared" si="22"/>
        <v>7.96922</v>
      </c>
      <c r="S613">
        <f t="shared" si="24"/>
        <v>0.33183044375000004</v>
      </c>
    </row>
    <row r="614" spans="1:19">
      <c r="A614" s="8">
        <v>42818</v>
      </c>
      <c r="B614" s="7" t="s">
        <v>54</v>
      </c>
      <c r="C614">
        <v>23</v>
      </c>
      <c r="D614" s="7" t="s">
        <v>62</v>
      </c>
      <c r="F614" s="7">
        <v>1.1499999999999999</v>
      </c>
      <c r="J614">
        <f>22+37+39</f>
        <v>98</v>
      </c>
      <c r="K614">
        <v>3</v>
      </c>
      <c r="L614">
        <v>39</v>
      </c>
      <c r="O614">
        <f>IF(AND(OR(D614="S. acutus",D614="S. californicus",D614="S. tabernaemontani"),G614=0),E614*[1]Sheet1!$D$7+[1]Sheet1!$L$7,IF(AND(OR(D614="S. acutus",D614="S. tabernaemontani"),G614&gt;0),E614*[1]Sheet1!$D$8+N614*[1]Sheet1!$E$8,IF(AND(D614="S. californicus",G614&gt;0),E614*[1]Sheet1!$D$9+N614*[1]Sheet1!$E$9,IF(D614="S.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latifolia"),E614&gt;0),F614*[1]Sheet1!$C$4+E614*[1]Sheet1!$D$4+H614*[1]Sheet1!$J$4+I614*[1]Sheet1!$K$4+[1]Sheet1!$L$4,IF(AND(OR(D614="T. domingensis",D614="T. latifolia"),J614&gt;0),J614*[1]Sheet1!$G$5+K614*[1]Sheet1!$H$5+L614*[1]Sheet1!$I$5+[1]Sheet1!$L$5,0)))))))</f>
        <v>9.4093599999999995</v>
      </c>
      <c r="P614">
        <f t="shared" si="22"/>
        <v>9.4093599999999995</v>
      </c>
      <c r="S614">
        <f t="shared" si="24"/>
        <v>1.0386881937499999</v>
      </c>
    </row>
    <row r="615" spans="1:19">
      <c r="A615" s="8">
        <v>42818</v>
      </c>
      <c r="B615" s="7" t="s">
        <v>54</v>
      </c>
      <c r="C615">
        <v>23</v>
      </c>
      <c r="D615" s="7" t="s">
        <v>62</v>
      </c>
      <c r="F615" s="7">
        <v>0.95</v>
      </c>
      <c r="J615">
        <f>59+95+129+130+156+161</f>
        <v>730</v>
      </c>
      <c r="K615">
        <v>6</v>
      </c>
      <c r="L615">
        <v>161</v>
      </c>
      <c r="O615">
        <f>IF(AND(OR(D615="S. acutus",D615="S. californicus",D615="S. tabernaemontani"),G615=0),E615*[1]Sheet1!$D$7+[1]Sheet1!$L$7,IF(AND(OR(D615="S. acutus",D615="S. tabernaemontani"),G615&gt;0),E615*[1]Sheet1!$D$8+N615*[1]Sheet1!$E$8,IF(AND(D615="S. californicus",G615&gt;0),E615*[1]Sheet1!$D$9+N615*[1]Sheet1!$E$9,IF(D615="S.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latifolia"),E615&gt;0),F615*[1]Sheet1!$C$4+E615*[1]Sheet1!$D$4+H615*[1]Sheet1!$J$4+I615*[1]Sheet1!$K$4+[1]Sheet1!$L$4,IF(AND(OR(D615="T. domingensis",D615="T. latifolia"),J615&gt;0),J615*[1]Sheet1!$G$5+K615*[1]Sheet1!$H$5+L615*[1]Sheet1!$I$5+[1]Sheet1!$L$5,0)))))))</f>
        <v>10.843571000000004</v>
      </c>
      <c r="P615">
        <f t="shared" si="22"/>
        <v>10.843571000000004</v>
      </c>
      <c r="S615">
        <f t="shared" si="24"/>
        <v>0.70882124375</v>
      </c>
    </row>
    <row r="616" spans="1:19">
      <c r="A616" s="8">
        <v>42818</v>
      </c>
      <c r="B616" s="7" t="s">
        <v>54</v>
      </c>
      <c r="C616">
        <v>23</v>
      </c>
      <c r="D616" s="7" t="s">
        <v>62</v>
      </c>
      <c r="F616" s="7">
        <v>2.56</v>
      </c>
      <c r="J616">
        <f>71+106+136+153+163+167+184+186</f>
        <v>1166</v>
      </c>
      <c r="K616">
        <v>8</v>
      </c>
      <c r="L616">
        <v>186</v>
      </c>
      <c r="O616">
        <f>IF(AND(OR(D616="S. acutus",D616="S. californicus",D616="S. tabernaemontani"),G616=0),E616*[1]Sheet1!$D$7+[1]Sheet1!$L$7,IF(AND(OR(D616="S. acutus",D616="S. tabernaemontani"),G616&gt;0),E616*[1]Sheet1!$D$8+N616*[1]Sheet1!$E$8,IF(AND(D616="S. californicus",G616&gt;0),E616*[1]Sheet1!$D$9+N616*[1]Sheet1!$E$9,IF(D616="S.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latifolia"),E616&gt;0),F616*[1]Sheet1!$C$4+E616*[1]Sheet1!$D$4+H616*[1]Sheet1!$J$4+I616*[1]Sheet1!$K$4+[1]Sheet1!$L$4,IF(AND(OR(D616="T. domingensis",D616="T. latifolia"),J616&gt;0),J616*[1]Sheet1!$G$5+K616*[1]Sheet1!$H$5+L616*[1]Sheet1!$I$5+[1]Sheet1!$L$5,0)))))))</f>
        <v>30.144920000000006</v>
      </c>
      <c r="P616">
        <f t="shared" si="22"/>
        <v>30.144920000000006</v>
      </c>
      <c r="S616">
        <f t="shared" si="24"/>
        <v>5.147181056</v>
      </c>
    </row>
    <row r="617" spans="1:19">
      <c r="A617" s="8">
        <v>42818</v>
      </c>
      <c r="B617" s="7" t="s">
        <v>54</v>
      </c>
      <c r="C617">
        <v>23</v>
      </c>
      <c r="D617" s="7" t="s">
        <v>62</v>
      </c>
      <c r="F617" s="7">
        <v>1.44</v>
      </c>
      <c r="J617">
        <f>57+60+75+85+91+97</f>
        <v>465</v>
      </c>
      <c r="K617">
        <v>6</v>
      </c>
      <c r="L617">
        <v>97</v>
      </c>
      <c r="O617">
        <f>IF(AND(OR(D617="S. acutus",D617="S. californicus",D617="S. tabernaemontani"),G617=0),E617*[1]Sheet1!$D$7+[1]Sheet1!$L$7,IF(AND(OR(D617="S. acutus",D617="S. tabernaemontani"),G617&gt;0),E617*[1]Sheet1!$D$8+N617*[1]Sheet1!$E$8,IF(AND(D617="S. californicus",G617&gt;0),E617*[1]Sheet1!$D$9+N617*[1]Sheet1!$E$9,IF(D617="S.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latifolia"),E617&gt;0),F617*[1]Sheet1!$C$4+E617*[1]Sheet1!$D$4+H617*[1]Sheet1!$J$4+I617*[1]Sheet1!$K$4+[1]Sheet1!$L$4,IF(AND(OR(D617="T. domingensis",D617="T. latifolia"),J617&gt;0),J617*[1]Sheet1!$G$5+K617*[1]Sheet1!$H$5+L617*[1]Sheet1!$I$5+[1]Sheet1!$L$5,0)))))))</f>
        <v>5.2781759999999949</v>
      </c>
      <c r="P617">
        <f t="shared" si="22"/>
        <v>5.2781759999999949</v>
      </c>
      <c r="S617">
        <f t="shared" si="24"/>
        <v>1.6286002559999999</v>
      </c>
    </row>
    <row r="618" spans="1:19">
      <c r="A618" s="8">
        <v>42818</v>
      </c>
      <c r="B618" s="7" t="s">
        <v>54</v>
      </c>
      <c r="C618">
        <v>23</v>
      </c>
      <c r="D618" s="7" t="s">
        <v>62</v>
      </c>
      <c r="F618" s="7">
        <v>1.32</v>
      </c>
      <c r="H618" s="7"/>
      <c r="J618">
        <f>56+74+84+103+109</f>
        <v>426</v>
      </c>
      <c r="K618">
        <v>5</v>
      </c>
      <c r="L618">
        <v>109</v>
      </c>
      <c r="O618">
        <f>IF(AND(OR(D618="S. acutus",D618="S. californicus",D618="S. tabernaemontani"),G618=0),E618*[1]Sheet1!$D$7+[1]Sheet1!$L$7,IF(AND(OR(D618="S. acutus",D618="S. tabernaemontani"),G618&gt;0),E618*[1]Sheet1!$D$8+N618*[1]Sheet1!$E$8,IF(AND(D618="S. californicus",G618&gt;0),E618*[1]Sheet1!$D$9+N618*[1]Sheet1!$E$9,IF(D618="S.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latifolia"),E618&gt;0),F618*[1]Sheet1!$C$4+E618*[1]Sheet1!$D$4+H618*[1]Sheet1!$J$4+I618*[1]Sheet1!$K$4+[1]Sheet1!$L$4,IF(AND(OR(D618="T. domingensis",D618="T. latifolia"),J618&gt;0),J618*[1]Sheet1!$G$5+K618*[1]Sheet1!$H$5+L618*[1]Sheet1!$I$5+[1]Sheet1!$L$5,0)))))))</f>
        <v>5.0291440000000023</v>
      </c>
      <c r="P618">
        <f t="shared" si="22"/>
        <v>5.0291440000000023</v>
      </c>
      <c r="S618">
        <f t="shared" si="24"/>
        <v>1.368476604</v>
      </c>
    </row>
    <row r="619" spans="1:19">
      <c r="A619" s="8">
        <v>42818</v>
      </c>
      <c r="B619" s="7" t="s">
        <v>54</v>
      </c>
      <c r="C619">
        <v>23</v>
      </c>
      <c r="D619" s="7" t="s">
        <v>62</v>
      </c>
      <c r="F619" s="7">
        <v>1.54</v>
      </c>
      <c r="J619">
        <f>53+77+74+96</f>
        <v>300</v>
      </c>
      <c r="K619">
        <v>4</v>
      </c>
      <c r="L619">
        <v>96</v>
      </c>
      <c r="O619">
        <f>IF(AND(OR(D619="S. acutus",D619="S. californicus",D619="S. tabernaemontani"),G619=0),E619*[1]Sheet1!$D$7+[1]Sheet1!$L$7,IF(AND(OR(D619="S. acutus",D619="S. tabernaemontani"),G619&gt;0),E619*[1]Sheet1!$D$8+N619*[1]Sheet1!$E$8,IF(AND(D619="S. californicus",G619&gt;0),E619*[1]Sheet1!$D$9+N619*[1]Sheet1!$E$9,IF(D619="S.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latifolia"),E619&gt;0),F619*[1]Sheet1!$C$4+E619*[1]Sheet1!$D$4+H619*[1]Sheet1!$J$4+I619*[1]Sheet1!$K$4+[1]Sheet1!$L$4,IF(AND(OR(D619="T. domingensis",D619="T. latifolia"),J619&gt;0),J619*[1]Sheet1!$G$5+K619*[1]Sheet1!$H$5+L619*[1]Sheet1!$I$5+[1]Sheet1!$L$5,0)))))))</f>
        <v>4.1545519999999989</v>
      </c>
      <c r="P619">
        <f t="shared" si="22"/>
        <v>4.1545519999999989</v>
      </c>
      <c r="S619">
        <f t="shared" si="24"/>
        <v>1.8626487109999998</v>
      </c>
    </row>
    <row r="620" spans="1:19">
      <c r="A620" s="8">
        <v>42818</v>
      </c>
      <c r="B620" s="7" t="s">
        <v>54</v>
      </c>
      <c r="C620">
        <v>23</v>
      </c>
      <c r="D620" s="7" t="s">
        <v>62</v>
      </c>
      <c r="F620" s="7">
        <v>1.59</v>
      </c>
      <c r="J620">
        <f>34+62+85+86+101</f>
        <v>368</v>
      </c>
      <c r="K620">
        <v>5</v>
      </c>
      <c r="L620">
        <v>101</v>
      </c>
      <c r="O620">
        <f>IF(AND(OR(D620="S. acutus",D620="S. californicus",D620="S. tabernaemontani"),G620=0),E620*[1]Sheet1!$D$7+[1]Sheet1!$L$7,IF(AND(OR(D620="S. acutus",D620="S. tabernaemontani"),G620&gt;0),E620*[1]Sheet1!$D$8+N620*[1]Sheet1!$E$8,IF(AND(D620="S. californicus",G620&gt;0),E620*[1]Sheet1!$D$9+N620*[1]Sheet1!$E$9,IF(D620="S.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latifolia"),E620&gt;0),F620*[1]Sheet1!$C$4+E620*[1]Sheet1!$D$4+H620*[1]Sheet1!$J$4+I620*[1]Sheet1!$K$4+[1]Sheet1!$L$4,IF(AND(OR(D620="T. domingensis",D620="T. latifolia"),J620&gt;0),J620*[1]Sheet1!$G$5+K620*[1]Sheet1!$H$5+L620*[1]Sheet1!$I$5+[1]Sheet1!$L$5,0)))))))</f>
        <v>2.0013140000000007</v>
      </c>
      <c r="P620">
        <f t="shared" si="22"/>
        <v>2.0013140000000007</v>
      </c>
      <c r="S620">
        <f t="shared" si="24"/>
        <v>1.9855634197500001</v>
      </c>
    </row>
    <row r="621" spans="1:19">
      <c r="A621" s="8">
        <v>42818</v>
      </c>
      <c r="B621" s="7" t="s">
        <v>54</v>
      </c>
      <c r="C621">
        <v>23</v>
      </c>
      <c r="D621" s="7" t="s">
        <v>62</v>
      </c>
      <c r="F621" s="7">
        <v>0.44</v>
      </c>
      <c r="J621">
        <f>13+36+44</f>
        <v>93</v>
      </c>
      <c r="K621">
        <v>3</v>
      </c>
      <c r="L621">
        <v>44</v>
      </c>
      <c r="O621">
        <f>IF(AND(OR(D621="S. acutus",D621="S. californicus",D621="S. tabernaemontani"),G621=0),E621*[1]Sheet1!$D$7+[1]Sheet1!$L$7,IF(AND(OR(D621="S. acutus",D621="S. tabernaemontani"),G621&gt;0),E621*[1]Sheet1!$D$8+N621*[1]Sheet1!$E$8,IF(AND(D621="S. californicus",G621&gt;0),E621*[1]Sheet1!$D$9+N621*[1]Sheet1!$E$9,IF(D621="S.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latifolia"),E621&gt;0),F621*[1]Sheet1!$C$4+E621*[1]Sheet1!$D$4+H621*[1]Sheet1!$J$4+I621*[1]Sheet1!$K$4+[1]Sheet1!$L$4,IF(AND(OR(D621="T. domingensis",D621="T. latifolia"),J621&gt;0),J621*[1]Sheet1!$G$5+K621*[1]Sheet1!$H$5+L621*[1]Sheet1!$I$5+[1]Sheet1!$L$5,0)))))))</f>
        <v>7.4343599999999981</v>
      </c>
      <c r="P621">
        <f t="shared" si="22"/>
        <v>7.4343599999999981</v>
      </c>
      <c r="S621">
        <f t="shared" si="24"/>
        <v>0.15205295599999999</v>
      </c>
    </row>
    <row r="622" spans="1:19">
      <c r="A622" s="8">
        <v>42818</v>
      </c>
      <c r="B622" s="7" t="s">
        <v>54</v>
      </c>
      <c r="C622">
        <v>23</v>
      </c>
      <c r="D622" s="7" t="s">
        <v>62</v>
      </c>
      <c r="F622" s="7">
        <v>1.65</v>
      </c>
      <c r="J622">
        <f>33+61+72+116+120+138</f>
        <v>540</v>
      </c>
      <c r="K622">
        <v>6</v>
      </c>
      <c r="L622">
        <v>138</v>
      </c>
      <c r="O622">
        <f>IF(AND(OR(D622="S. acutus",D622="S. californicus",D622="S. tabernaemontani"),G622=0),E622*[1]Sheet1!$D$7+[1]Sheet1!$L$7,IF(AND(OR(D622="S. acutus",D622="S. tabernaemontani"),G622&gt;0),E622*[1]Sheet1!$D$8+N622*[1]Sheet1!$E$8,IF(AND(D622="S. californicus",G622&gt;0),E622*[1]Sheet1!$D$9+N622*[1]Sheet1!$E$9,IF(D622="S.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latifolia"),E622&gt;0),F622*[1]Sheet1!$C$4+E622*[1]Sheet1!$D$4+H622*[1]Sheet1!$J$4+I622*[1]Sheet1!$K$4+[1]Sheet1!$L$4,IF(AND(OR(D622="T. domingensis",D622="T. latifolia"),J622&gt;0),J622*[1]Sheet1!$G$5+K622*[1]Sheet1!$H$5+L622*[1]Sheet1!$I$5+[1]Sheet1!$L$5,0)))))))</f>
        <v>-4.1243999999998948E-2</v>
      </c>
      <c r="P622" t="str">
        <f t="shared" si="22"/>
        <v xml:space="preserve"> </v>
      </c>
      <c r="S622">
        <f t="shared" si="24"/>
        <v>2.1382446937499995</v>
      </c>
    </row>
    <row r="623" spans="1:19">
      <c r="A623" s="8">
        <v>42818</v>
      </c>
      <c r="B623" s="7" t="s">
        <v>54</v>
      </c>
      <c r="C623">
        <v>23</v>
      </c>
      <c r="D623" s="7" t="s">
        <v>62</v>
      </c>
      <c r="F623" s="7">
        <v>0.87</v>
      </c>
      <c r="J623">
        <f>27+36+40</f>
        <v>103</v>
      </c>
      <c r="K623">
        <v>3</v>
      </c>
      <c r="L623">
        <v>40</v>
      </c>
      <c r="O623">
        <f>IF(AND(OR(D623="S. acutus",D623="S. californicus",D623="S. tabernaemontani"),G623=0),E623*[1]Sheet1!$D$7+[1]Sheet1!$L$7,IF(AND(OR(D623="S. acutus",D623="S. tabernaemontani"),G623&gt;0),E623*[1]Sheet1!$D$8+N623*[1]Sheet1!$E$8,IF(AND(D623="S. californicus",G623&gt;0),E623*[1]Sheet1!$D$9+N623*[1]Sheet1!$E$9,IF(D623="S.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latifolia"),E623&gt;0),F623*[1]Sheet1!$C$4+E623*[1]Sheet1!$D$4+H623*[1]Sheet1!$J$4+I623*[1]Sheet1!$K$4+[1]Sheet1!$L$4,IF(AND(OR(D623="T. domingensis",D623="T. latifolia"),J623&gt;0),J623*[1]Sheet1!$G$5+K623*[1]Sheet1!$H$5+L623*[1]Sheet1!$I$5+[1]Sheet1!$L$5,0)))))))</f>
        <v>9.5768899999999988</v>
      </c>
      <c r="P623">
        <f t="shared" si="22"/>
        <v>9.5768899999999988</v>
      </c>
      <c r="S623">
        <f t="shared" si="24"/>
        <v>0.59446736774999998</v>
      </c>
    </row>
    <row r="624" spans="1:19">
      <c r="A624" s="8">
        <v>42818</v>
      </c>
      <c r="B624" s="7" t="s">
        <v>54</v>
      </c>
      <c r="C624">
        <v>23</v>
      </c>
      <c r="D624" s="7" t="s">
        <v>62</v>
      </c>
      <c r="F624" s="7">
        <v>0.92</v>
      </c>
      <c r="H624" s="7"/>
      <c r="J624">
        <f>45+53+71+83</f>
        <v>252</v>
      </c>
      <c r="K624">
        <v>4</v>
      </c>
      <c r="L624">
        <v>83</v>
      </c>
      <c r="O624">
        <f>IF(AND(OR(D624="S. acutus",D624="S. californicus",D624="S. tabernaemontani"),G624=0),E624*[1]Sheet1!$D$7+[1]Sheet1!$L$7,IF(AND(OR(D624="S. acutus",D624="S. tabernaemontani"),G624&gt;0),E624*[1]Sheet1!$D$8+N624*[1]Sheet1!$E$8,IF(AND(D624="S. californicus",G624&gt;0),E624*[1]Sheet1!$D$9+N624*[1]Sheet1!$E$9,IF(D624="S.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latifolia"),E624&gt;0),F624*[1]Sheet1!$C$4+E624*[1]Sheet1!$D$4+H624*[1]Sheet1!$J$4+I624*[1]Sheet1!$K$4+[1]Sheet1!$L$4,IF(AND(OR(D624="T. domingensis",D624="T. latifolia"),J624&gt;0),J624*[1]Sheet1!$G$5+K624*[1]Sheet1!$H$5+L624*[1]Sheet1!$I$5+[1]Sheet1!$L$5,0)))))))</f>
        <v>3.5704969999999996</v>
      </c>
      <c r="P624">
        <f t="shared" si="22"/>
        <v>3.5704969999999996</v>
      </c>
      <c r="S624">
        <f t="shared" si="24"/>
        <v>0.66476044400000001</v>
      </c>
    </row>
    <row r="625" spans="1:19">
      <c r="A625" s="8">
        <v>42818</v>
      </c>
      <c r="B625" s="7" t="s">
        <v>54</v>
      </c>
      <c r="C625">
        <v>23</v>
      </c>
      <c r="D625" s="7" t="s">
        <v>62</v>
      </c>
      <c r="F625" s="7">
        <v>1.48</v>
      </c>
      <c r="J625">
        <f>33+65+97+107+108+120</f>
        <v>530</v>
      </c>
      <c r="K625">
        <v>6</v>
      </c>
      <c r="L625">
        <v>120</v>
      </c>
      <c r="O625">
        <f>IF(AND(OR(D625="S. acutus",D625="S. californicus",D625="S. tabernaemontani"),G625=0),E625*[1]Sheet1!$D$7+[1]Sheet1!$L$7,IF(AND(OR(D625="S. acutus",D625="S. tabernaemontani"),G625&gt;0),E625*[1]Sheet1!$D$8+N625*[1]Sheet1!$E$8,IF(AND(D625="S. californicus",G625&gt;0),E625*[1]Sheet1!$D$9+N625*[1]Sheet1!$E$9,IF(D625="S.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latifolia"),E625&gt;0),F625*[1]Sheet1!$C$4+E625*[1]Sheet1!$D$4+H625*[1]Sheet1!$J$4+I625*[1]Sheet1!$K$4+[1]Sheet1!$L$4,IF(AND(OR(D625="T. domingensis",D625="T. latifolia"),J625&gt;0),J625*[1]Sheet1!$G$5+K625*[1]Sheet1!$H$5+L625*[1]Sheet1!$I$5+[1]Sheet1!$L$5,0)))))))</f>
        <v>4.4436159999999987</v>
      </c>
      <c r="P625">
        <f t="shared" si="22"/>
        <v>4.4436159999999987</v>
      </c>
      <c r="S625">
        <f t="shared" si="24"/>
        <v>1.7203346839999998</v>
      </c>
    </row>
    <row r="626" spans="1:19">
      <c r="A626" s="8">
        <v>42818</v>
      </c>
      <c r="B626" s="7" t="s">
        <v>54</v>
      </c>
      <c r="C626">
        <v>23</v>
      </c>
      <c r="D626" s="7" t="s">
        <v>62</v>
      </c>
      <c r="F626" s="7">
        <v>1.76</v>
      </c>
      <c r="J626">
        <f>56+84+122+116+133+141</f>
        <v>652</v>
      </c>
      <c r="K626">
        <v>6</v>
      </c>
      <c r="L626">
        <v>141</v>
      </c>
      <c r="O626">
        <f>IF(AND(OR(D626="S. acutus",D626="S. californicus",D626="S. tabernaemontani"),G626=0),E626*[1]Sheet1!$D$7+[1]Sheet1!$L$7,IF(AND(OR(D626="S. acutus",D626="S. tabernaemontani"),G626&gt;0),E626*[1]Sheet1!$D$8+N626*[1]Sheet1!$E$8,IF(AND(D626="S. californicus",G626&gt;0),E626*[1]Sheet1!$D$9+N626*[1]Sheet1!$E$9,IF(D626="S.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latifolia"),E626&gt;0),F626*[1]Sheet1!$C$4+E626*[1]Sheet1!$D$4+H626*[1]Sheet1!$J$4+I626*[1]Sheet1!$K$4+[1]Sheet1!$L$4,IF(AND(OR(D626="T. domingensis",D626="T. latifolia"),J626&gt;0),J626*[1]Sheet1!$G$5+K626*[1]Sheet1!$H$5+L626*[1]Sheet1!$I$5+[1]Sheet1!$L$5,0)))))))</f>
        <v>9.5555810000000037</v>
      </c>
      <c r="P626">
        <f t="shared" si="22"/>
        <v>9.5555810000000037</v>
      </c>
      <c r="S626">
        <f t="shared" si="24"/>
        <v>2.4328472959999998</v>
      </c>
    </row>
    <row r="627" spans="1:19">
      <c r="A627" s="8">
        <v>42818</v>
      </c>
      <c r="B627" s="7" t="s">
        <v>54</v>
      </c>
      <c r="C627">
        <v>23</v>
      </c>
      <c r="D627" s="7" t="s">
        <v>62</v>
      </c>
      <c r="F627" s="7">
        <v>1.55</v>
      </c>
      <c r="J627">
        <f>42+69+71+91+112+115</f>
        <v>500</v>
      </c>
      <c r="K627">
        <v>6</v>
      </c>
      <c r="L627">
        <v>115</v>
      </c>
      <c r="O627">
        <f>IF(AND(OR(D627="S. acutus",D627="S. californicus",D627="S. tabernaemontani"),G627=0),E627*[1]Sheet1!$D$7+[1]Sheet1!$L$7,IF(AND(OR(D627="S. acutus",D627="S. tabernaemontani"),G627&gt;0),E627*[1]Sheet1!$D$8+N627*[1]Sheet1!$E$8,IF(AND(D627="S. californicus",G627&gt;0),E627*[1]Sheet1!$D$9+N627*[1]Sheet1!$E$9,IF(D627="S.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latifolia"),E627&gt;0),F627*[1]Sheet1!$C$4+E627*[1]Sheet1!$D$4+H627*[1]Sheet1!$J$4+I627*[1]Sheet1!$K$4+[1]Sheet1!$L$4,IF(AND(OR(D627="T. domingensis",D627="T. latifolia"),J627&gt;0),J627*[1]Sheet1!$G$5+K627*[1]Sheet1!$H$5+L627*[1]Sheet1!$I$5+[1]Sheet1!$L$5,0)))))))</f>
        <v>3.1371910000000014</v>
      </c>
      <c r="P627">
        <f t="shared" si="22"/>
        <v>3.1371910000000014</v>
      </c>
      <c r="S627">
        <f t="shared" si="24"/>
        <v>1.8869174937500002</v>
      </c>
    </row>
    <row r="628" spans="1:19">
      <c r="A628" s="8">
        <v>42818</v>
      </c>
      <c r="B628" s="7" t="s">
        <v>54</v>
      </c>
      <c r="C628" s="7">
        <v>20</v>
      </c>
      <c r="D628" s="7" t="s">
        <v>62</v>
      </c>
      <c r="F628" s="7">
        <v>1.1299999999999999</v>
      </c>
      <c r="J628">
        <f>43+46+65+76+96</f>
        <v>326</v>
      </c>
      <c r="K628">
        <v>5</v>
      </c>
      <c r="L628">
        <v>96</v>
      </c>
      <c r="O628">
        <f>IF(AND(OR(D628="S. acutus",D628="S. californicus",D628="S. tabernaemontani"),G628=0),E628*[1]Sheet1!$D$7+[1]Sheet1!$L$7,IF(AND(OR(D628="S. acutus",D628="S. tabernaemontani"),G628&gt;0),E628*[1]Sheet1!$D$8+N628*[1]Sheet1!$E$8,IF(AND(D628="S. californicus",G628&gt;0),E628*[1]Sheet1!$D$9+N628*[1]Sheet1!$E$9,IF(D628="S.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latifolia"),E628&gt;0),F628*[1]Sheet1!$C$4+E628*[1]Sheet1!$D$4+H628*[1]Sheet1!$J$4+I628*[1]Sheet1!$K$4+[1]Sheet1!$L$4,IF(AND(OR(D628="T. domingensis",D628="T. latifolia"),J628&gt;0),J628*[1]Sheet1!$G$5+K628*[1]Sheet1!$H$5+L628*[1]Sheet1!$I$5+[1]Sheet1!$L$5,0)))))))</f>
        <v>-0.43017099999999431</v>
      </c>
      <c r="P628" t="str">
        <f t="shared" si="22"/>
        <v xml:space="preserve"> </v>
      </c>
      <c r="S628">
        <f t="shared" si="24"/>
        <v>1.0028740677499997</v>
      </c>
    </row>
    <row r="629" spans="1:19">
      <c r="A629" s="8">
        <v>42818</v>
      </c>
      <c r="B629" s="7" t="s">
        <v>54</v>
      </c>
      <c r="C629" s="7">
        <v>20</v>
      </c>
      <c r="D629" s="7" t="s">
        <v>62</v>
      </c>
      <c r="F629" s="7">
        <v>1.21</v>
      </c>
      <c r="J629">
        <f>29+33+34</f>
        <v>96</v>
      </c>
      <c r="K629">
        <v>3</v>
      </c>
      <c r="L629">
        <v>34</v>
      </c>
      <c r="O629">
        <f>IF(AND(OR(D629="S. acutus",D629="S. californicus",D629="S. tabernaemontani"),G629=0),E629*[1]Sheet1!$D$7+[1]Sheet1!$L$7,IF(AND(OR(D629="S. acutus",D629="S. tabernaemontani"),G629&gt;0),E629*[1]Sheet1!$D$8+N629*[1]Sheet1!$E$8,IF(AND(D629="S. californicus",G629&gt;0),E629*[1]Sheet1!$D$9+N629*[1]Sheet1!$E$9,IF(D629="S.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latifolia"),E629&gt;0),F629*[1]Sheet1!$C$4+E629*[1]Sheet1!$D$4+H629*[1]Sheet1!$J$4+I629*[1]Sheet1!$K$4+[1]Sheet1!$L$4,IF(AND(OR(D629="T. domingensis",D629="T. latifolia"),J629&gt;0),J629*[1]Sheet1!$G$5+K629*[1]Sheet1!$H$5+L629*[1]Sheet1!$I$5+[1]Sheet1!$L$5,0)))))))</f>
        <v>10.728074999999997</v>
      </c>
      <c r="P629">
        <f t="shared" si="22"/>
        <v>10.728074999999997</v>
      </c>
      <c r="S629">
        <f t="shared" si="24"/>
        <v>1.1499004797499999</v>
      </c>
    </row>
    <row r="630" spans="1:19">
      <c r="A630" s="8">
        <v>42818</v>
      </c>
      <c r="B630" s="7" t="s">
        <v>54</v>
      </c>
      <c r="C630" s="7">
        <v>20</v>
      </c>
      <c r="D630" s="7" t="s">
        <v>62</v>
      </c>
      <c r="F630" s="7">
        <v>0.84</v>
      </c>
      <c r="J630">
        <f>21+22+17</f>
        <v>60</v>
      </c>
      <c r="K630">
        <v>3</v>
      </c>
      <c r="L630">
        <v>22</v>
      </c>
      <c r="O630">
        <f>IF(AND(OR(D630="S. acutus",D630="S. californicus",D630="S. tabernaemontani"),G630=0),E630*[1]Sheet1!$D$7+[1]Sheet1!$L$7,IF(AND(OR(D630="S. acutus",D630="S. tabernaemontani"),G630&gt;0),E630*[1]Sheet1!$D$8+N630*[1]Sheet1!$E$8,IF(AND(D630="S. californicus",G630&gt;0),E630*[1]Sheet1!$D$9+N630*[1]Sheet1!$E$9,IF(D630="S.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latifolia"),E630&gt;0),F630*[1]Sheet1!$C$4+E630*[1]Sheet1!$D$4+H630*[1]Sheet1!$J$4+I630*[1]Sheet1!$K$4+[1]Sheet1!$L$4,IF(AND(OR(D630="T. domingensis",D630="T. latifolia"),J630&gt;0),J630*[1]Sheet1!$G$5+K630*[1]Sheet1!$H$5+L630*[1]Sheet1!$I$5+[1]Sheet1!$L$5,0)))))))</f>
        <v>10.967834999999994</v>
      </c>
      <c r="P630">
        <f t="shared" si="22"/>
        <v>10.967834999999994</v>
      </c>
      <c r="S630">
        <f t="shared" si="24"/>
        <v>0.55417647599999986</v>
      </c>
    </row>
    <row r="631" spans="1:19">
      <c r="A631" s="8">
        <v>42818</v>
      </c>
      <c r="B631" s="7" t="s">
        <v>54</v>
      </c>
      <c r="C631" s="7">
        <v>20</v>
      </c>
      <c r="D631" s="7" t="s">
        <v>62</v>
      </c>
      <c r="F631" s="7">
        <v>1.0900000000000001</v>
      </c>
      <c r="J631">
        <f>26+51+61+62</f>
        <v>200</v>
      </c>
      <c r="K631">
        <v>4</v>
      </c>
      <c r="L631">
        <v>62</v>
      </c>
      <c r="O631">
        <f>IF(AND(OR(D631="S. acutus",D631="S. californicus",D631="S. tabernaemontani"),G631=0),E631*[1]Sheet1!$D$7+[1]Sheet1!$L$7,IF(AND(OR(D631="S. acutus",D631="S. tabernaemontani"),G631&gt;0),E631*[1]Sheet1!$D$8+N631*[1]Sheet1!$E$8,IF(AND(D631="S. californicus",G631&gt;0),E631*[1]Sheet1!$D$9+N631*[1]Sheet1!$E$9,IF(D631="S.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latifolia"),E631&gt;0),F631*[1]Sheet1!$C$4+E631*[1]Sheet1!$D$4+H631*[1]Sheet1!$J$4+I631*[1]Sheet1!$K$4+[1]Sheet1!$L$4,IF(AND(OR(D631="T. domingensis",D631="T. latifolia"),J631&gt;0),J631*[1]Sheet1!$G$5+K631*[1]Sheet1!$H$5+L631*[1]Sheet1!$I$5+[1]Sheet1!$L$5,0)))))))</f>
        <v>5.0213819999999991</v>
      </c>
      <c r="P631">
        <f t="shared" si="22"/>
        <v>5.0213819999999991</v>
      </c>
      <c r="S631">
        <f t="shared" si="24"/>
        <v>0.93313076975000009</v>
      </c>
    </row>
    <row r="632" spans="1:19">
      <c r="A632" s="8">
        <v>42818</v>
      </c>
      <c r="B632" s="7" t="s">
        <v>54</v>
      </c>
      <c r="C632" s="7">
        <v>20</v>
      </c>
      <c r="D632" s="7" t="s">
        <v>62</v>
      </c>
      <c r="F632" s="7">
        <v>1.22</v>
      </c>
      <c r="J632">
        <f>36+88+98+104</f>
        <v>326</v>
      </c>
      <c r="K632">
        <v>4</v>
      </c>
      <c r="L632">
        <v>104</v>
      </c>
      <c r="O632">
        <f>IF(AND(OR(D632="S. acutus",D632="S. californicus",D632="S. tabernaemontani"),G632=0),E632*[1]Sheet1!$D$7+[1]Sheet1!$L$7,IF(AND(OR(D632="S. acutus",D632="S. tabernaemontani"),G632&gt;0),E632*[1]Sheet1!$D$8+N632*[1]Sheet1!$E$8,IF(AND(D632="S. californicus",G632&gt;0),E632*[1]Sheet1!$D$9+N632*[1]Sheet1!$E$9,IF(D632="S.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latifolia"),E632&gt;0),F632*[1]Sheet1!$C$4+E632*[1]Sheet1!$D$4+H632*[1]Sheet1!$J$4+I632*[1]Sheet1!$K$4+[1]Sheet1!$L$4,IF(AND(OR(D632="T. domingensis",D632="T. latifolia"),J632&gt;0),J632*[1]Sheet1!$G$5+K632*[1]Sheet1!$H$5+L632*[1]Sheet1!$I$5+[1]Sheet1!$L$5,0)))))))</f>
        <v>4.182222000000003</v>
      </c>
      <c r="P632">
        <f t="shared" si="22"/>
        <v>4.182222000000003</v>
      </c>
      <c r="S632">
        <f t="shared" si="24"/>
        <v>1.168985639</v>
      </c>
    </row>
    <row r="633" spans="1:19">
      <c r="A633" s="8">
        <v>42818</v>
      </c>
      <c r="B633" s="7" t="s">
        <v>54</v>
      </c>
      <c r="C633" s="7">
        <v>20</v>
      </c>
      <c r="D633" s="7" t="s">
        <v>62</v>
      </c>
      <c r="F633" s="7">
        <v>1.84</v>
      </c>
      <c r="J633">
        <f>121+133</f>
        <v>254</v>
      </c>
      <c r="K633">
        <v>2</v>
      </c>
      <c r="L633">
        <v>133</v>
      </c>
      <c r="O633">
        <f>IF(AND(OR(D633="S. acutus",D633="S. californicus",D633="S. tabernaemontani"),G633=0),E633*[1]Sheet1!$D$7+[1]Sheet1!$L$7,IF(AND(OR(D633="S. acutus",D633="S. tabernaemontani"),G633&gt;0),E633*[1]Sheet1!$D$8+N633*[1]Sheet1!$E$8,IF(AND(D633="S. californicus",G633&gt;0),E633*[1]Sheet1!$D$9+N633*[1]Sheet1!$E$9,IF(D633="S.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latifolia"),E633&gt;0),F633*[1]Sheet1!$C$4+E633*[1]Sheet1!$D$4+H633*[1]Sheet1!$J$4+I633*[1]Sheet1!$K$4+[1]Sheet1!$L$4,IF(AND(OR(D633="T. domingensis",D633="T. latifolia"),J633&gt;0),J633*[1]Sheet1!$G$5+K633*[1]Sheet1!$H$5+L633*[1]Sheet1!$I$5+[1]Sheet1!$L$5,0)))))))</f>
        <v>2.7404629999999983</v>
      </c>
      <c r="P633">
        <f t="shared" si="22"/>
        <v>2.7404629999999983</v>
      </c>
      <c r="S633">
        <f t="shared" si="24"/>
        <v>2.659041776</v>
      </c>
    </row>
    <row r="634" spans="1:19">
      <c r="A634" s="8">
        <v>42818</v>
      </c>
      <c r="B634" s="7" t="s">
        <v>54</v>
      </c>
      <c r="C634" s="7">
        <v>20</v>
      </c>
      <c r="D634" s="7" t="s">
        <v>62</v>
      </c>
      <c r="F634" s="7">
        <v>0.79</v>
      </c>
      <c r="J634">
        <f>56+63+77</f>
        <v>196</v>
      </c>
      <c r="K634">
        <v>3</v>
      </c>
      <c r="L634">
        <v>77</v>
      </c>
      <c r="O634">
        <f>IF(AND(OR(D634="S. acutus",D634="S. californicus",D634="S. tabernaemontani"),G634=0),E634*[1]Sheet1!$D$7+[1]Sheet1!$L$7,IF(AND(OR(D634="S. acutus",D634="S. tabernaemontani"),G634&gt;0),E634*[1]Sheet1!$D$8+N634*[1]Sheet1!$E$8,IF(AND(D634="S. californicus",G634&gt;0),E634*[1]Sheet1!$D$9+N634*[1]Sheet1!$E$9,IF(D634="S.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latifolia"),E634&gt;0),F634*[1]Sheet1!$C$4+E634*[1]Sheet1!$D$4+H634*[1]Sheet1!$J$4+I634*[1]Sheet1!$K$4+[1]Sheet1!$L$4,IF(AND(OR(D634="T. domingensis",D634="T. latifolia"),J634&gt;0),J634*[1]Sheet1!$G$5+K634*[1]Sheet1!$H$5+L634*[1]Sheet1!$I$5+[1]Sheet1!$L$5,0)))))))</f>
        <v>7.1500400000000006</v>
      </c>
      <c r="P634">
        <f t="shared" si="22"/>
        <v>7.1500400000000006</v>
      </c>
      <c r="S634">
        <f t="shared" si="24"/>
        <v>0.49016657975000005</v>
      </c>
    </row>
    <row r="635" spans="1:19">
      <c r="A635" s="8">
        <v>42818</v>
      </c>
      <c r="B635" s="7" t="s">
        <v>54</v>
      </c>
      <c r="C635" s="7">
        <v>20</v>
      </c>
      <c r="D635" s="7" t="s">
        <v>62</v>
      </c>
      <c r="F635" s="7">
        <v>1.2</v>
      </c>
      <c r="G635" s="7"/>
      <c r="H635" s="7"/>
      <c r="I635" s="7"/>
      <c r="J635">
        <f>52+53+88+107+116</f>
        <v>416</v>
      </c>
      <c r="K635">
        <v>5</v>
      </c>
      <c r="L635">
        <v>116</v>
      </c>
      <c r="O635">
        <f>IF(AND(OR(D635="S. acutus",D635="S. californicus",D635="S. tabernaemontani"),G635=0),E635*[1]Sheet1!$D$7+[1]Sheet1!$L$7,IF(AND(OR(D635="S. acutus",D635="S. tabernaemontani"),G635&gt;0),E635*[1]Sheet1!$D$8+N635*[1]Sheet1!$E$8,IF(AND(D635="S. californicus",G635&gt;0),E635*[1]Sheet1!$D$9+N635*[1]Sheet1!$E$9,IF(D635="S.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latifolia"),E635&gt;0),F635*[1]Sheet1!$C$4+E635*[1]Sheet1!$D$4+H635*[1]Sheet1!$J$4+I635*[1]Sheet1!$K$4+[1]Sheet1!$L$4,IF(AND(OR(D635="T. domingensis",D635="T. latifolia"),J635&gt;0),J635*[1]Sheet1!$G$5+K635*[1]Sheet1!$H$5+L635*[1]Sheet1!$I$5+[1]Sheet1!$L$5,0)))))))</f>
        <v>1.9828789999999969</v>
      </c>
      <c r="P635">
        <f t="shared" si="22"/>
        <v>1.9828789999999969</v>
      </c>
      <c r="S635">
        <f t="shared" si="24"/>
        <v>1.1309723999999999</v>
      </c>
    </row>
    <row r="636" spans="1:19">
      <c r="A636" s="8">
        <v>42818</v>
      </c>
      <c r="B636" s="7" t="s">
        <v>54</v>
      </c>
      <c r="C636" s="7">
        <v>20</v>
      </c>
      <c r="D636" s="7" t="s">
        <v>62</v>
      </c>
      <c r="F636" s="7">
        <v>1.61</v>
      </c>
      <c r="G636" s="7"/>
      <c r="J636">
        <f>82+134+161+170</f>
        <v>547</v>
      </c>
      <c r="K636">
        <v>4</v>
      </c>
      <c r="L636">
        <v>170</v>
      </c>
      <c r="O636">
        <f>IF(AND(OR(D636="S. acutus",D636="S. californicus",D636="S. tabernaemontani"),G636=0),E636*[1]Sheet1!$D$7+[1]Sheet1!$L$7,IF(AND(OR(D636="S. acutus",D636="S. tabernaemontani"),G636&gt;0),E636*[1]Sheet1!$D$8+N636*[1]Sheet1!$E$8,IF(AND(D636="S. californicus",G636&gt;0),E636*[1]Sheet1!$D$9+N636*[1]Sheet1!$E$9,IF(D636="S.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latifolia"),E636&gt;0),F636*[1]Sheet1!$C$4+E636*[1]Sheet1!$D$4+H636*[1]Sheet1!$J$4+I636*[1]Sheet1!$K$4+[1]Sheet1!$L$4,IF(AND(OR(D636="T. domingensis",D636="T. latifolia"),J636&gt;0),J636*[1]Sheet1!$G$5+K636*[1]Sheet1!$H$5+L636*[1]Sheet1!$I$5+[1]Sheet1!$L$5,0)))))))</f>
        <v>5.0199069999999999</v>
      </c>
      <c r="P636">
        <f t="shared" si="22"/>
        <v>5.0199069999999999</v>
      </c>
      <c r="S636">
        <f t="shared" si="24"/>
        <v>2.0358288597500001</v>
      </c>
    </row>
    <row r="637" spans="1:19">
      <c r="A637" s="8">
        <v>42818</v>
      </c>
      <c r="B637" s="7" t="s">
        <v>54</v>
      </c>
      <c r="C637" s="7">
        <v>20</v>
      </c>
      <c r="D637" s="7" t="s">
        <v>62</v>
      </c>
      <c r="F637" s="7">
        <v>1.47</v>
      </c>
      <c r="J637">
        <f>59+74+110+138+141</f>
        <v>522</v>
      </c>
      <c r="K637">
        <v>5</v>
      </c>
      <c r="L637">
        <v>141</v>
      </c>
      <c r="O637">
        <f>IF(AND(OR(D637="S. acutus",D637="S. californicus",D637="S. tabernaemontani"),G637=0),E637*[1]Sheet1!$D$7+[1]Sheet1!$L$7,IF(AND(OR(D637="S. acutus",D637="S. tabernaemontani"),G637&gt;0),E637*[1]Sheet1!$D$8+N637*[1]Sheet1!$E$8,IF(AND(D637="S. californicus",G637&gt;0),E637*[1]Sheet1!$D$9+N637*[1]Sheet1!$E$9,IF(D637="S.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latifolia"),E637&gt;0),F637*[1]Sheet1!$C$4+E637*[1]Sheet1!$D$4+H637*[1]Sheet1!$J$4+I637*[1]Sheet1!$K$4+[1]Sheet1!$L$4,IF(AND(OR(D637="T. domingensis",D637="T. latifolia"),J637&gt;0),J637*[1]Sheet1!$G$5+K637*[1]Sheet1!$H$5+L637*[1]Sheet1!$I$5+[1]Sheet1!$L$5,0)))))))</f>
        <v>4.3897840000000059</v>
      </c>
      <c r="P637">
        <f t="shared" ref="P637:P688" si="25">IF(O637&lt;0," ",O637)</f>
        <v>4.3897840000000059</v>
      </c>
      <c r="S637">
        <f t="shared" si="24"/>
        <v>1.6971654577499997</v>
      </c>
    </row>
    <row r="638" spans="1:19">
      <c r="A638" s="8">
        <v>42818</v>
      </c>
      <c r="B638" s="7" t="s">
        <v>54</v>
      </c>
      <c r="C638" s="7">
        <v>20</v>
      </c>
      <c r="D638" s="7" t="s">
        <v>62</v>
      </c>
      <c r="F638" s="7">
        <v>0.79</v>
      </c>
      <c r="G638" s="7"/>
      <c r="J638">
        <f>59+78+89</f>
        <v>226</v>
      </c>
      <c r="K638">
        <v>3</v>
      </c>
      <c r="L638">
        <v>89</v>
      </c>
      <c r="O638">
        <f>IF(AND(OR(D638="S. acutus",D638="S. californicus",D638="S. tabernaemontani"),G638=0),E638*[1]Sheet1!$D$7+[1]Sheet1!$L$7,IF(AND(OR(D638="S. acutus",D638="S. tabernaemontani"),G638&gt;0),E638*[1]Sheet1!$D$8+N638*[1]Sheet1!$E$8,IF(AND(D638="S. californicus",G638&gt;0),E638*[1]Sheet1!$D$9+N638*[1]Sheet1!$E$9,IF(D638="S.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latifolia"),E638&gt;0),F638*[1]Sheet1!$C$4+E638*[1]Sheet1!$D$4+H638*[1]Sheet1!$J$4+I638*[1]Sheet1!$K$4+[1]Sheet1!$L$4,IF(AND(OR(D638="T. domingensis",D638="T. latifolia"),J638&gt;0),J638*[1]Sheet1!$G$5+K638*[1]Sheet1!$H$5+L638*[1]Sheet1!$I$5+[1]Sheet1!$L$5,0)))))))</f>
        <v>6.3477499999999978</v>
      </c>
      <c r="P638">
        <f t="shared" si="25"/>
        <v>6.3477499999999978</v>
      </c>
      <c r="S638">
        <f t="shared" ref="S638:S669" si="26">3.14159*((F638/2)^2)</f>
        <v>0.49016657975000005</v>
      </c>
    </row>
    <row r="639" spans="1:19">
      <c r="A639" s="8">
        <v>42818</v>
      </c>
      <c r="B639" s="7" t="s">
        <v>54</v>
      </c>
      <c r="C639" s="7">
        <v>20</v>
      </c>
      <c r="D639" s="7" t="s">
        <v>62</v>
      </c>
      <c r="F639" s="7">
        <v>0.77</v>
      </c>
      <c r="G639" s="7"/>
      <c r="J639">
        <f>35+54+61</f>
        <v>150</v>
      </c>
      <c r="K639">
        <v>3</v>
      </c>
      <c r="L639">
        <v>61</v>
      </c>
      <c r="O639">
        <f>IF(AND(OR(D639="S. acutus",D639="S. californicus",D639="S. tabernaemontani"),G639=0),E639*[1]Sheet1!$D$7+[1]Sheet1!$L$7,IF(AND(OR(D639="S. acutus",D639="S. tabernaemontani"),G639&gt;0),E639*[1]Sheet1!$D$8+N639*[1]Sheet1!$E$8,IF(AND(D639="S. californicus",G639&gt;0),E639*[1]Sheet1!$D$9+N639*[1]Sheet1!$E$9,IF(D639="S.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latifolia"),E639&gt;0),F639*[1]Sheet1!$C$4+E639*[1]Sheet1!$D$4+H639*[1]Sheet1!$J$4+I639*[1]Sheet1!$K$4+[1]Sheet1!$L$4,IF(AND(OR(D639="T. domingensis",D639="T. latifolia"),J639&gt;0),J639*[1]Sheet1!$G$5+K639*[1]Sheet1!$H$5+L639*[1]Sheet1!$I$5+[1]Sheet1!$L$5,0)))))))</f>
        <v>7.6572299999999984</v>
      </c>
      <c r="P639">
        <f t="shared" si="25"/>
        <v>7.6572299999999984</v>
      </c>
      <c r="S639">
        <f t="shared" si="26"/>
        <v>0.46566217774999996</v>
      </c>
    </row>
    <row r="640" spans="1:19">
      <c r="A640" s="8">
        <v>42818</v>
      </c>
      <c r="B640" s="7" t="s">
        <v>54</v>
      </c>
      <c r="C640" s="7">
        <v>20</v>
      </c>
      <c r="D640" s="7" t="s">
        <v>62</v>
      </c>
      <c r="F640" s="7">
        <v>1.28</v>
      </c>
      <c r="G640" s="7"/>
      <c r="J640">
        <f>54+81+111+116</f>
        <v>362</v>
      </c>
      <c r="K640">
        <v>4</v>
      </c>
      <c r="L640">
        <v>116</v>
      </c>
      <c r="O640">
        <f>IF(AND(OR(D640="S. acutus",D640="S. californicus",D640="S. tabernaemontani"),G640=0),E640*[1]Sheet1!$D$7+[1]Sheet1!$L$7,IF(AND(OR(D640="S. acutus",D640="S. tabernaemontani"),G640&gt;0),E640*[1]Sheet1!$D$8+N640*[1]Sheet1!$E$8,IF(AND(D640="S. californicus",G640&gt;0),E640*[1]Sheet1!$D$9+N640*[1]Sheet1!$E$9,IF(D640="S.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latifolia"),E640&gt;0),F640*[1]Sheet1!$C$4+E640*[1]Sheet1!$D$4+H640*[1]Sheet1!$J$4+I640*[1]Sheet1!$K$4+[1]Sheet1!$L$4,IF(AND(OR(D640="T. domingensis",D640="T. latifolia"),J640&gt;0),J640*[1]Sheet1!$G$5+K640*[1]Sheet1!$H$5+L640*[1]Sheet1!$I$5+[1]Sheet1!$L$5,0)))))))</f>
        <v>3.9424619999999955</v>
      </c>
      <c r="P640">
        <f t="shared" si="25"/>
        <v>3.9424619999999955</v>
      </c>
      <c r="S640">
        <f t="shared" si="26"/>
        <v>1.286795264</v>
      </c>
    </row>
    <row r="641" spans="1:19">
      <c r="A641" s="8">
        <v>42818</v>
      </c>
      <c r="B641" s="7" t="s">
        <v>54</v>
      </c>
      <c r="C641">
        <v>6</v>
      </c>
      <c r="D641" s="7" t="s">
        <v>60</v>
      </c>
      <c r="E641">
        <v>68</v>
      </c>
      <c r="F641" s="7">
        <v>1.57</v>
      </c>
      <c r="G641" s="7"/>
      <c r="I641" s="7"/>
      <c r="O641">
        <f>IF(AND(OR(D641="S. acutus",D641="S. californicus",D641="S. tabernaemontani"),G641=0),E641*[1]Sheet1!$D$7+[1]Sheet1!$L$7,IF(AND(OR(D641="S. acutus",D641="S. tabernaemontani"),G641&gt;0),E641*[1]Sheet1!$D$8+N641*[1]Sheet1!$E$8,IF(AND(D641="S. californicus",G641&gt;0),E641*[1]Sheet1!$D$9+N641*[1]Sheet1!$E$9,IF(D641="S.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latifolia"),E641&gt;0),F641*[1]Sheet1!$C$4+E641*[1]Sheet1!$D$4+H641*[1]Sheet1!$J$4+I641*[1]Sheet1!$K$4+[1]Sheet1!$L$4,IF(AND(OR(D641="T. domingensis",D641="T. latifolia"),J641&gt;0),J641*[1]Sheet1!$G$5+K641*[1]Sheet1!$H$5+L641*[1]Sheet1!$I$5+[1]Sheet1!$L$5,0)))))))</f>
        <v>0.17654300000000056</v>
      </c>
      <c r="P641">
        <f t="shared" si="25"/>
        <v>0.17654300000000056</v>
      </c>
      <c r="S641">
        <f t="shared" si="26"/>
        <v>1.93592629775</v>
      </c>
    </row>
    <row r="642" spans="1:19">
      <c r="A642" s="8">
        <v>42818</v>
      </c>
      <c r="B642" s="7" t="s">
        <v>54</v>
      </c>
      <c r="C642">
        <v>6</v>
      </c>
      <c r="D642" s="7" t="s">
        <v>60</v>
      </c>
      <c r="E642">
        <v>98</v>
      </c>
      <c r="F642" s="7">
        <v>1.69</v>
      </c>
      <c r="G642" s="7"/>
      <c r="I642" s="7"/>
      <c r="O642">
        <f>IF(AND(OR(D642="S. acutus",D642="S. californicus",D642="S. tabernaemontani"),G642=0),E642*[1]Sheet1!$D$7+[1]Sheet1!$L$7,IF(AND(OR(D642="S. acutus",D642="S. tabernaemontani"),G642&gt;0),E642*[1]Sheet1!$D$8+N642*[1]Sheet1!$E$8,IF(AND(D642="S. californicus",G642&gt;0),E642*[1]Sheet1!$D$9+N642*[1]Sheet1!$E$9,IF(D642="S.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latifolia"),E642&gt;0),F642*[1]Sheet1!$C$4+E642*[1]Sheet1!$D$4+H642*[1]Sheet1!$J$4+I642*[1]Sheet1!$K$4+[1]Sheet1!$L$4,IF(AND(OR(D642="T. domingensis",D642="T. latifolia"),J642&gt;0),J642*[1]Sheet1!$G$5+K642*[1]Sheet1!$H$5+L642*[1]Sheet1!$I$5+[1]Sheet1!$L$5,0)))))))</f>
        <v>2.279693</v>
      </c>
      <c r="P642">
        <f t="shared" si="25"/>
        <v>2.279693</v>
      </c>
      <c r="S642">
        <f t="shared" si="26"/>
        <v>2.2431737997499996</v>
      </c>
    </row>
    <row r="643" spans="1:19">
      <c r="A643" s="8">
        <v>42818</v>
      </c>
      <c r="B643" s="7" t="s">
        <v>54</v>
      </c>
      <c r="C643">
        <v>6</v>
      </c>
      <c r="D643" s="7" t="s">
        <v>62</v>
      </c>
      <c r="F643" s="7">
        <v>2.0499999999999998</v>
      </c>
      <c r="J643">
        <f>19+81+87+110+133+134</f>
        <v>564</v>
      </c>
      <c r="K643">
        <v>6</v>
      </c>
      <c r="L643">
        <v>134</v>
      </c>
      <c r="O643">
        <f>IF(AND(OR(D643="S. acutus",D643="S. californicus",D643="S. tabernaemontani"),G643=0),E643*[1]Sheet1!$D$7+[1]Sheet1!$L$7,IF(AND(OR(D643="S. acutus",D643="S. tabernaemontani"),G643&gt;0),E643*[1]Sheet1!$D$8+N643*[1]Sheet1!$E$8,IF(AND(D643="S. californicus",G643&gt;0),E643*[1]Sheet1!$D$9+N643*[1]Sheet1!$E$9,IF(D643="S.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latifolia"),E643&gt;0),F643*[1]Sheet1!$C$4+E643*[1]Sheet1!$D$4+H643*[1]Sheet1!$J$4+I643*[1]Sheet1!$K$4+[1]Sheet1!$L$4,IF(AND(OR(D643="T. domingensis",D643="T. latifolia"),J643&gt;0),J643*[1]Sheet1!$G$5+K643*[1]Sheet1!$H$5+L643*[1]Sheet1!$I$5+[1]Sheet1!$L$5,0)))))))</f>
        <v>3.4138559999999956</v>
      </c>
      <c r="P643">
        <f t="shared" si="25"/>
        <v>3.4138559999999956</v>
      </c>
      <c r="S643">
        <f t="shared" si="26"/>
        <v>3.3006329937499994</v>
      </c>
    </row>
    <row r="644" spans="1:19">
      <c r="A644" s="8">
        <v>42818</v>
      </c>
      <c r="B644" s="7" t="s">
        <v>54</v>
      </c>
      <c r="C644">
        <v>6</v>
      </c>
      <c r="D644" s="7" t="s">
        <v>62</v>
      </c>
      <c r="F644" s="7">
        <v>2.71</v>
      </c>
      <c r="J644">
        <f>60+89+120+124+148+152</f>
        <v>693</v>
      </c>
      <c r="K644">
        <v>6</v>
      </c>
      <c r="L644">
        <v>152</v>
      </c>
      <c r="O644">
        <f>IF(AND(OR(D644="S. acutus",D644="S. californicus",D644="S. tabernaemontani"),G644=0),E644*[1]Sheet1!$D$7+[1]Sheet1!$L$7,IF(AND(OR(D644="S. acutus",D644="S. tabernaemontani"),G644&gt;0),E644*[1]Sheet1!$D$8+N644*[1]Sheet1!$E$8,IF(AND(D644="S. californicus",G644&gt;0),E644*[1]Sheet1!$D$9+N644*[1]Sheet1!$E$9,IF(D644="S.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latifolia"),E644&gt;0),F644*[1]Sheet1!$C$4+E644*[1]Sheet1!$D$4+H644*[1]Sheet1!$J$4+I644*[1]Sheet1!$K$4+[1]Sheet1!$L$4,IF(AND(OR(D644="T. domingensis",D644="T. latifolia"),J644&gt;0),J644*[1]Sheet1!$G$5+K644*[1]Sheet1!$H$5+L644*[1]Sheet1!$I$5+[1]Sheet1!$L$5,0)))))))</f>
        <v>10.085841000000002</v>
      </c>
      <c r="P644">
        <f t="shared" si="25"/>
        <v>10.085841000000002</v>
      </c>
      <c r="S644">
        <f t="shared" si="26"/>
        <v>5.7680377797500002</v>
      </c>
    </row>
    <row r="645" spans="1:19">
      <c r="A645" s="8">
        <v>42818</v>
      </c>
      <c r="B645" s="7" t="s">
        <v>22</v>
      </c>
      <c r="C645" s="7">
        <v>36</v>
      </c>
      <c r="D645" s="7" t="s">
        <v>62</v>
      </c>
      <c r="F645" s="7">
        <v>1.1200000000000001</v>
      </c>
      <c r="G645" s="7"/>
      <c r="J645">
        <f>19+24+30+36</f>
        <v>109</v>
      </c>
      <c r="K645">
        <v>4</v>
      </c>
      <c r="L645">
        <v>36</v>
      </c>
      <c r="O645">
        <f>IF(AND(OR(D645="S. acutus",D645="S. californicus",D645="S. tabernaemontani"),G645=0),E645*[1]Sheet1!$D$7+[1]Sheet1!$L$7,IF(AND(OR(D645="S. acutus",D645="S. tabernaemontani"),G645&gt;0),E645*[1]Sheet1!$D$8+N645*[1]Sheet1!$E$8,IF(AND(D645="S. californicus",G645&gt;0),E645*[1]Sheet1!$D$9+N645*[1]Sheet1!$E$9,IF(D645="S.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latifolia"),E645&gt;0),F645*[1]Sheet1!$C$4+E645*[1]Sheet1!$D$4+H645*[1]Sheet1!$J$4+I645*[1]Sheet1!$K$4+[1]Sheet1!$L$4,IF(AND(OR(D645="T. domingensis",D645="T. latifolia"),J645&gt;0),J645*[1]Sheet1!$G$5+K645*[1]Sheet1!$H$5+L645*[1]Sheet1!$I$5+[1]Sheet1!$L$5,0)))))))</f>
        <v>4.3220469999999978</v>
      </c>
      <c r="P645">
        <f t="shared" si="25"/>
        <v>4.3220469999999978</v>
      </c>
      <c r="S645">
        <f t="shared" si="26"/>
        <v>0.98520262400000014</v>
      </c>
    </row>
    <row r="646" spans="1:19">
      <c r="A646" s="8">
        <v>42818</v>
      </c>
      <c r="B646" s="7" t="s">
        <v>22</v>
      </c>
      <c r="C646" s="7">
        <v>36</v>
      </c>
      <c r="D646" s="7" t="s">
        <v>62</v>
      </c>
      <c r="F646" s="7">
        <v>1.37</v>
      </c>
      <c r="G646" s="7"/>
      <c r="J646">
        <f>16+27+30+32</f>
        <v>105</v>
      </c>
      <c r="K646">
        <v>4</v>
      </c>
      <c r="L646">
        <v>32</v>
      </c>
      <c r="O646">
        <f>IF(AND(OR(D646="S. acutus",D646="S. californicus",D646="S. tabernaemontani"),G646=0),E646*[1]Sheet1!$D$7+[1]Sheet1!$L$7,IF(AND(OR(D646="S. acutus",D646="S. tabernaemontani"),G646&gt;0),E646*[1]Sheet1!$D$8+N646*[1]Sheet1!$E$8,IF(AND(D646="S. californicus",G646&gt;0),E646*[1]Sheet1!$D$9+N646*[1]Sheet1!$E$9,IF(D646="S.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latifolia"),E646&gt;0),F646*[1]Sheet1!$C$4+E646*[1]Sheet1!$D$4+H646*[1]Sheet1!$J$4+I646*[1]Sheet1!$K$4+[1]Sheet1!$L$4,IF(AND(OR(D646="T. domingensis",D646="T. latifolia"),J646&gt;0),J646*[1]Sheet1!$G$5+K646*[1]Sheet1!$H$5+L646*[1]Sheet1!$I$5+[1]Sheet1!$L$5,0)))))))</f>
        <v>5.1520069999999976</v>
      </c>
      <c r="P646">
        <f t="shared" si="25"/>
        <v>5.1520069999999976</v>
      </c>
      <c r="S646">
        <f t="shared" si="26"/>
        <v>1.4741125677500002</v>
      </c>
    </row>
    <row r="647" spans="1:19">
      <c r="A647" s="8">
        <v>42818</v>
      </c>
      <c r="B647" s="7" t="s">
        <v>22</v>
      </c>
      <c r="C647" s="7">
        <v>36</v>
      </c>
      <c r="D647" s="7" t="s">
        <v>62</v>
      </c>
      <c r="F647" s="7">
        <v>0.94</v>
      </c>
      <c r="J647">
        <f>17+39+41+49</f>
        <v>146</v>
      </c>
      <c r="K647">
        <v>4</v>
      </c>
      <c r="L647">
        <v>49</v>
      </c>
      <c r="O647">
        <f>IF(AND(OR(D647="S. acutus",D647="S. californicus",D647="S. tabernaemontani"),G647=0),E647*[1]Sheet1!$D$7+[1]Sheet1!$L$7,IF(AND(OR(D647="S. acutus",D647="S. tabernaemontani"),G647&gt;0),E647*[1]Sheet1!$D$8+N647*[1]Sheet1!$E$8,IF(AND(D647="S. californicus",G647&gt;0),E647*[1]Sheet1!$D$9+N647*[1]Sheet1!$E$9,IF(D647="S.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latifolia"),E647&gt;0),F647*[1]Sheet1!$C$4+E647*[1]Sheet1!$D$4+H647*[1]Sheet1!$J$4+I647*[1]Sheet1!$K$4+[1]Sheet1!$L$4,IF(AND(OR(D647="T. domingensis",D647="T. latifolia"),J647&gt;0),J647*[1]Sheet1!$G$5+K647*[1]Sheet1!$H$5+L647*[1]Sheet1!$I$5+[1]Sheet1!$L$5,0)))))))</f>
        <v>3.8747970000000009</v>
      </c>
      <c r="P647">
        <f t="shared" si="25"/>
        <v>3.8747970000000009</v>
      </c>
      <c r="S647">
        <f t="shared" si="26"/>
        <v>0.69397723099999997</v>
      </c>
    </row>
    <row r="648" spans="1:19">
      <c r="A648" s="8">
        <v>42818</v>
      </c>
      <c r="B648" s="7" t="s">
        <v>22</v>
      </c>
      <c r="C648" s="7">
        <v>36</v>
      </c>
      <c r="D648" s="7" t="s">
        <v>62</v>
      </c>
      <c r="F648" s="7">
        <v>1.25</v>
      </c>
      <c r="G648" s="7"/>
      <c r="J648">
        <f>16+22+21+13</f>
        <v>72</v>
      </c>
      <c r="K648">
        <v>4</v>
      </c>
      <c r="L648">
        <v>22</v>
      </c>
      <c r="O648">
        <f>IF(AND(OR(D648="S. acutus",D648="S. californicus",D648="S. tabernaemontani"),G648=0),E648*[1]Sheet1!$D$7+[1]Sheet1!$L$7,IF(AND(OR(D648="S. acutus",D648="S. tabernaemontani"),G648&gt;0),E648*[1]Sheet1!$D$8+N648*[1]Sheet1!$E$8,IF(AND(D648="S. californicus",G648&gt;0),E648*[1]Sheet1!$D$9+N648*[1]Sheet1!$E$9,IF(D648="S.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latifolia"),E648&gt;0),F648*[1]Sheet1!$C$4+E648*[1]Sheet1!$D$4+H648*[1]Sheet1!$J$4+I648*[1]Sheet1!$K$4+[1]Sheet1!$L$4,IF(AND(OR(D648="T. domingensis",D648="T. latifolia"),J648&gt;0),J648*[1]Sheet1!$G$5+K648*[1]Sheet1!$H$5+L648*[1]Sheet1!$I$5+[1]Sheet1!$L$5,0)))))))</f>
        <v>5.0705419999999961</v>
      </c>
      <c r="P648">
        <f t="shared" si="25"/>
        <v>5.0705419999999961</v>
      </c>
      <c r="S648">
        <f t="shared" si="26"/>
        <v>1.22718359375</v>
      </c>
    </row>
    <row r="649" spans="1:19">
      <c r="A649" s="8">
        <v>42818</v>
      </c>
      <c r="B649" s="7" t="s">
        <v>22</v>
      </c>
      <c r="C649" s="7">
        <v>36</v>
      </c>
      <c r="D649" s="7" t="s">
        <v>62</v>
      </c>
      <c r="F649" s="7">
        <v>1.32</v>
      </c>
      <c r="J649">
        <f>20+27+28+59</f>
        <v>134</v>
      </c>
      <c r="K649">
        <v>4</v>
      </c>
      <c r="L649">
        <v>59</v>
      </c>
      <c r="O649">
        <f>IF(AND(OR(D649="S. acutus",D649="S. californicus",D649="S. tabernaemontani"),G649=0),E649*[1]Sheet1!$D$7+[1]Sheet1!$L$7,IF(AND(OR(D649="S. acutus",D649="S. tabernaemontani"),G649&gt;0),E649*[1]Sheet1!$D$8+N649*[1]Sheet1!$E$8,IF(AND(D649="S. californicus",G649&gt;0),E649*[1]Sheet1!$D$9+N649*[1]Sheet1!$E$9,IF(D649="S.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latifolia"),E649&gt;0),F649*[1]Sheet1!$C$4+E649*[1]Sheet1!$D$4+H649*[1]Sheet1!$J$4+I649*[1]Sheet1!$K$4+[1]Sheet1!$L$4,IF(AND(OR(D649="T. domingensis",D649="T. latifolia"),J649&gt;0),J649*[1]Sheet1!$G$5+K649*[1]Sheet1!$H$5+L649*[1]Sheet1!$I$5+[1]Sheet1!$L$5,0)))))))</f>
        <v>-0.26271299999999798</v>
      </c>
      <c r="P649" t="str">
        <f t="shared" si="25"/>
        <v xml:space="preserve"> </v>
      </c>
      <c r="S649">
        <f t="shared" si="26"/>
        <v>1.368476604</v>
      </c>
    </row>
    <row r="650" spans="1:19">
      <c r="A650" s="8">
        <v>42818</v>
      </c>
      <c r="B650" s="7" t="s">
        <v>22</v>
      </c>
      <c r="C650" s="7">
        <v>36</v>
      </c>
      <c r="D650" s="7" t="s">
        <v>62</v>
      </c>
      <c r="F650" s="7">
        <v>1.21</v>
      </c>
      <c r="J650">
        <f>12+39+45+58</f>
        <v>154</v>
      </c>
      <c r="K650">
        <v>4</v>
      </c>
      <c r="L650">
        <v>58</v>
      </c>
      <c r="O650">
        <f>IF(AND(OR(D650="S. acutus",D650="S. californicus",D650="S. tabernaemontani"),G650=0),E650*[1]Sheet1!$D$7+[1]Sheet1!$L$7,IF(AND(OR(D650="S. acutus",D650="S. tabernaemontani"),G650&gt;0),E650*[1]Sheet1!$D$8+N650*[1]Sheet1!$E$8,IF(AND(D650="S. californicus",G650&gt;0),E650*[1]Sheet1!$D$9+N650*[1]Sheet1!$E$9,IF(D650="S.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latifolia"),E650&gt;0),F650*[1]Sheet1!$C$4+E650*[1]Sheet1!$D$4+H650*[1]Sheet1!$J$4+I650*[1]Sheet1!$K$4+[1]Sheet1!$L$4,IF(AND(OR(D650="T. domingensis",D650="T. latifolia"),J650&gt;0),J650*[1]Sheet1!$G$5+K650*[1]Sheet1!$H$5+L650*[1]Sheet1!$I$5+[1]Sheet1!$L$5,0)))))))</f>
        <v>1.9136319999999998</v>
      </c>
      <c r="P650">
        <f t="shared" si="25"/>
        <v>1.9136319999999998</v>
      </c>
      <c r="S650">
        <f t="shared" si="26"/>
        <v>1.1499004797499999</v>
      </c>
    </row>
    <row r="651" spans="1:19">
      <c r="A651" s="8">
        <v>42818</v>
      </c>
      <c r="B651" s="7" t="s">
        <v>22</v>
      </c>
      <c r="C651" s="7">
        <v>36</v>
      </c>
      <c r="D651" s="7" t="s">
        <v>62</v>
      </c>
      <c r="F651" s="7">
        <v>1.24</v>
      </c>
      <c r="J651">
        <f>13+14+15+102+138</f>
        <v>282</v>
      </c>
      <c r="K651">
        <v>5</v>
      </c>
      <c r="L651">
        <v>138</v>
      </c>
      <c r="O651">
        <f>IF(AND(OR(D651="S. acutus",D651="S. californicus",D651="S. tabernaemontani"),G651=0),E651*[1]Sheet1!$D$7+[1]Sheet1!$L$7,IF(AND(OR(D651="S. acutus",D651="S. tabernaemontani"),G651&gt;0),E651*[1]Sheet1!$D$8+N651*[1]Sheet1!$E$8,IF(AND(D651="S. californicus",G651&gt;0),E651*[1]Sheet1!$D$9+N651*[1]Sheet1!$E$9,IF(D651="S.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latifolia"),E651&gt;0),F651*[1]Sheet1!$C$4+E651*[1]Sheet1!$D$4+H651*[1]Sheet1!$J$4+I651*[1]Sheet1!$K$4+[1]Sheet1!$L$4,IF(AND(OR(D651="T. domingensis",D651="T. latifolia"),J651&gt;0),J651*[1]Sheet1!$G$5+K651*[1]Sheet1!$H$5+L651*[1]Sheet1!$I$5+[1]Sheet1!$L$5,0)))))))</f>
        <v>-17.207681000000001</v>
      </c>
      <c r="P651" t="str">
        <f t="shared" si="25"/>
        <v xml:space="preserve"> </v>
      </c>
      <c r="S651">
        <f t="shared" si="26"/>
        <v>1.207627196</v>
      </c>
    </row>
    <row r="652" spans="1:19">
      <c r="A652" s="8">
        <v>42818</v>
      </c>
      <c r="B652" s="7" t="s">
        <v>22</v>
      </c>
      <c r="C652" s="7">
        <v>35</v>
      </c>
      <c r="D652" s="7" t="s">
        <v>62</v>
      </c>
      <c r="F652" s="7">
        <v>1.32</v>
      </c>
      <c r="J652">
        <f>19+32+44+65+82+85</f>
        <v>327</v>
      </c>
      <c r="K652">
        <v>6</v>
      </c>
      <c r="L652">
        <v>85</v>
      </c>
      <c r="O652">
        <f>IF(AND(OR(D652="S. acutus",D652="S. californicus",D652="S. tabernaemontani"),G652=0),E652*[1]Sheet1!$D$7+[1]Sheet1!$L$7,IF(AND(OR(D652="S. acutus",D652="S. tabernaemontani"),G652&gt;0),E652*[1]Sheet1!$D$8+N652*[1]Sheet1!$E$8,IF(AND(D652="S. californicus",G652&gt;0),E652*[1]Sheet1!$D$9+N652*[1]Sheet1!$E$9,IF(D652="S.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latifolia"),E652&gt;0),F652*[1]Sheet1!$C$4+E652*[1]Sheet1!$D$4+H652*[1]Sheet1!$J$4+I652*[1]Sheet1!$K$4+[1]Sheet1!$L$4,IF(AND(OR(D652="T. domingensis",D652="T. latifolia"),J652&gt;0),J652*[1]Sheet1!$G$5+K652*[1]Sheet1!$H$5+L652*[1]Sheet1!$I$5+[1]Sheet1!$L$5,0)))))))</f>
        <v>-4.0450740000000067</v>
      </c>
      <c r="P652" t="str">
        <f t="shared" si="25"/>
        <v xml:space="preserve"> </v>
      </c>
      <c r="S652">
        <f t="shared" si="26"/>
        <v>1.368476604</v>
      </c>
    </row>
    <row r="653" spans="1:19">
      <c r="A653" s="8">
        <v>42818</v>
      </c>
      <c r="B653" s="7" t="s">
        <v>22</v>
      </c>
      <c r="C653" s="7">
        <v>35</v>
      </c>
      <c r="D653" s="7" t="s">
        <v>62</v>
      </c>
      <c r="F653" s="7">
        <v>1.37</v>
      </c>
      <c r="G653" s="7"/>
      <c r="J653">
        <f>12+18+21+74+16+56+78</f>
        <v>275</v>
      </c>
      <c r="K653">
        <v>7</v>
      </c>
      <c r="L653">
        <v>78</v>
      </c>
      <c r="O653">
        <f>IF(AND(OR(D653="S. acutus",D653="S. californicus",D653="S. tabernaemontani"),G653=0),E653*[1]Sheet1!$D$7+[1]Sheet1!$L$7,IF(AND(OR(D653="S. acutus",D653="S. tabernaemontani"),G653&gt;0),E653*[1]Sheet1!$D$8+N653*[1]Sheet1!$E$8,IF(AND(D653="S. californicus",G653&gt;0),E653*[1]Sheet1!$D$9+N653*[1]Sheet1!$E$9,IF(D653="S.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latifolia"),E653&gt;0),F653*[1]Sheet1!$C$4+E653*[1]Sheet1!$D$4+H653*[1]Sheet1!$J$4+I653*[1]Sheet1!$K$4+[1]Sheet1!$L$4,IF(AND(OR(D653="T. domingensis",D653="T. latifolia"),J653&gt;0),J653*[1]Sheet1!$G$5+K653*[1]Sheet1!$H$5+L653*[1]Sheet1!$I$5+[1]Sheet1!$L$5,0)))))))</f>
        <v>-13.833971999999996</v>
      </c>
      <c r="P653" t="str">
        <f t="shared" si="25"/>
        <v xml:space="preserve"> </v>
      </c>
      <c r="S653">
        <f t="shared" si="26"/>
        <v>1.4741125677500002</v>
      </c>
    </row>
    <row r="654" spans="1:19">
      <c r="A654" s="8">
        <v>42818</v>
      </c>
      <c r="B654" s="7" t="s">
        <v>22</v>
      </c>
      <c r="C654" s="7">
        <v>35</v>
      </c>
      <c r="D654" s="7" t="s">
        <v>62</v>
      </c>
      <c r="F654" s="7">
        <v>0.77</v>
      </c>
      <c r="J654">
        <f>30+33</f>
        <v>63</v>
      </c>
      <c r="K654">
        <v>2</v>
      </c>
      <c r="L654">
        <v>33</v>
      </c>
      <c r="O654">
        <f>IF(AND(OR(D654="S. acutus",D654="S. californicus",D654="S. tabernaemontani"),G654=0),E654*[1]Sheet1!$D$7+[1]Sheet1!$L$7,IF(AND(OR(D654="S. acutus",D654="S. tabernaemontani"),G654&gt;0),E654*[1]Sheet1!$D$8+N654*[1]Sheet1!$E$8,IF(AND(D654="S. californicus",G654&gt;0),E654*[1]Sheet1!$D$9+N654*[1]Sheet1!$E$9,IF(D654="S.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latifolia"),E654&gt;0),F654*[1]Sheet1!$C$4+E654*[1]Sheet1!$D$4+H654*[1]Sheet1!$J$4+I654*[1]Sheet1!$K$4+[1]Sheet1!$L$4,IF(AND(OR(D654="T. domingensis",D654="T. latifolia"),J654&gt;0),J654*[1]Sheet1!$G$5+K654*[1]Sheet1!$H$5+L654*[1]Sheet1!$I$5+[1]Sheet1!$L$5,0)))))))</f>
        <v>14.957757999999998</v>
      </c>
      <c r="P654">
        <f t="shared" si="25"/>
        <v>14.957757999999998</v>
      </c>
      <c r="S654">
        <f t="shared" si="26"/>
        <v>0.46566217774999996</v>
      </c>
    </row>
    <row r="655" spans="1:19">
      <c r="A655" s="8">
        <v>42818</v>
      </c>
      <c r="B655" s="7" t="s">
        <v>22</v>
      </c>
      <c r="C655" s="7">
        <v>35</v>
      </c>
      <c r="D655" s="7" t="s">
        <v>62</v>
      </c>
      <c r="F655" s="7">
        <v>1.59</v>
      </c>
      <c r="G655" s="7"/>
      <c r="I655" s="7"/>
      <c r="J655">
        <f>48+50+63+67</f>
        <v>228</v>
      </c>
      <c r="K655">
        <v>4</v>
      </c>
      <c r="L655">
        <v>67</v>
      </c>
      <c r="O655">
        <f>IF(AND(OR(D655="S. acutus",D655="S. californicus",D655="S. tabernaemontani"),G655=0),E655*[1]Sheet1!$D$7+[1]Sheet1!$L$7,IF(AND(OR(D655="S. acutus",D655="S. tabernaemontani"),G655&gt;0),E655*[1]Sheet1!$D$8+N655*[1]Sheet1!$E$8,IF(AND(D655="S. californicus",G655&gt;0),E655*[1]Sheet1!$D$9+N655*[1]Sheet1!$E$9,IF(D655="S.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latifolia"),E655&gt;0),F655*[1]Sheet1!$C$4+E655*[1]Sheet1!$D$4+H655*[1]Sheet1!$J$4+I655*[1]Sheet1!$K$4+[1]Sheet1!$L$4,IF(AND(OR(D655="T. domingensis",D655="T. latifolia"),J655&gt;0),J655*[1]Sheet1!$G$5+K655*[1]Sheet1!$H$5+L655*[1]Sheet1!$I$5+[1]Sheet1!$L$5,0)))))))</f>
        <v>6.1402969999999968</v>
      </c>
      <c r="P655">
        <f t="shared" si="25"/>
        <v>6.1402969999999968</v>
      </c>
      <c r="S655">
        <f t="shared" si="26"/>
        <v>1.9855634197500001</v>
      </c>
    </row>
    <row r="656" spans="1:19">
      <c r="A656" s="8">
        <v>42818</v>
      </c>
      <c r="B656" s="7" t="s">
        <v>22</v>
      </c>
      <c r="C656" s="7">
        <v>35</v>
      </c>
      <c r="D656" s="7" t="s">
        <v>62</v>
      </c>
      <c r="F656" s="7">
        <v>0.75</v>
      </c>
      <c r="G656" s="7"/>
      <c r="I656" s="7"/>
      <c r="J656">
        <f>10+23+32+13+22</f>
        <v>100</v>
      </c>
      <c r="K656">
        <v>5</v>
      </c>
      <c r="L656">
        <v>32</v>
      </c>
      <c r="O656">
        <f>IF(AND(OR(D656="S. acutus",D656="S. californicus",D656="S. tabernaemontani"),G656=0),E656*[1]Sheet1!$D$7+[1]Sheet1!$L$7,IF(AND(OR(D656="S. acutus",D656="S. tabernaemontani"),G656&gt;0),E656*[1]Sheet1!$D$8+N656*[1]Sheet1!$E$8,IF(AND(D656="S. californicus",G656&gt;0),E656*[1]Sheet1!$D$9+N656*[1]Sheet1!$E$9,IF(D656="S.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latifolia"),E656&gt;0),F656*[1]Sheet1!$C$4+E656*[1]Sheet1!$D$4+H656*[1]Sheet1!$J$4+I656*[1]Sheet1!$K$4+[1]Sheet1!$L$4,IF(AND(OR(D656="T. domingensis",D656="T. latifolia"),J656&gt;0),J656*[1]Sheet1!$G$5+K656*[1]Sheet1!$H$5+L656*[1]Sheet1!$I$5+[1]Sheet1!$L$5,0)))))))</f>
        <v>-2.3391209999999987</v>
      </c>
      <c r="P656" t="str">
        <f t="shared" si="25"/>
        <v xml:space="preserve"> </v>
      </c>
      <c r="S656">
        <f t="shared" si="26"/>
        <v>0.44178609375</v>
      </c>
    </row>
    <row r="657" spans="1:19">
      <c r="A657" s="8">
        <v>42818</v>
      </c>
      <c r="B657" s="7" t="s">
        <v>22</v>
      </c>
      <c r="C657" s="7">
        <v>35</v>
      </c>
      <c r="D657" s="7" t="s">
        <v>62</v>
      </c>
      <c r="F657" s="7">
        <v>1.35</v>
      </c>
      <c r="G657" s="7"/>
      <c r="I657" s="7"/>
      <c r="J657">
        <f>32+53+42</f>
        <v>127</v>
      </c>
      <c r="K657">
        <v>3</v>
      </c>
      <c r="L657">
        <v>53</v>
      </c>
      <c r="O657">
        <f>IF(AND(OR(D657="S. acutus",D657="S. californicus",D657="S. tabernaemontani"),G657=0),E657*[1]Sheet1!$D$7+[1]Sheet1!$L$7,IF(AND(OR(D657="S. acutus",D657="S. tabernaemontani"),G657&gt;0),E657*[1]Sheet1!$D$8+N657*[1]Sheet1!$E$8,IF(AND(D657="S. californicus",G657&gt;0),E657*[1]Sheet1!$D$9+N657*[1]Sheet1!$E$9,IF(D657="S.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latifolia"),E657&gt;0),F657*[1]Sheet1!$C$4+E657*[1]Sheet1!$D$4+H657*[1]Sheet1!$J$4+I657*[1]Sheet1!$K$4+[1]Sheet1!$L$4,IF(AND(OR(D657="T. domingensis",D657="T. latifolia"),J657&gt;0),J657*[1]Sheet1!$G$5+K657*[1]Sheet1!$H$5+L657*[1]Sheet1!$I$5+[1]Sheet1!$L$5,0)))))))</f>
        <v>7.9108249999999956</v>
      </c>
      <c r="P657">
        <f t="shared" si="25"/>
        <v>7.9108249999999956</v>
      </c>
      <c r="S657">
        <f t="shared" si="26"/>
        <v>1.4313869437500002</v>
      </c>
    </row>
    <row r="658" spans="1:19">
      <c r="A658" s="8">
        <v>42818</v>
      </c>
      <c r="B658" s="7" t="s">
        <v>22</v>
      </c>
      <c r="C658" s="7">
        <v>35</v>
      </c>
      <c r="D658" s="7" t="s">
        <v>62</v>
      </c>
      <c r="F658" s="7">
        <v>1.65</v>
      </c>
      <c r="J658">
        <f>19+56+94+69+101+132</f>
        <v>471</v>
      </c>
      <c r="K658">
        <v>6</v>
      </c>
      <c r="L658">
        <v>132</v>
      </c>
      <c r="O658">
        <f>IF(AND(OR(D658="S. acutus",D658="S. californicus",D658="S. tabernaemontani"),G658=0),E658*[1]Sheet1!$D$7+[1]Sheet1!$L$7,IF(AND(OR(D658="S. acutus",D658="S. tabernaemontani"),G658&gt;0),E658*[1]Sheet1!$D$8+N658*[1]Sheet1!$E$8,IF(AND(D658="S. californicus",G658&gt;0),E658*[1]Sheet1!$D$9+N658*[1]Sheet1!$E$9,IF(D658="S.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latifolia"),E658&gt;0),F658*[1]Sheet1!$C$4+E658*[1]Sheet1!$D$4+H658*[1]Sheet1!$J$4+I658*[1]Sheet1!$K$4+[1]Sheet1!$L$4,IF(AND(OR(D658="T. domingensis",D658="T. latifolia"),J658&gt;0),J658*[1]Sheet1!$G$5+K658*[1]Sheet1!$H$5+L658*[1]Sheet1!$I$5+[1]Sheet1!$L$5,0)))))))</f>
        <v>-4.7028689999999997</v>
      </c>
      <c r="P658" t="str">
        <f t="shared" si="25"/>
        <v xml:space="preserve"> </v>
      </c>
      <c r="S658">
        <f t="shared" si="26"/>
        <v>2.1382446937499995</v>
      </c>
    </row>
    <row r="659" spans="1:19">
      <c r="A659" s="8">
        <v>42818</v>
      </c>
      <c r="B659" s="7" t="s">
        <v>22</v>
      </c>
      <c r="C659" s="7">
        <v>27</v>
      </c>
      <c r="D659" s="7" t="s">
        <v>62</v>
      </c>
      <c r="F659" s="7">
        <v>1.29</v>
      </c>
      <c r="J659">
        <f>11+50+59+76+12</f>
        <v>208</v>
      </c>
      <c r="K659">
        <v>5</v>
      </c>
      <c r="L659">
        <v>76</v>
      </c>
      <c r="O659">
        <f>IF(AND(OR(D659="S. acutus",D659="S. californicus",D659="S. tabernaemontani"),G659=0),E659*[1]Sheet1!$D$7+[1]Sheet1!$L$7,IF(AND(OR(D659="S. acutus",D659="S. tabernaemontani"),G659&gt;0),E659*[1]Sheet1!$D$8+N659*[1]Sheet1!$E$8,IF(AND(D659="S. californicus",G659&gt;0),E659*[1]Sheet1!$D$9+N659*[1]Sheet1!$E$9,IF(D659="S.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latifolia"),E659&gt;0),F659*[1]Sheet1!$C$4+E659*[1]Sheet1!$D$4+H659*[1]Sheet1!$J$4+I659*[1]Sheet1!$K$4+[1]Sheet1!$L$4,IF(AND(OR(D659="T. domingensis",D659="T. latifolia"),J659&gt;0),J659*[1]Sheet1!$G$5+K659*[1]Sheet1!$H$5+L659*[1]Sheet1!$I$5+[1]Sheet1!$L$5,0)))))))</f>
        <v>-5.4683610000000016</v>
      </c>
      <c r="P659" t="str">
        <f t="shared" si="25"/>
        <v xml:space="preserve"> </v>
      </c>
      <c r="S659">
        <f t="shared" si="26"/>
        <v>1.3069799797500001</v>
      </c>
    </row>
    <row r="660" spans="1:19">
      <c r="A660" s="8">
        <v>42818</v>
      </c>
      <c r="B660" s="7" t="s">
        <v>22</v>
      </c>
      <c r="C660" s="7">
        <v>27</v>
      </c>
      <c r="D660" s="7" t="s">
        <v>62</v>
      </c>
      <c r="F660" s="7">
        <v>0.73</v>
      </c>
      <c r="G660" s="7"/>
      <c r="J660">
        <f>18+25+27</f>
        <v>70</v>
      </c>
      <c r="K660">
        <v>3</v>
      </c>
      <c r="L660">
        <v>27</v>
      </c>
      <c r="O660">
        <f>IF(AND(OR(D660="S. acutus",D660="S. californicus",D660="S. tabernaemontani"),G660=0),E660*[1]Sheet1!$D$7+[1]Sheet1!$L$7,IF(AND(OR(D660="S. acutus",D660="S. tabernaemontani"),G660&gt;0),E660*[1]Sheet1!$D$8+N660*[1]Sheet1!$E$8,IF(AND(D660="S. californicus",G660&gt;0),E660*[1]Sheet1!$D$9+N660*[1]Sheet1!$E$9,IF(D660="S.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latifolia"),E660&gt;0),F660*[1]Sheet1!$C$4+E660*[1]Sheet1!$D$4+H660*[1]Sheet1!$J$4+I660*[1]Sheet1!$K$4+[1]Sheet1!$L$4,IF(AND(OR(D660="T. domingensis",D660="T. latifolia"),J660&gt;0),J660*[1]Sheet1!$G$5+K660*[1]Sheet1!$H$5+L660*[1]Sheet1!$I$5+[1]Sheet1!$L$5,0)))))))</f>
        <v>10.399159999999998</v>
      </c>
      <c r="P660">
        <f t="shared" si="25"/>
        <v>10.399159999999998</v>
      </c>
      <c r="S660">
        <f t="shared" si="26"/>
        <v>0.41853832774999994</v>
      </c>
    </row>
    <row r="661" spans="1:19">
      <c r="A661" s="8">
        <v>42818</v>
      </c>
      <c r="B661" s="7" t="s">
        <v>22</v>
      </c>
      <c r="C661" s="7">
        <v>27</v>
      </c>
      <c r="D661" s="7" t="s">
        <v>62</v>
      </c>
      <c r="F661" s="7">
        <v>1.22</v>
      </c>
      <c r="J661">
        <f>56+57+87+92</f>
        <v>292</v>
      </c>
      <c r="K661">
        <v>4</v>
      </c>
      <c r="L661">
        <v>92</v>
      </c>
      <c r="O661">
        <f>IF(AND(OR(D661="S. acutus",D661="S. californicus",D661="S. tabernaemontani"),G661=0),E661*[1]Sheet1!$D$7+[1]Sheet1!$L$7,IF(AND(OR(D661="S. acutus",D661="S. tabernaemontani"),G661&gt;0),E661*[1]Sheet1!$D$8+N661*[1]Sheet1!$E$8,IF(AND(D661="S. californicus",G661&gt;0),E661*[1]Sheet1!$D$9+N661*[1]Sheet1!$E$9,IF(D661="S.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latifolia"),E661&gt;0),F661*[1]Sheet1!$C$4+E661*[1]Sheet1!$D$4+H661*[1]Sheet1!$J$4+I661*[1]Sheet1!$K$4+[1]Sheet1!$L$4,IF(AND(OR(D661="T. domingensis",D661="T. latifolia"),J661&gt;0),J661*[1]Sheet1!$G$5+K661*[1]Sheet1!$H$5+L661*[1]Sheet1!$I$5+[1]Sheet1!$L$5,0)))))))</f>
        <v>4.6094919999999995</v>
      </c>
      <c r="P661">
        <f t="shared" si="25"/>
        <v>4.6094919999999995</v>
      </c>
      <c r="S661">
        <f t="shared" si="26"/>
        <v>1.168985639</v>
      </c>
    </row>
    <row r="662" spans="1:19">
      <c r="A662" s="8">
        <v>42818</v>
      </c>
      <c r="B662" s="7" t="s">
        <v>22</v>
      </c>
      <c r="C662" s="7">
        <v>17</v>
      </c>
      <c r="D662" s="7" t="s">
        <v>62</v>
      </c>
      <c r="F662" s="7">
        <v>1.33</v>
      </c>
      <c r="G662" s="7"/>
      <c r="J662">
        <f>36+42+57.5+64</f>
        <v>199.5</v>
      </c>
      <c r="K662">
        <v>4</v>
      </c>
      <c r="L662">
        <v>64</v>
      </c>
      <c r="O662">
        <f>IF(AND(OR(D662="S. acutus",D662="S. californicus",D662="S. tabernaemontani"),G662=0),E662*[1]Sheet1!$D$7+[1]Sheet1!$L$7,IF(AND(OR(D662="S. acutus",D662="S. tabernaemontani"),G662&gt;0),E662*[1]Sheet1!$D$8+N662*[1]Sheet1!$E$8,IF(AND(D662="S. californicus",G662&gt;0),E662*[1]Sheet1!$D$9+N662*[1]Sheet1!$E$9,IF(D662="S. maritimus",F662*[1]Sheet1!$C$10+E662*[1]Sheet1!$D$10+G662*[1]Sheet1!$F$10+[1]Sheet1!$L$10,IF(D662="S. americanus",F662*[1]Sheet1!$C$6+E662*[1]Sheet1!$D$6+[1]Sheet1!$L$6,IF(AND(OR(D662="T. domingensis",D662="T. latifolia"),E662&gt;0),F662*[1]Sheet1!$C$4+E662*[1]Sheet1!$D$4+H662*[1]Sheet1!$J$4+I662*[1]Sheet1!$K$4+[1]Sheet1!$L$4,IF(AND(OR(D662="T. domingensis",D662="T. latifolia"),J662&gt;0),J662*[1]Sheet1!$G$5+K662*[1]Sheet1!$H$5+L662*[1]Sheet1!$I$5+[1]Sheet1!$L$5,0)))))))</f>
        <v>4.3720144999999988</v>
      </c>
      <c r="P662">
        <f t="shared" si="25"/>
        <v>4.3720144999999988</v>
      </c>
      <c r="S662">
        <f t="shared" si="26"/>
        <v>1.3892896377500001</v>
      </c>
    </row>
    <row r="663" spans="1:19">
      <c r="A663" s="8">
        <v>42818</v>
      </c>
      <c r="B663" s="7" t="s">
        <v>22</v>
      </c>
      <c r="C663" s="7">
        <v>17</v>
      </c>
      <c r="D663" s="7" t="s">
        <v>62</v>
      </c>
      <c r="F663" s="7">
        <v>1.3</v>
      </c>
      <c r="G663" s="7"/>
      <c r="J663">
        <f>27+36+43</f>
        <v>106</v>
      </c>
      <c r="K663">
        <v>3</v>
      </c>
      <c r="L663">
        <v>43</v>
      </c>
      <c r="O663">
        <f>IF(AND(OR(D663="S. acutus",D663="S. californicus",D663="S. tabernaemontani"),G663=0),E663*[1]Sheet1!$D$7+[1]Sheet1!$L$7,IF(AND(OR(D663="S. acutus",D663="S. tabernaemontani"),G663&gt;0),E663*[1]Sheet1!$D$8+N663*[1]Sheet1!$E$8,IF(AND(D663="S. californicus",G663&gt;0),E663*[1]Sheet1!$D$9+N663*[1]Sheet1!$E$9,IF(D663="S.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latifolia"),E663&gt;0),F663*[1]Sheet1!$C$4+E663*[1]Sheet1!$D$4+H663*[1]Sheet1!$J$4+I663*[1]Sheet1!$K$4+[1]Sheet1!$L$4,IF(AND(OR(D663="T. domingensis",D663="T. latifolia"),J663&gt;0),J663*[1]Sheet1!$G$5+K663*[1]Sheet1!$H$5+L663*[1]Sheet1!$I$5+[1]Sheet1!$L$5,0)))))))</f>
        <v>8.9544199999999989</v>
      </c>
      <c r="P663">
        <f t="shared" si="25"/>
        <v>8.9544199999999989</v>
      </c>
      <c r="S663">
        <f t="shared" si="26"/>
        <v>1.3273217750000001</v>
      </c>
    </row>
    <row r="664" spans="1:19">
      <c r="A664" s="8">
        <v>42818</v>
      </c>
      <c r="B664" s="7" t="s">
        <v>22</v>
      </c>
      <c r="C664" s="7">
        <v>17</v>
      </c>
      <c r="D664" s="7" t="s">
        <v>62</v>
      </c>
      <c r="F664" s="7">
        <v>1.2</v>
      </c>
      <c r="G664" s="7"/>
      <c r="J664">
        <f>43+50+65+69</f>
        <v>227</v>
      </c>
      <c r="K664">
        <v>4</v>
      </c>
      <c r="L664">
        <v>69</v>
      </c>
      <c r="O664">
        <f>IF(AND(OR(D664="S. acutus",D664="S. californicus",D664="S. tabernaemontani"),G664=0),E664*[1]Sheet1!$D$7+[1]Sheet1!$L$7,IF(AND(OR(D664="S. acutus",D664="S. tabernaemontani"),G664&gt;0),E664*[1]Sheet1!$D$8+N664*[1]Sheet1!$E$8,IF(AND(D664="S. californicus",G664&gt;0),E664*[1]Sheet1!$D$9+N664*[1]Sheet1!$E$9,IF(D664="S.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latifolia"),E664&gt;0),F664*[1]Sheet1!$C$4+E664*[1]Sheet1!$D$4+H664*[1]Sheet1!$J$4+I664*[1]Sheet1!$K$4+[1]Sheet1!$L$4,IF(AND(OR(D664="T. domingensis",D664="T. latifolia"),J664&gt;0),J664*[1]Sheet1!$G$5+K664*[1]Sheet1!$H$5+L664*[1]Sheet1!$I$5+[1]Sheet1!$L$5,0)))))))</f>
        <v>5.4440519999999992</v>
      </c>
      <c r="P664">
        <f t="shared" si="25"/>
        <v>5.4440519999999992</v>
      </c>
      <c r="S664">
        <f t="shared" si="26"/>
        <v>1.1309723999999999</v>
      </c>
    </row>
    <row r="665" spans="1:19">
      <c r="A665" s="8">
        <v>42818</v>
      </c>
      <c r="B665" s="7" t="s">
        <v>22</v>
      </c>
      <c r="C665" s="7">
        <v>17</v>
      </c>
      <c r="D665" s="7" t="s">
        <v>62</v>
      </c>
      <c r="F665" s="7">
        <v>0.97</v>
      </c>
      <c r="J665">
        <f>16+36+41+44</f>
        <v>137</v>
      </c>
      <c r="K665">
        <v>4</v>
      </c>
      <c r="L665">
        <v>44</v>
      </c>
      <c r="O665">
        <f>IF(AND(OR(D665="S. acutus",D665="S. californicus",D665="S. tabernaemontani"),G665=0),E665*[1]Sheet1!$D$7+[1]Sheet1!$L$7,IF(AND(OR(D665="S. acutus",D665="S. tabernaemontani"),G665&gt;0),E665*[1]Sheet1!$D$8+N665*[1]Sheet1!$E$8,IF(AND(D665="S. californicus",G665&gt;0),E665*[1]Sheet1!$D$9+N665*[1]Sheet1!$E$9,IF(D665="S.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latifolia"),E665&gt;0),F665*[1]Sheet1!$C$4+E665*[1]Sheet1!$D$4+H665*[1]Sheet1!$J$4+I665*[1]Sheet1!$K$4+[1]Sheet1!$L$4,IF(AND(OR(D665="T. domingensis",D665="T. latifolia"),J665&gt;0),J665*[1]Sheet1!$G$5+K665*[1]Sheet1!$H$5+L665*[1]Sheet1!$I$5+[1]Sheet1!$L$5,0)))))))</f>
        <v>4.5372269999999979</v>
      </c>
      <c r="P665">
        <f t="shared" si="25"/>
        <v>4.5372269999999979</v>
      </c>
      <c r="S665">
        <f t="shared" si="26"/>
        <v>0.7389805077499999</v>
      </c>
    </row>
    <row r="666" spans="1:19">
      <c r="A666" s="8">
        <v>42818</v>
      </c>
      <c r="B666" s="7" t="s">
        <v>22</v>
      </c>
      <c r="C666" s="7">
        <v>17</v>
      </c>
      <c r="D666" s="7" t="s">
        <v>62</v>
      </c>
      <c r="F666" s="7">
        <v>1.58</v>
      </c>
      <c r="G666" s="7"/>
      <c r="J666">
        <f>53+88+36+70+80</f>
        <v>327</v>
      </c>
      <c r="K666">
        <v>5</v>
      </c>
      <c r="L666">
        <v>80</v>
      </c>
      <c r="O666">
        <f>IF(AND(OR(D666="S. acutus",D666="S. californicus",D666="S. tabernaemontani"),G666=0),E666*[1]Sheet1!$D$7+[1]Sheet1!$L$7,IF(AND(OR(D666="S. acutus",D666="S. tabernaemontani"),G666&gt;0),E666*[1]Sheet1!$D$8+N666*[1]Sheet1!$E$8,IF(AND(D666="S. californicus",G666&gt;0),E666*[1]Sheet1!$D$9+N666*[1]Sheet1!$E$9,IF(D666="S.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latifolia"),E666&gt;0),F666*[1]Sheet1!$C$4+E666*[1]Sheet1!$D$4+H666*[1]Sheet1!$J$4+I666*[1]Sheet1!$K$4+[1]Sheet1!$L$4,IF(AND(OR(D666="T. domingensis",D666="T. latifolia"),J666&gt;0),J666*[1]Sheet1!$G$5+K666*[1]Sheet1!$H$5+L666*[1]Sheet1!$I$5+[1]Sheet1!$L$5,0)))))))</f>
        <v>4.4835039999999999</v>
      </c>
      <c r="P666">
        <f t="shared" si="25"/>
        <v>4.4835039999999999</v>
      </c>
      <c r="S666">
        <f t="shared" si="26"/>
        <v>1.9606663190000002</v>
      </c>
    </row>
    <row r="667" spans="1:19">
      <c r="A667" s="8">
        <v>42818</v>
      </c>
      <c r="B667" s="7" t="s">
        <v>22</v>
      </c>
      <c r="C667" s="7">
        <v>17</v>
      </c>
      <c r="D667" s="7" t="s">
        <v>62</v>
      </c>
      <c r="F667" s="7">
        <v>1.18</v>
      </c>
      <c r="G667" s="7"/>
      <c r="I667" s="7"/>
      <c r="J667">
        <f>43+44+65+71</f>
        <v>223</v>
      </c>
      <c r="K667">
        <v>4</v>
      </c>
      <c r="L667">
        <v>71</v>
      </c>
      <c r="O667">
        <f>IF(AND(OR(D667="S. acutus",D667="S. californicus",D667="S. tabernaemontani"),G667=0),E667*[1]Sheet1!$D$7+[1]Sheet1!$L$7,IF(AND(OR(D667="S. acutus",D667="S. tabernaemontani"),G667&gt;0),E667*[1]Sheet1!$D$8+N667*[1]Sheet1!$E$8,IF(AND(D667="S. californicus",G667&gt;0),E667*[1]Sheet1!$D$9+N667*[1]Sheet1!$E$9,IF(D667="S.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latifolia"),E667&gt;0),F667*[1]Sheet1!$C$4+E667*[1]Sheet1!$D$4+H667*[1]Sheet1!$J$4+I667*[1]Sheet1!$K$4+[1]Sheet1!$L$4,IF(AND(OR(D667="T. domingensis",D667="T. latifolia"),J667&gt;0),J667*[1]Sheet1!$G$5+K667*[1]Sheet1!$H$5+L667*[1]Sheet1!$I$5+[1]Sheet1!$L$5,0)))))))</f>
        <v>4.4665420000000005</v>
      </c>
      <c r="P667">
        <f t="shared" si="25"/>
        <v>4.4665420000000005</v>
      </c>
      <c r="S667">
        <f t="shared" si="26"/>
        <v>1.0935874789999998</v>
      </c>
    </row>
    <row r="668" spans="1:19">
      <c r="A668" s="8">
        <v>42818</v>
      </c>
      <c r="B668" s="7" t="s">
        <v>22</v>
      </c>
      <c r="C668" s="7">
        <v>17</v>
      </c>
      <c r="D668" s="7" t="s">
        <v>62</v>
      </c>
      <c r="F668" s="7">
        <v>1.38</v>
      </c>
      <c r="G668" s="7"/>
      <c r="J668">
        <f>29+54+64+72</f>
        <v>219</v>
      </c>
      <c r="K668">
        <v>4</v>
      </c>
      <c r="L668">
        <v>72</v>
      </c>
      <c r="O668">
        <f>IF(AND(OR(D668="S. acutus",D668="S. californicus",D668="S. tabernaemontani"),G668=0),E668*[1]Sheet1!$D$7+[1]Sheet1!$L$7,IF(AND(OR(D668="S. acutus",D668="S. tabernaemontani"),G668&gt;0),E668*[1]Sheet1!$D$8+N668*[1]Sheet1!$E$8,IF(AND(D668="S. californicus",G668&gt;0),E668*[1]Sheet1!$D$9+N668*[1]Sheet1!$E$9,IF(D668="S.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latifolia"),E668&gt;0),F668*[1]Sheet1!$C$4+E668*[1]Sheet1!$D$4+H668*[1]Sheet1!$J$4+I668*[1]Sheet1!$K$4+[1]Sheet1!$L$4,IF(AND(OR(D668="T. domingensis",D668="T. latifolia"),J668&gt;0),J668*[1]Sheet1!$G$5+K668*[1]Sheet1!$H$5+L668*[1]Sheet1!$I$5+[1]Sheet1!$L$5,0)))))))</f>
        <v>3.7902769999999997</v>
      </c>
      <c r="P668">
        <f t="shared" si="25"/>
        <v>3.7902769999999997</v>
      </c>
      <c r="S668">
        <f t="shared" si="26"/>
        <v>1.4957109989999997</v>
      </c>
    </row>
    <row r="669" spans="1:19">
      <c r="A669" s="8">
        <v>42818</v>
      </c>
      <c r="B669" s="7" t="s">
        <v>22</v>
      </c>
      <c r="C669" s="7">
        <v>17</v>
      </c>
      <c r="D669" s="7" t="s">
        <v>62</v>
      </c>
      <c r="F669" s="7">
        <v>1.4</v>
      </c>
      <c r="G669" s="7"/>
      <c r="J669">
        <f>28+50+51+64</f>
        <v>193</v>
      </c>
      <c r="K669">
        <v>4</v>
      </c>
      <c r="L669">
        <v>64</v>
      </c>
      <c r="O669">
        <f>IF(AND(OR(D669="S. acutus",D669="S. californicus",D669="S. tabernaemontani"),G669=0),E669*[1]Sheet1!$D$7+[1]Sheet1!$L$7,IF(AND(OR(D669="S. acutus",D669="S. tabernaemontani"),G669&gt;0),E669*[1]Sheet1!$D$8+N669*[1]Sheet1!$E$8,IF(AND(D669="S. californicus",G669&gt;0),E669*[1]Sheet1!$D$9+N669*[1]Sheet1!$E$9,IF(D669="S.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latifolia"),E669&gt;0),F669*[1]Sheet1!$C$4+E669*[1]Sheet1!$D$4+H669*[1]Sheet1!$J$4+I669*[1]Sheet1!$K$4+[1]Sheet1!$L$4,IF(AND(OR(D669="T. domingensis",D669="T. latifolia"),J669&gt;0),J669*[1]Sheet1!$G$5+K669*[1]Sheet1!$H$5+L669*[1]Sheet1!$I$5+[1]Sheet1!$L$5,0)))))))</f>
        <v>3.7626069999999991</v>
      </c>
      <c r="P669">
        <f t="shared" si="25"/>
        <v>3.7626069999999991</v>
      </c>
      <c r="S669">
        <f t="shared" si="26"/>
        <v>1.5393790999999997</v>
      </c>
    </row>
    <row r="670" spans="1:19">
      <c r="A670" s="8">
        <v>42818</v>
      </c>
      <c r="B670" s="7" t="s">
        <v>22</v>
      </c>
      <c r="C670" s="7">
        <v>17</v>
      </c>
      <c r="D670" s="7" t="s">
        <v>62</v>
      </c>
      <c r="F670" s="7">
        <v>1.93</v>
      </c>
      <c r="J670">
        <f>56+59+75+77</f>
        <v>267</v>
      </c>
      <c r="K670">
        <v>4</v>
      </c>
      <c r="L670">
        <v>77</v>
      </c>
      <c r="O670">
        <f>IF(AND(OR(D670="S. acutus",D670="S. californicus",D670="S. tabernaemontani"),G670=0),E670*[1]Sheet1!$D$7+[1]Sheet1!$L$7,IF(AND(OR(D670="S. acutus",D670="S. tabernaemontani"),G670&gt;0),E670*[1]Sheet1!$D$8+N670*[1]Sheet1!$E$8,IF(AND(D670="S. californicus",G670&gt;0),E670*[1]Sheet1!$D$9+N670*[1]Sheet1!$E$9,IF(D670="S.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latifolia"),E670&gt;0),F670*[1]Sheet1!$C$4+E670*[1]Sheet1!$D$4+H670*[1]Sheet1!$J$4+I670*[1]Sheet1!$K$4+[1]Sheet1!$L$4,IF(AND(OR(D670="T. domingensis",D670="T. latifolia"),J670&gt;0),J670*[1]Sheet1!$G$5+K670*[1]Sheet1!$H$5+L670*[1]Sheet1!$I$5+[1]Sheet1!$L$5,0)))))))</f>
        <v>6.7842920000000007</v>
      </c>
      <c r="P670">
        <f t="shared" si="25"/>
        <v>6.7842920000000007</v>
      </c>
      <c r="S670">
        <f t="shared" ref="S670:S688" si="27">3.14159*((F670/2)^2)</f>
        <v>2.92552714775</v>
      </c>
    </row>
    <row r="671" spans="1:19">
      <c r="A671" s="8">
        <v>42818</v>
      </c>
      <c r="B671" s="7" t="s">
        <v>22</v>
      </c>
      <c r="C671" s="7">
        <v>17</v>
      </c>
      <c r="D671" s="7" t="s">
        <v>62</v>
      </c>
      <c r="F671" s="7">
        <v>1.26</v>
      </c>
      <c r="G671" s="7"/>
      <c r="J671">
        <f>26+60+61+78</f>
        <v>225</v>
      </c>
      <c r="K671">
        <v>4</v>
      </c>
      <c r="L671">
        <v>78</v>
      </c>
      <c r="O671">
        <f>IF(AND(OR(D671="S. acutus",D671="S. californicus",D671="S. tabernaemontani"),G671=0),E671*[1]Sheet1!$D$7+[1]Sheet1!$L$7,IF(AND(OR(D671="S. acutus",D671="S. tabernaemontani"),G671&gt;0),E671*[1]Sheet1!$D$8+N671*[1]Sheet1!$E$8,IF(AND(D671="S. californicus",G671&gt;0),E671*[1]Sheet1!$D$9+N671*[1]Sheet1!$E$9,IF(D671="S.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latifolia"),E671&gt;0),F671*[1]Sheet1!$C$4+E671*[1]Sheet1!$D$4+H671*[1]Sheet1!$J$4+I671*[1]Sheet1!$K$4+[1]Sheet1!$L$4,IF(AND(OR(D671="T. domingensis",D671="T. latifolia"),J671&gt;0),J671*[1]Sheet1!$G$5+K671*[1]Sheet1!$H$5+L671*[1]Sheet1!$I$5+[1]Sheet1!$L$5,0)))))))</f>
        <v>2.545337</v>
      </c>
      <c r="P671">
        <f t="shared" si="25"/>
        <v>2.545337</v>
      </c>
      <c r="S671">
        <f t="shared" si="27"/>
        <v>1.246897071</v>
      </c>
    </row>
    <row r="672" spans="1:19">
      <c r="A672" s="8">
        <v>42818</v>
      </c>
      <c r="B672" s="7" t="s">
        <v>22</v>
      </c>
      <c r="C672" s="7">
        <v>17</v>
      </c>
      <c r="D672" s="7" t="s">
        <v>62</v>
      </c>
      <c r="F672" s="7">
        <v>1.5</v>
      </c>
      <c r="G672" s="7"/>
      <c r="I672" s="7"/>
      <c r="J672">
        <f>48+53+66</f>
        <v>167</v>
      </c>
      <c r="K672">
        <v>3</v>
      </c>
      <c r="L672">
        <v>66</v>
      </c>
      <c r="O672">
        <f>IF(AND(OR(D672="S. acutus",D672="S. californicus",D672="S. tabernaemontani"),G672=0),E672*[1]Sheet1!$D$7+[1]Sheet1!$L$7,IF(AND(OR(D672="S. acutus",D672="S. tabernaemontani"),G672&gt;0),E672*[1]Sheet1!$D$8+N672*[1]Sheet1!$E$8,IF(AND(D672="S. californicus",G672&gt;0),E672*[1]Sheet1!$D$9+N672*[1]Sheet1!$E$9,IF(D672="S.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latifolia"),E672&gt;0),F672*[1]Sheet1!$C$4+E672*[1]Sheet1!$D$4+H672*[1]Sheet1!$J$4+I672*[1]Sheet1!$K$4+[1]Sheet1!$L$4,IF(AND(OR(D672="T. domingensis",D672="T. latifolia"),J672&gt;0),J672*[1]Sheet1!$G$5+K672*[1]Sheet1!$H$5+L672*[1]Sheet1!$I$5+[1]Sheet1!$L$5,0)))))))</f>
        <v>7.7448399999999964</v>
      </c>
      <c r="P672">
        <f t="shared" si="25"/>
        <v>7.7448399999999964</v>
      </c>
      <c r="S672">
        <f t="shared" si="27"/>
        <v>1.767144375</v>
      </c>
    </row>
    <row r="673" spans="1:19">
      <c r="A673" s="8">
        <v>42818</v>
      </c>
      <c r="B673" s="7" t="s">
        <v>22</v>
      </c>
      <c r="C673" s="7">
        <v>17</v>
      </c>
      <c r="D673" s="7" t="s">
        <v>62</v>
      </c>
      <c r="F673" s="7">
        <v>1.39</v>
      </c>
      <c r="J673">
        <f>23+48+62+81+83</f>
        <v>297</v>
      </c>
      <c r="K673">
        <v>5</v>
      </c>
      <c r="L673">
        <v>83</v>
      </c>
      <c r="O673">
        <f>IF(AND(OR(D673="S. acutus",D673="S. californicus",D673="S. tabernaemontani"),G673=0),E673*[1]Sheet1!$D$7+[1]Sheet1!$L$7,IF(AND(OR(D673="S. acutus",D673="S. tabernaemontani"),G673&gt;0),E673*[1]Sheet1!$D$8+N673*[1]Sheet1!$E$8,IF(AND(D673="S. californicus",G673&gt;0),E673*[1]Sheet1!$D$9+N673*[1]Sheet1!$E$9,IF(D673="S.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latifolia"),E673&gt;0),F673*[1]Sheet1!$C$4+E673*[1]Sheet1!$D$4+H673*[1]Sheet1!$J$4+I673*[1]Sheet1!$K$4+[1]Sheet1!$L$4,IF(AND(OR(D673="T. domingensis",D673="T. latifolia"),J673&gt;0),J673*[1]Sheet1!$G$5+K673*[1]Sheet1!$H$5+L673*[1]Sheet1!$I$5+[1]Sheet1!$L$5,0)))))))</f>
        <v>0.76711900000000099</v>
      </c>
      <c r="P673">
        <f t="shared" si="25"/>
        <v>0.76711900000000099</v>
      </c>
      <c r="S673">
        <f t="shared" si="27"/>
        <v>1.5174665097499997</v>
      </c>
    </row>
    <row r="674" spans="1:19">
      <c r="A674" s="8">
        <v>42818</v>
      </c>
      <c r="B674" s="7" t="s">
        <v>22</v>
      </c>
      <c r="C674" s="7">
        <v>17</v>
      </c>
      <c r="D674" s="7" t="s">
        <v>62</v>
      </c>
      <c r="F674" s="7">
        <v>1.21</v>
      </c>
      <c r="J674">
        <f>44+47+23+25</f>
        <v>139</v>
      </c>
      <c r="K674">
        <v>4</v>
      </c>
      <c r="L674">
        <v>47</v>
      </c>
      <c r="O674">
        <f>IF(AND(OR(D674="S. acutus",D674="S. californicus",D674="S. tabernaemontani"),G674=0),E674*[1]Sheet1!$D$7+[1]Sheet1!$L$7,IF(AND(OR(D674="S. acutus",D674="S. tabernaemontani"),G674&gt;0),E674*[1]Sheet1!$D$8+N674*[1]Sheet1!$E$8,IF(AND(D674="S. californicus",G674&gt;0),E674*[1]Sheet1!$D$9+N674*[1]Sheet1!$E$9,IF(D674="S.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latifolia"),E674&gt;0),F674*[1]Sheet1!$C$4+E674*[1]Sheet1!$D$4+H674*[1]Sheet1!$J$4+I674*[1]Sheet1!$K$4+[1]Sheet1!$L$4,IF(AND(OR(D674="T. domingensis",D674="T. latifolia"),J674&gt;0),J674*[1]Sheet1!$G$5+K674*[1]Sheet1!$H$5+L674*[1]Sheet1!$I$5+[1]Sheet1!$L$5,0)))))))</f>
        <v>3.821002</v>
      </c>
      <c r="P674">
        <f t="shared" si="25"/>
        <v>3.821002</v>
      </c>
      <c r="S674">
        <f t="shared" si="27"/>
        <v>1.1499004797499999</v>
      </c>
    </row>
    <row r="675" spans="1:19">
      <c r="A675" s="8">
        <v>42818</v>
      </c>
      <c r="B675" s="7" t="s">
        <v>22</v>
      </c>
      <c r="C675" s="7">
        <v>17</v>
      </c>
      <c r="D675" s="7" t="s">
        <v>62</v>
      </c>
      <c r="F675" s="7">
        <v>1.7</v>
      </c>
      <c r="J675">
        <f>87+110+115+78</f>
        <v>390</v>
      </c>
      <c r="K675">
        <v>4</v>
      </c>
      <c r="L675">
        <v>115</v>
      </c>
      <c r="O675">
        <f>IF(AND(OR(D675="S. acutus",D675="S. californicus",D675="S. tabernaemontani"),G675=0),E675*[1]Sheet1!$D$7+[1]Sheet1!$L$7,IF(AND(OR(D675="S. acutus",D675="S. tabernaemontani"),G675&gt;0),E675*[1]Sheet1!$D$8+N675*[1]Sheet1!$E$8,IF(AND(D675="S. californicus",G675&gt;0),E675*[1]Sheet1!$D$9+N675*[1]Sheet1!$E$9,IF(D675="S.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latifolia"),E675&gt;0),F675*[1]Sheet1!$C$4+E675*[1]Sheet1!$D$4+H675*[1]Sheet1!$J$4+I675*[1]Sheet1!$K$4+[1]Sheet1!$L$4,IF(AND(OR(D675="T. domingensis",D675="T. latifolia"),J675&gt;0),J675*[1]Sheet1!$G$5+K675*[1]Sheet1!$H$5+L675*[1]Sheet1!$I$5+[1]Sheet1!$L$5,0)))))))</f>
        <v>6.8688469999999988</v>
      </c>
      <c r="P675">
        <f t="shared" si="25"/>
        <v>6.8688469999999988</v>
      </c>
      <c r="S675">
        <f t="shared" si="27"/>
        <v>2.2697987749999995</v>
      </c>
    </row>
    <row r="676" spans="1:19">
      <c r="A676" s="8">
        <v>42818</v>
      </c>
      <c r="B676" s="7" t="s">
        <v>22</v>
      </c>
      <c r="C676" s="7">
        <v>17</v>
      </c>
      <c r="D676" s="7" t="s">
        <v>62</v>
      </c>
      <c r="F676" s="7">
        <v>1</v>
      </c>
      <c r="J676">
        <f>63+34</f>
        <v>97</v>
      </c>
      <c r="K676">
        <v>2</v>
      </c>
      <c r="L676">
        <v>63</v>
      </c>
      <c r="O676">
        <f>IF(AND(OR(D676="S. acutus",D676="S. californicus",D676="S. tabernaemontani"),G676=0),E676*[1]Sheet1!$D$7+[1]Sheet1!$L$7,IF(AND(OR(D676="S. acutus",D676="S. tabernaemontani"),G676&gt;0),E676*[1]Sheet1!$D$8+N676*[1]Sheet1!$E$8,IF(AND(D676="S. californicus",G676&gt;0),E676*[1]Sheet1!$D$9+N676*[1]Sheet1!$E$9,IF(D676="S.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latifolia"),E676&gt;0),F676*[1]Sheet1!$C$4+E676*[1]Sheet1!$D$4+H676*[1]Sheet1!$J$4+I676*[1]Sheet1!$K$4+[1]Sheet1!$L$4,IF(AND(OR(D676="T. domingensis",D676="T. latifolia"),J676&gt;0),J676*[1]Sheet1!$G$5+K676*[1]Sheet1!$H$5+L676*[1]Sheet1!$I$5+[1]Sheet1!$L$5,0)))))))</f>
        <v>9.108077999999999</v>
      </c>
      <c r="P676">
        <f t="shared" si="25"/>
        <v>9.108077999999999</v>
      </c>
      <c r="S676">
        <f t="shared" si="27"/>
        <v>0.78539749999999997</v>
      </c>
    </row>
    <row r="677" spans="1:19">
      <c r="A677" s="8">
        <v>42818</v>
      </c>
      <c r="B677" s="7" t="s">
        <v>22</v>
      </c>
      <c r="C677" s="7">
        <v>5</v>
      </c>
      <c r="D677" s="7" t="s">
        <v>60</v>
      </c>
      <c r="E677">
        <v>215</v>
      </c>
      <c r="F677" s="7">
        <v>2</v>
      </c>
      <c r="G677" s="7"/>
      <c r="I677" s="7"/>
      <c r="O677">
        <f>IF(AND(OR(D677="S. acutus",D677="S. californicus",D677="S. tabernaemontani"),G677=0),E677*[1]Sheet1!$D$7+[1]Sheet1!$L$7,IF(AND(OR(D677="S. acutus",D677="S. tabernaemontani"),G677&gt;0),E677*[1]Sheet1!$D$8+N677*[1]Sheet1!$E$8,IF(AND(D677="S. californicus",G677&gt;0),E677*[1]Sheet1!$D$9+N677*[1]Sheet1!$E$9,IF(D677="S.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latifolia"),E677&gt;0),F677*[1]Sheet1!$C$4+E677*[1]Sheet1!$D$4+H677*[1]Sheet1!$J$4+I677*[1]Sheet1!$K$4+[1]Sheet1!$L$4,IF(AND(OR(D677="T. domingensis",D677="T. latifolia"),J677&gt;0),J677*[1]Sheet1!$G$5+K677*[1]Sheet1!$H$5+L677*[1]Sheet1!$I$5+[1]Sheet1!$L$5,0)))))))</f>
        <v>10.481978000000002</v>
      </c>
      <c r="P677">
        <f t="shared" si="25"/>
        <v>10.481978000000002</v>
      </c>
      <c r="S677">
        <f t="shared" si="27"/>
        <v>3.1415899999999999</v>
      </c>
    </row>
    <row r="678" spans="1:19">
      <c r="A678" s="8">
        <v>42818</v>
      </c>
      <c r="B678" s="7" t="s">
        <v>22</v>
      </c>
      <c r="C678" s="7">
        <v>5</v>
      </c>
      <c r="D678" s="7" t="s">
        <v>60</v>
      </c>
      <c r="E678">
        <v>154</v>
      </c>
      <c r="F678" s="7">
        <v>1.75</v>
      </c>
      <c r="G678" s="7"/>
      <c r="I678" s="7"/>
      <c r="O678">
        <f>IF(AND(OR(D678="S. acutus",D678="S. californicus",D678="S. tabernaemontani"),G678=0),E678*[1]Sheet1!$D$7+[1]Sheet1!$L$7,IF(AND(OR(D678="S. acutus",D678="S. tabernaemontani"),G678&gt;0),E678*[1]Sheet1!$D$8+N678*[1]Sheet1!$E$8,IF(AND(D678="S. californicus",G678&gt;0),E678*[1]Sheet1!$D$9+N678*[1]Sheet1!$E$9,IF(D678="S.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latifolia"),E678&gt;0),F678*[1]Sheet1!$C$4+E678*[1]Sheet1!$D$4+H678*[1]Sheet1!$J$4+I678*[1]Sheet1!$K$4+[1]Sheet1!$L$4,IF(AND(OR(D678="T. domingensis",D678="T. latifolia"),J678&gt;0),J678*[1]Sheet1!$G$5+K678*[1]Sheet1!$H$5+L678*[1]Sheet1!$I$5+[1]Sheet1!$L$5,0)))))))</f>
        <v>6.2055730000000002</v>
      </c>
      <c r="P678">
        <f t="shared" si="25"/>
        <v>6.2055730000000002</v>
      </c>
      <c r="S678">
        <f t="shared" si="27"/>
        <v>2.4052798437499998</v>
      </c>
    </row>
    <row r="679" spans="1:19">
      <c r="A679" s="8">
        <v>42818</v>
      </c>
      <c r="B679" s="7" t="s">
        <v>22</v>
      </c>
      <c r="C679" s="7">
        <v>5</v>
      </c>
      <c r="D679" s="7" t="s">
        <v>60</v>
      </c>
      <c r="E679">
        <v>183</v>
      </c>
      <c r="F679" s="7">
        <v>1.74</v>
      </c>
      <c r="G679" s="7"/>
      <c r="O679">
        <f>IF(AND(OR(D679="S. acutus",D679="S. californicus",D679="S. tabernaemontani"),G679=0),E679*[1]Sheet1!$D$7+[1]Sheet1!$L$7,IF(AND(OR(D679="S. acutus",D679="S. tabernaemontani"),G679&gt;0),E679*[1]Sheet1!$D$8+N679*[1]Sheet1!$E$8,IF(AND(D679="S. californicus",G679&gt;0),E679*[1]Sheet1!$D$9+N679*[1]Sheet1!$E$9,IF(D679="S.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latifolia"),E679&gt;0),F679*[1]Sheet1!$C$4+E679*[1]Sheet1!$D$4+H679*[1]Sheet1!$J$4+I679*[1]Sheet1!$K$4+[1]Sheet1!$L$4,IF(AND(OR(D679="T. domingensis",D679="T. latifolia"),J679&gt;0),J679*[1]Sheet1!$G$5+K679*[1]Sheet1!$H$5+L679*[1]Sheet1!$I$5+[1]Sheet1!$L$5,0)))))))</f>
        <v>8.2386179999999989</v>
      </c>
      <c r="P679">
        <f t="shared" si="25"/>
        <v>8.2386179999999989</v>
      </c>
      <c r="S679">
        <f t="shared" si="27"/>
        <v>2.3778694709999999</v>
      </c>
    </row>
    <row r="680" spans="1:19">
      <c r="A680" s="8">
        <v>42818</v>
      </c>
      <c r="B680" s="7" t="s">
        <v>22</v>
      </c>
      <c r="C680" s="7">
        <v>5</v>
      </c>
      <c r="D680" s="7" t="s">
        <v>60</v>
      </c>
      <c r="E680">
        <v>73</v>
      </c>
      <c r="F680" s="7">
        <v>0.67</v>
      </c>
      <c r="G680" s="7"/>
      <c r="O680">
        <f>IF(AND(OR(D680="S. acutus",D680="S. californicus",D680="S. tabernaemontani"),G680=0),E680*[1]Sheet1!$D$7+[1]Sheet1!$L$7,IF(AND(OR(D680="S. acutus",D680="S. tabernaemontani"),G680&gt;0),E680*[1]Sheet1!$D$8+N680*[1]Sheet1!$E$8,IF(AND(D680="S. californicus",G680&gt;0),E680*[1]Sheet1!$D$9+N680*[1]Sheet1!$E$9,IF(D680="S.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latifolia"),E680&gt;0),F680*[1]Sheet1!$C$4+E680*[1]Sheet1!$D$4+H680*[1]Sheet1!$J$4+I680*[1]Sheet1!$K$4+[1]Sheet1!$L$4,IF(AND(OR(D680="T. domingensis",D680="T. latifolia"),J680&gt;0),J680*[1]Sheet1!$G$5+K680*[1]Sheet1!$H$5+L680*[1]Sheet1!$I$5+[1]Sheet1!$L$5,0)))))))</f>
        <v>0.52706799999999987</v>
      </c>
      <c r="P680">
        <f t="shared" si="25"/>
        <v>0.52706799999999987</v>
      </c>
      <c r="S680">
        <f t="shared" si="27"/>
        <v>0.35256493775000003</v>
      </c>
    </row>
    <row r="681" spans="1:19">
      <c r="A681" s="8">
        <v>42818</v>
      </c>
      <c r="B681" s="7" t="s">
        <v>22</v>
      </c>
      <c r="C681" s="7">
        <v>5</v>
      </c>
      <c r="D681" s="7" t="s">
        <v>60</v>
      </c>
      <c r="E681">
        <v>150</v>
      </c>
      <c r="F681" s="7">
        <v>1.64</v>
      </c>
      <c r="G681" s="7"/>
      <c r="O681">
        <f>IF(AND(OR(D681="S. acutus",D681="S. californicus",D681="S. tabernaemontani"),G681=0),E681*[1]Sheet1!$D$7+[1]Sheet1!$L$7,IF(AND(OR(D681="S. acutus",D681="S. tabernaemontani"),G681&gt;0),E681*[1]Sheet1!$D$8+N681*[1]Sheet1!$E$8,IF(AND(D681="S. californicus",G681&gt;0),E681*[1]Sheet1!$D$9+N681*[1]Sheet1!$E$9,IF(D681="S.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latifolia"),E681&gt;0),F681*[1]Sheet1!$C$4+E681*[1]Sheet1!$D$4+H681*[1]Sheet1!$J$4+I681*[1]Sheet1!$K$4+[1]Sheet1!$L$4,IF(AND(OR(D681="T. domingensis",D681="T. latifolia"),J681&gt;0),J681*[1]Sheet1!$G$5+K681*[1]Sheet1!$H$5+L681*[1]Sheet1!$I$5+[1]Sheet1!$L$5,0)))))))</f>
        <v>5.9251530000000008</v>
      </c>
      <c r="P681">
        <f t="shared" si="25"/>
        <v>5.9251530000000008</v>
      </c>
      <c r="S681">
        <f t="shared" si="27"/>
        <v>2.1124051159999997</v>
      </c>
    </row>
    <row r="682" spans="1:19">
      <c r="A682" s="8">
        <v>42818</v>
      </c>
      <c r="B682" s="7" t="s">
        <v>22</v>
      </c>
      <c r="C682" s="7">
        <v>5</v>
      </c>
      <c r="D682" s="7" t="s">
        <v>60</v>
      </c>
      <c r="E682">
        <v>40</v>
      </c>
      <c r="F682" s="7">
        <v>0.61</v>
      </c>
      <c r="O682">
        <f>IF(AND(OR(D682="S. acutus",D682="S. californicus",D682="S. tabernaemontani"),G682=0),E682*[1]Sheet1!$D$7+[1]Sheet1!$L$7,IF(AND(OR(D682="S. acutus",D682="S. tabernaemontani"),G682&gt;0),E682*[1]Sheet1!$D$8+N682*[1]Sheet1!$E$8,IF(AND(D682="S. californicus",G682&gt;0),E682*[1]Sheet1!$D$9+N682*[1]Sheet1!$E$9,IF(D682="S.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latifolia"),E682&gt;0),F682*[1]Sheet1!$C$4+E682*[1]Sheet1!$D$4+H682*[1]Sheet1!$J$4+I682*[1]Sheet1!$K$4+[1]Sheet1!$L$4,IF(AND(OR(D682="T. domingensis",D682="T. latifolia"),J682&gt;0),J682*[1]Sheet1!$G$5+K682*[1]Sheet1!$H$5+L682*[1]Sheet1!$I$5+[1]Sheet1!$L$5,0)))))))</f>
        <v>-1.786397</v>
      </c>
      <c r="P682" t="str">
        <f t="shared" si="25"/>
        <v xml:space="preserve"> </v>
      </c>
      <c r="S682">
        <f t="shared" si="27"/>
        <v>0.29224640974999999</v>
      </c>
    </row>
    <row r="683" spans="1:19">
      <c r="A683" s="8">
        <v>42818</v>
      </c>
      <c r="B683" s="7" t="s">
        <v>22</v>
      </c>
      <c r="C683" s="7">
        <v>5</v>
      </c>
      <c r="D683" s="7" t="s">
        <v>62</v>
      </c>
      <c r="F683" s="7">
        <v>0.9</v>
      </c>
      <c r="J683">
        <f>33+48+60</f>
        <v>141</v>
      </c>
      <c r="K683">
        <v>3</v>
      </c>
      <c r="L683">
        <v>60</v>
      </c>
      <c r="O683">
        <f>IF(AND(OR(D683="S. acutus",D683="S. californicus",D683="S. tabernaemontani"),G683=0),E683*[1]Sheet1!$D$7+[1]Sheet1!$L$7,IF(AND(OR(D683="S. acutus",D683="S. tabernaemontani"),G683&gt;0),E683*[1]Sheet1!$D$8+N683*[1]Sheet1!$E$8,IF(AND(D683="S. californicus",G683&gt;0),E683*[1]Sheet1!$D$9+N683*[1]Sheet1!$E$9,IF(D683="S.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latifolia"),E683&gt;0),F683*[1]Sheet1!$C$4+E683*[1]Sheet1!$D$4+H683*[1]Sheet1!$J$4+I683*[1]Sheet1!$K$4+[1]Sheet1!$L$4,IF(AND(OR(D683="T. domingensis",D683="T. latifolia"),J683&gt;0),J683*[1]Sheet1!$G$5+K683*[1]Sheet1!$H$5+L683*[1]Sheet1!$I$5+[1]Sheet1!$L$5,0)))))))</f>
        <v>7.1146799999999963</v>
      </c>
      <c r="P683">
        <f t="shared" si="25"/>
        <v>7.1146799999999963</v>
      </c>
      <c r="S683">
        <f t="shared" si="27"/>
        <v>0.636171975</v>
      </c>
    </row>
    <row r="684" spans="1:19">
      <c r="A684" s="8">
        <v>42818</v>
      </c>
      <c r="B684" s="7" t="s">
        <v>22</v>
      </c>
      <c r="C684" s="7">
        <v>5</v>
      </c>
      <c r="D684" s="7" t="s">
        <v>62</v>
      </c>
      <c r="F684" s="7">
        <v>0.92</v>
      </c>
      <c r="J684">
        <f>28+43+73+67</f>
        <v>211</v>
      </c>
      <c r="K684">
        <v>4</v>
      </c>
      <c r="L684">
        <v>67</v>
      </c>
      <c r="O684">
        <f>IF(AND(OR(D684="S. acutus",D684="S. californicus",D684="S. tabernaemontani"),G684=0),E684*[1]Sheet1!$D$7+[1]Sheet1!$L$7,IF(AND(OR(D684="S. acutus",D684="S. tabernaemontani"),G684&gt;0),E684*[1]Sheet1!$D$8+N684*[1]Sheet1!$E$8,IF(AND(D684="S. californicus",G684&gt;0),E684*[1]Sheet1!$D$9+N684*[1]Sheet1!$E$9,IF(D684="S.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latifolia"),E684&gt;0),F684*[1]Sheet1!$C$4+E684*[1]Sheet1!$D$4+H684*[1]Sheet1!$J$4+I684*[1]Sheet1!$K$4+[1]Sheet1!$L$4,IF(AND(OR(D684="T. domingensis",D684="T. latifolia"),J684&gt;0),J684*[1]Sheet1!$G$5+K684*[1]Sheet1!$H$5+L684*[1]Sheet1!$I$5+[1]Sheet1!$L$5,0)))))))</f>
        <v>4.5464619999999982</v>
      </c>
      <c r="P684">
        <f t="shared" si="25"/>
        <v>4.5464619999999982</v>
      </c>
      <c r="S684">
        <f t="shared" si="27"/>
        <v>0.66476044400000001</v>
      </c>
    </row>
    <row r="685" spans="1:19">
      <c r="A685" s="8">
        <v>42818</v>
      </c>
      <c r="B685" s="7" t="s">
        <v>22</v>
      </c>
      <c r="C685" s="7">
        <v>5</v>
      </c>
      <c r="D685" s="7" t="s">
        <v>62</v>
      </c>
      <c r="F685" s="7">
        <v>1</v>
      </c>
      <c r="J685">
        <f>39+66+76</f>
        <v>181</v>
      </c>
      <c r="K685">
        <v>3</v>
      </c>
      <c r="L685">
        <v>76</v>
      </c>
      <c r="O685">
        <f>IF(AND(OR(D685="S. acutus",D685="S. californicus",D685="S. tabernaemontani"),G685=0),E685*[1]Sheet1!$D$7+[1]Sheet1!$L$7,IF(AND(OR(D685="S. acutus",D685="S. tabernaemontani"),G685&gt;0),E685*[1]Sheet1!$D$8+N685*[1]Sheet1!$E$8,IF(AND(D685="S. californicus",G685&gt;0),E685*[1]Sheet1!$D$9+N685*[1]Sheet1!$E$9,IF(D685="S.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latifolia"),E685&gt;0),F685*[1]Sheet1!$C$4+E685*[1]Sheet1!$D$4+H685*[1]Sheet1!$J$4+I685*[1]Sheet1!$K$4+[1]Sheet1!$L$4,IF(AND(OR(D685="T. domingensis",D685="T. latifolia"),J685&gt;0),J685*[1]Sheet1!$G$5+K685*[1]Sheet1!$H$5+L685*[1]Sheet1!$I$5+[1]Sheet1!$L$5,0)))))))</f>
        <v>6.0449599999999961</v>
      </c>
      <c r="P685">
        <f t="shared" si="25"/>
        <v>6.0449599999999961</v>
      </c>
      <c r="S685">
        <f t="shared" si="27"/>
        <v>0.78539749999999997</v>
      </c>
    </row>
    <row r="686" spans="1:19">
      <c r="A686" s="8">
        <v>42818</v>
      </c>
      <c r="B686" s="7" t="s">
        <v>22</v>
      </c>
      <c r="C686" s="7">
        <v>5</v>
      </c>
      <c r="D686" s="7" t="s">
        <v>62</v>
      </c>
      <c r="F686" s="7">
        <v>1.1100000000000001</v>
      </c>
      <c r="G686" s="7"/>
      <c r="J686">
        <f>52+86+64+30</f>
        <v>232</v>
      </c>
      <c r="K686">
        <v>4</v>
      </c>
      <c r="L686">
        <v>86</v>
      </c>
      <c r="O686">
        <f>IF(AND(OR(D686="S. acutus",D686="S. californicus",D686="S. tabernaemontani"),G686=0),E686*[1]Sheet1!$D$7+[1]Sheet1!$L$7,IF(AND(OR(D686="S. acutus",D686="S. tabernaemontani"),G686&gt;0),E686*[1]Sheet1!$D$8+N686*[1]Sheet1!$E$8,IF(AND(D686="S. californicus",G686&gt;0),E686*[1]Sheet1!$D$9+N686*[1]Sheet1!$E$9,IF(D686="S.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latifolia"),E686&gt;0),F686*[1]Sheet1!$C$4+E686*[1]Sheet1!$D$4+H686*[1]Sheet1!$J$4+I686*[1]Sheet1!$K$4+[1]Sheet1!$L$4,IF(AND(OR(D686="T. domingensis",D686="T. latifolia"),J686&gt;0),J686*[1]Sheet1!$G$5+K686*[1]Sheet1!$H$5+L686*[1]Sheet1!$I$5+[1]Sheet1!$L$5,0)))))))</f>
        <v>0.79166200000000231</v>
      </c>
      <c r="P686">
        <f t="shared" si="25"/>
        <v>0.79166200000000231</v>
      </c>
      <c r="S686">
        <f t="shared" si="27"/>
        <v>0.96768825975000017</v>
      </c>
    </row>
    <row r="687" spans="1:19">
      <c r="A687" s="8">
        <v>42818</v>
      </c>
      <c r="B687" s="7" t="s">
        <v>22</v>
      </c>
      <c r="C687" s="7">
        <v>5</v>
      </c>
      <c r="D687" s="7" t="s">
        <v>62</v>
      </c>
      <c r="F687" s="7">
        <v>1.61</v>
      </c>
      <c r="G687" s="7"/>
      <c r="H687" s="7"/>
      <c r="J687">
        <f>107+31+49+91+122</f>
        <v>400</v>
      </c>
      <c r="K687">
        <v>5</v>
      </c>
      <c r="L687">
        <v>122</v>
      </c>
      <c r="O687">
        <f>IF(AND(OR(D687="S. acutus",D687="S. californicus",D687="S. tabernaemontani"),G687=0),E687*[1]Sheet1!$D$7+[1]Sheet1!$L$7,IF(AND(OR(D687="S. acutus",D687="S. tabernaemontani"),G687&gt;0),E687*[1]Sheet1!$D$8+N687*[1]Sheet1!$E$8,IF(AND(D687="S. californicus",G687&gt;0),E687*[1]Sheet1!$D$9+N687*[1]Sheet1!$E$9,IF(D687="S. maritimus",F687*[1]Sheet1!$C$10+E687*[1]Sheet1!$D$10+G687*[1]Sheet1!$F$10+[1]Sheet1!$L$10,IF(D687="S. americanus",F687*[1]Sheet1!$C$6+E687*[1]Sheet1!$D$6+[1]Sheet1!$L$6,IF(AND(OR(D687="T. domingensis",D687="T. latifolia"),E687&gt;0),F687*[1]Sheet1!$C$4+E687*[1]Sheet1!$D$4+H687*[1]Sheet1!$J$4+I687*[1]Sheet1!$K$4+[1]Sheet1!$L$4,IF(AND(OR(D687="T. domingensis",D687="T. latifolia"),J687&gt;0),J687*[1]Sheet1!$G$5+K687*[1]Sheet1!$H$5+L687*[1]Sheet1!$I$5+[1]Sheet1!$L$5,0)))))))</f>
        <v>-1.324670999999995</v>
      </c>
      <c r="P687" t="str">
        <f t="shared" si="25"/>
        <v xml:space="preserve"> </v>
      </c>
      <c r="S687">
        <f t="shared" si="27"/>
        <v>2.0358288597500001</v>
      </c>
    </row>
    <row r="688" spans="1:19">
      <c r="A688" s="8">
        <v>42818</v>
      </c>
      <c r="B688" s="7" t="s">
        <v>22</v>
      </c>
      <c r="C688" s="7">
        <v>5</v>
      </c>
      <c r="D688" s="7" t="s">
        <v>62</v>
      </c>
      <c r="F688" s="7">
        <v>0.7</v>
      </c>
      <c r="G688" s="7"/>
      <c r="J688">
        <f>30+48+33</f>
        <v>111</v>
      </c>
      <c r="K688">
        <v>3</v>
      </c>
      <c r="L688">
        <v>48</v>
      </c>
      <c r="O688">
        <f>IF(AND(OR(D688="S. acutus",D688="S. californicus",D688="S. tabernaemontani"),G688=0),E688*[1]Sheet1!$D$7+[1]Sheet1!$L$7,IF(AND(OR(D688="S. acutus",D688="S. tabernaemontani"),G688&gt;0),E688*[1]Sheet1!$D$8+N688*[1]Sheet1!$E$8,IF(AND(D688="S. californicus",G688&gt;0),E688*[1]Sheet1!$D$9+N688*[1]Sheet1!$E$9,IF(D688="S. maritimus",F688*[1]Sheet1!$C$10+E688*[1]Sheet1!$D$10+G688*[1]Sheet1!$F$10+[1]Sheet1!$L$10,IF(D688="S. americanus",F688*[1]Sheet1!$C$6+E688*[1]Sheet1!$D$6+[1]Sheet1!$L$6,IF(AND(OR(D688="T. domingensis",D688="T. latifolia"),E688&gt;0),F688*[1]Sheet1!$C$4+E688*[1]Sheet1!$D$4+H688*[1]Sheet1!$J$4+I688*[1]Sheet1!$K$4+[1]Sheet1!$L$4,IF(AND(OR(D688="T. domingensis",D688="T. latifolia"),J688&gt;0),J688*[1]Sheet1!$G$5+K688*[1]Sheet1!$H$5+L688*[1]Sheet1!$I$5+[1]Sheet1!$L$5,0)))))))</f>
        <v>7.9169699999999992</v>
      </c>
      <c r="P688">
        <f t="shared" si="25"/>
        <v>7.9169699999999992</v>
      </c>
      <c r="S688">
        <f t="shared" si="27"/>
        <v>0.38484477499999992</v>
      </c>
    </row>
  </sheetData>
  <sortState ref="B5:S687">
    <sortCondition ref="B5:B687"/>
    <sortCondition descending="1" ref="C5:C687"/>
    <sortCondition ref="D5:D687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activeCell="R53" sqref="R53"/>
    </sheetView>
  </sheetViews>
  <sheetFormatPr baseColWidth="10" defaultRowHeight="15" x14ac:dyDescent="0"/>
  <sheetData>
    <row r="1" spans="1:34" ht="20" thickBot="1">
      <c r="A1" s="45" t="s">
        <v>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11"/>
      <c r="AA1" s="11"/>
    </row>
    <row r="2" spans="1:34" ht="99" thickTop="1">
      <c r="A2" s="12" t="s">
        <v>25</v>
      </c>
      <c r="B2" s="12" t="s">
        <v>3</v>
      </c>
      <c r="C2" s="5" t="s">
        <v>26</v>
      </c>
      <c r="D2" s="13" t="s">
        <v>27</v>
      </c>
      <c r="E2" s="12" t="s">
        <v>28</v>
      </c>
      <c r="F2" s="5" t="s">
        <v>29</v>
      </c>
      <c r="G2" s="5" t="s">
        <v>27</v>
      </c>
      <c r="H2" s="12" t="s">
        <v>30</v>
      </c>
      <c r="I2" s="5" t="s">
        <v>31</v>
      </c>
      <c r="J2" s="5" t="s">
        <v>27</v>
      </c>
      <c r="K2" s="12" t="s">
        <v>32</v>
      </c>
      <c r="L2" s="5" t="s">
        <v>33</v>
      </c>
      <c r="M2" s="14" t="s">
        <v>27</v>
      </c>
      <c r="N2" s="12" t="s">
        <v>34</v>
      </c>
      <c r="O2" s="5" t="s">
        <v>35</v>
      </c>
      <c r="P2" s="5" t="s">
        <v>27</v>
      </c>
      <c r="Q2" s="12" t="s">
        <v>36</v>
      </c>
      <c r="R2" s="5" t="s">
        <v>37</v>
      </c>
      <c r="S2" s="14" t="s">
        <v>27</v>
      </c>
      <c r="T2" s="12" t="s">
        <v>38</v>
      </c>
      <c r="U2" s="5" t="s">
        <v>39</v>
      </c>
      <c r="V2" s="5" t="s">
        <v>27</v>
      </c>
      <c r="W2" s="12" t="s">
        <v>40</v>
      </c>
      <c r="X2" s="12" t="s">
        <v>41</v>
      </c>
      <c r="Y2" s="12" t="s">
        <v>42</v>
      </c>
      <c r="Z2" s="12" t="s">
        <v>43</v>
      </c>
      <c r="AA2" s="12" t="s">
        <v>44</v>
      </c>
      <c r="AB2" s="12" t="s">
        <v>45</v>
      </c>
      <c r="AC2" s="12" t="s">
        <v>46</v>
      </c>
      <c r="AD2" s="12" t="s">
        <v>47</v>
      </c>
      <c r="AE2" s="12" t="s">
        <v>48</v>
      </c>
      <c r="AF2" s="15" t="s">
        <v>49</v>
      </c>
      <c r="AG2" s="15" t="s">
        <v>50</v>
      </c>
      <c r="AH2" s="15" t="s">
        <v>51</v>
      </c>
    </row>
    <row r="3" spans="1:34">
      <c r="A3" s="16" t="s">
        <v>52</v>
      </c>
      <c r="B3" s="17">
        <v>32</v>
      </c>
      <c r="C3" s="18"/>
      <c r="D3" s="19"/>
      <c r="E3" s="17">
        <f>C3*4</f>
        <v>0</v>
      </c>
      <c r="F3" s="18"/>
      <c r="G3" s="20"/>
      <c r="H3" s="17">
        <f>F3*4</f>
        <v>0</v>
      </c>
      <c r="I3" s="18"/>
      <c r="J3" s="20"/>
      <c r="K3" s="17">
        <f>I3*4</f>
        <v>0</v>
      </c>
      <c r="L3" s="18"/>
      <c r="M3" s="20"/>
      <c r="N3" s="17">
        <f>L3*4</f>
        <v>0</v>
      </c>
      <c r="O3" s="18"/>
      <c r="P3" s="20"/>
      <c r="Q3" s="17">
        <f>O3*4</f>
        <v>0</v>
      </c>
      <c r="R3" s="18">
        <f>SUM('Plant Measurements'!P4+'Plant Measurements'!P5+'Plant Measurements'!P6+'Plant Measurements'!P7+'Plant Measurements'!P8+'Plant Measurements'!P9+'Plant Measurements'!P10+'Plant Measurements'!P11+'Plant Measurements'!P12+'Plant Measurements'!P13+'Plant Measurements'!P14+'Plant Measurements'!P15+'Plant Measurements'!P16+'Plant Measurements'!P17+'Plant Measurements'!P18+'Plant Measurements'!P19+'Plant Measurements'!P20+'Plant Measurements'!P21+'Plant Measurements'!P22+'Plant Measurements'!P23+'Plant Measurements'!P24+'Plant Measurements'!P25+'Plant Measurements'!P26+'Plant Measurements'!P27)</f>
        <v>205.11872299999996</v>
      </c>
      <c r="S3" s="20"/>
      <c r="T3" s="17">
        <f>R3*4</f>
        <v>820.47489199999984</v>
      </c>
      <c r="U3" s="18"/>
      <c r="V3" s="20"/>
      <c r="W3" s="17">
        <f>U3*4</f>
        <v>0</v>
      </c>
      <c r="X3" s="17">
        <f>SUM(W3,T3,Q3,N3,K3,H3,E3)</f>
        <v>820.47489199999984</v>
      </c>
      <c r="Y3" s="21">
        <f>AVERAGE(X3:X7)</f>
        <v>494.16402879999998</v>
      </c>
      <c r="Z3" s="22">
        <f>E3+Q3</f>
        <v>0</v>
      </c>
      <c r="AA3" s="22">
        <f>W3+T3</f>
        <v>820.47489199999984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3451.512733974585</v>
      </c>
    </row>
    <row r="4" spans="1:34">
      <c r="A4" s="23" t="s">
        <v>52</v>
      </c>
      <c r="B4" s="24">
        <v>31</v>
      </c>
      <c r="C4" s="25"/>
      <c r="D4" s="26"/>
      <c r="E4" s="17">
        <f t="shared" ref="E4:E52" si="0">C4*4</f>
        <v>0</v>
      </c>
      <c r="F4" s="25"/>
      <c r="G4" s="27"/>
      <c r="H4" s="17">
        <f>F4*4</f>
        <v>0</v>
      </c>
      <c r="I4" s="25"/>
      <c r="J4" s="27"/>
      <c r="K4" s="17">
        <f t="shared" ref="K4:K52" si="1">I4*4</f>
        <v>0</v>
      </c>
      <c r="L4" s="25"/>
      <c r="M4" s="27"/>
      <c r="N4" s="17">
        <f t="shared" ref="N4:N52" si="2">L4*4</f>
        <v>0</v>
      </c>
      <c r="O4" s="25"/>
      <c r="P4" s="27"/>
      <c r="Q4" s="17">
        <f t="shared" ref="Q4:Q52" si="3">O4*4</f>
        <v>0</v>
      </c>
      <c r="R4" s="25">
        <f>SUM('Plant Measurements'!P28+'Plant Measurements'!P29+'Plant Measurements'!P30+'Plant Measurements'!P31+'Plant Measurements'!P32+'Plant Measurements'!P33+'Plant Measurements'!P34+'Plant Measurements'!P35+'Plant Measurements'!P36+'Plant Measurements'!P37+'Plant Measurements'!P38+'Plant Measurements'!P39+'Plant Measurements'!P40+'Plant Measurements'!P41+'Plant Measurements'!P42+'Plant Measurements'!P43+'Plant Measurements'!P44+'Plant Measurements'!P45+'Plant Measurements'!P46+'Plant Measurements'!P47+'Plant Measurements'!P48+'Plant Measurements'!P49+'Plant Measurements'!P50+'Plant Measurements'!P51)</f>
        <v>272.45885199999992</v>
      </c>
      <c r="S4" s="27"/>
      <c r="T4" s="17">
        <f t="shared" ref="T4:T52" si="4">R4*4</f>
        <v>1089.8354079999997</v>
      </c>
      <c r="U4" s="25"/>
      <c r="V4" s="27"/>
      <c r="W4" s="17">
        <f t="shared" ref="W4:W52" si="5">U4*4</f>
        <v>0</v>
      </c>
      <c r="X4" s="24">
        <f t="shared" ref="X4:X52" si="6">SUM(W4,T4,Q4,N4,K4,H4,E4)</f>
        <v>1089.8354079999997</v>
      </c>
      <c r="Y4" s="28"/>
      <c r="Z4" s="22">
        <f t="shared" ref="Z4:Z52" si="7">E4+Q4</f>
        <v>0</v>
      </c>
      <c r="AA4" s="22">
        <f t="shared" ref="AA4:AA52" si="8">W4+T4</f>
        <v>1089.8354079999997</v>
      </c>
      <c r="AB4">
        <f t="shared" ref="AB4:AB52" si="9">IF(X4&gt;0,(Q4+E4)/X4," ")</f>
        <v>0</v>
      </c>
      <c r="AC4">
        <f t="shared" ref="AC4:AC52" si="10">IF(X4&gt;0,H4/X4," ")</f>
        <v>0</v>
      </c>
      <c r="AD4">
        <f t="shared" ref="AD4:AD52" si="11">IF(X4&gt;0,K4/X4," ")</f>
        <v>0</v>
      </c>
      <c r="AE4">
        <f t="shared" ref="AE4:AE52" si="12">IF(X4&gt;0,(W4+T4)/X4," ")</f>
        <v>1</v>
      </c>
      <c r="AF4">
        <f t="shared" ref="AF4:AF52" si="13">210336.2801/10</f>
        <v>21033.62801</v>
      </c>
      <c r="AG4">
        <f t="shared" ref="AG4:AG52" si="14">AF4/5</f>
        <v>4206.7256020000004</v>
      </c>
      <c r="AH4">
        <f t="shared" ref="AH4:AH52" si="15">(AG4*X4)/1000</f>
        <v>4584.6385127997146</v>
      </c>
    </row>
    <row r="5" spans="1:34">
      <c r="A5" s="23" t="s">
        <v>52</v>
      </c>
      <c r="B5" s="24">
        <v>19</v>
      </c>
      <c r="C5" s="25">
        <f>SUM('Plant Measurements'!P53+'Plant Measurements'!P54+'Plant Measurements'!P55+'Plant Measurements'!P56+'Plant Measurements'!P57+'Plant Measurements'!P58+'Plant Measurements'!P59+'Plant Measurements'!P60)</f>
        <v>0</v>
      </c>
      <c r="D5" s="26"/>
      <c r="E5" s="17">
        <f t="shared" si="0"/>
        <v>0</v>
      </c>
      <c r="F5" s="25"/>
      <c r="G5" s="27"/>
      <c r="H5" s="17">
        <f>F5*4</f>
        <v>0</v>
      </c>
      <c r="I5" s="25"/>
      <c r="J5" s="27"/>
      <c r="K5" s="17">
        <f t="shared" si="1"/>
        <v>0</v>
      </c>
      <c r="L5" s="25"/>
      <c r="M5" s="27"/>
      <c r="N5" s="17">
        <f t="shared" si="2"/>
        <v>0</v>
      </c>
      <c r="O5" s="25"/>
      <c r="P5" s="27"/>
      <c r="Q5" s="17">
        <f t="shared" si="3"/>
        <v>0</v>
      </c>
      <c r="R5" s="25">
        <f>SUM('Plant Measurements'!P61+'Plant Measurements'!P62+'Plant Measurements'!P63+'Plant Measurements'!P64+'Plant Measurements'!P65+'Plant Measurements'!P66+'Plant Measurements'!P67+'Plant Measurements'!P68)</f>
        <v>66.417456999999999</v>
      </c>
      <c r="S5" s="27"/>
      <c r="T5" s="17">
        <f t="shared" si="4"/>
        <v>265.669828</v>
      </c>
      <c r="U5" s="25"/>
      <c r="V5" s="27"/>
      <c r="W5" s="17">
        <f t="shared" si="5"/>
        <v>0</v>
      </c>
      <c r="X5" s="24">
        <f t="shared" si="6"/>
        <v>265.669828</v>
      </c>
      <c r="Y5" s="28"/>
      <c r="Z5" s="22">
        <f t="shared" si="7"/>
        <v>0</v>
      </c>
      <c r="AA5" s="22">
        <f t="shared" si="8"/>
        <v>265.669828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1</v>
      </c>
      <c r="AF5">
        <f t="shared" si="13"/>
        <v>21033.62801</v>
      </c>
      <c r="AG5">
        <f t="shared" si="14"/>
        <v>4206.7256020000004</v>
      </c>
      <c r="AH5">
        <f t="shared" si="15"/>
        <v>1117.6000671265365</v>
      </c>
    </row>
    <row r="6" spans="1:34">
      <c r="A6" s="23" t="s">
        <v>52</v>
      </c>
      <c r="B6" s="24">
        <v>12</v>
      </c>
      <c r="C6" s="25"/>
      <c r="D6" s="26"/>
      <c r="E6" s="17">
        <f t="shared" si="0"/>
        <v>0</v>
      </c>
      <c r="F6" s="25"/>
      <c r="G6" s="27"/>
      <c r="H6" s="17">
        <f>F6*4</f>
        <v>0</v>
      </c>
      <c r="I6" s="25"/>
      <c r="J6" s="27"/>
      <c r="K6" s="17">
        <f t="shared" si="1"/>
        <v>0</v>
      </c>
      <c r="L6" s="25"/>
      <c r="M6" s="27"/>
      <c r="N6" s="17">
        <f t="shared" si="2"/>
        <v>0</v>
      </c>
      <c r="O6" s="25"/>
      <c r="P6" s="27"/>
      <c r="Q6" s="17">
        <f t="shared" si="3"/>
        <v>0</v>
      </c>
      <c r="R6" s="25">
        <f>SUM('Plant Measurements'!P69+'Plant Measurements'!P70+'Plant Measurements'!P71+'Plant Measurements'!P72+'Plant Measurements'!P73+'Plant Measurements'!P74+'Plant Measurements'!P75+'Plant Measurements'!P76+'Plant Measurements'!P78+'Plant Measurements'!P79+'Plant Measurements'!P80+'Plant Measurements'!P81)</f>
        <v>73.710004000000012</v>
      </c>
      <c r="S6" s="27"/>
      <c r="T6" s="17">
        <f t="shared" si="4"/>
        <v>294.84001600000005</v>
      </c>
      <c r="U6" s="25"/>
      <c r="V6" s="27"/>
      <c r="W6" s="17">
        <f t="shared" si="5"/>
        <v>0</v>
      </c>
      <c r="X6" s="24">
        <f t="shared" si="6"/>
        <v>294.84001600000005</v>
      </c>
      <c r="Y6" s="28"/>
      <c r="Z6" s="22">
        <f t="shared" si="7"/>
        <v>0</v>
      </c>
      <c r="AA6" s="22">
        <f t="shared" si="8"/>
        <v>294.84001600000005</v>
      </c>
      <c r="AB6">
        <f t="shared" si="9"/>
        <v>0</v>
      </c>
      <c r="AC6">
        <f t="shared" si="10"/>
        <v>0</v>
      </c>
      <c r="AD6">
        <f t="shared" si="11"/>
        <v>0</v>
      </c>
      <c r="AE6">
        <f t="shared" si="12"/>
        <v>1</v>
      </c>
      <c r="AF6">
        <f t="shared" si="13"/>
        <v>21033.62801</v>
      </c>
      <c r="AG6">
        <f>AF6/5</f>
        <v>4206.7256020000004</v>
      </c>
      <c r="AH6">
        <f t="shared" si="15"/>
        <v>1240.31104380129</v>
      </c>
    </row>
    <row r="7" spans="1:34">
      <c r="A7" s="29" t="s">
        <v>52</v>
      </c>
      <c r="B7" s="30">
        <v>10</v>
      </c>
      <c r="C7" s="31"/>
      <c r="D7" s="32"/>
      <c r="E7" s="17">
        <f t="shared" si="0"/>
        <v>0</v>
      </c>
      <c r="F7" s="31"/>
      <c r="G7" s="33"/>
      <c r="H7" s="17">
        <f>F7*4</f>
        <v>0</v>
      </c>
      <c r="I7" s="31"/>
      <c r="J7" s="33"/>
      <c r="K7" s="17">
        <f t="shared" si="1"/>
        <v>0</v>
      </c>
      <c r="L7" s="31"/>
      <c r="M7" s="33"/>
      <c r="N7" s="17">
        <f t="shared" si="2"/>
        <v>0</v>
      </c>
      <c r="O7" s="31"/>
      <c r="P7" s="33"/>
      <c r="Q7" s="17">
        <f t="shared" si="3"/>
        <v>0</v>
      </c>
      <c r="R7" s="31"/>
      <c r="S7" s="33"/>
      <c r="T7" s="17">
        <f t="shared" si="4"/>
        <v>0</v>
      </c>
      <c r="U7" s="31"/>
      <c r="V7" s="33"/>
      <c r="W7" s="17">
        <f t="shared" si="5"/>
        <v>0</v>
      </c>
      <c r="X7" s="30">
        <f t="shared" si="6"/>
        <v>0</v>
      </c>
      <c r="Y7" s="34"/>
      <c r="Z7" s="22">
        <f t="shared" si="7"/>
        <v>0</v>
      </c>
      <c r="AA7" s="22">
        <f t="shared" si="8"/>
        <v>0</v>
      </c>
      <c r="AB7" t="str">
        <f t="shared" si="9"/>
        <v xml:space="preserve"> </v>
      </c>
      <c r="AC7" t="str">
        <f t="shared" si="10"/>
        <v xml:space="preserve"> </v>
      </c>
      <c r="AD7" t="str">
        <f t="shared" si="11"/>
        <v xml:space="preserve"> </v>
      </c>
      <c r="AE7" t="str">
        <f t="shared" si="12"/>
        <v xml:space="preserve"> </v>
      </c>
      <c r="AF7">
        <f t="shared" si="13"/>
        <v>21033.62801</v>
      </c>
      <c r="AG7">
        <f t="shared" si="14"/>
        <v>4206.7256020000004</v>
      </c>
      <c r="AH7">
        <f t="shared" si="15"/>
        <v>0</v>
      </c>
    </row>
    <row r="8" spans="1:34">
      <c r="A8" s="16" t="s">
        <v>18</v>
      </c>
      <c r="B8" s="17">
        <v>41</v>
      </c>
      <c r="C8" s="18"/>
      <c r="D8" s="19"/>
      <c r="E8" s="17">
        <f t="shared" si="0"/>
        <v>0</v>
      </c>
      <c r="F8" s="18"/>
      <c r="G8" s="20"/>
      <c r="H8" s="17"/>
      <c r="I8" s="18">
        <f>SUM('Plant Measurements'!P83+'Plant Measurements'!P84+'Plant Measurements'!P85)</f>
        <v>41.190529000000005</v>
      </c>
      <c r="J8" s="20"/>
      <c r="K8" s="17">
        <f t="shared" si="1"/>
        <v>164.76211600000002</v>
      </c>
      <c r="L8" s="18"/>
      <c r="M8" s="20"/>
      <c r="N8" s="17">
        <f t="shared" si="2"/>
        <v>0</v>
      </c>
      <c r="O8" s="18"/>
      <c r="P8" s="20"/>
      <c r="Q8" s="17">
        <f t="shared" si="3"/>
        <v>0</v>
      </c>
      <c r="R8" s="18">
        <f>SUM('Plant Measurements'!P86+'Plant Measurements'!P87+'Plant Measurements'!P88+'Plant Measurements'!P89+'Plant Measurements'!P90+'Plant Measurements'!P91+'Plant Measurements'!P92+'Plant Measurements'!P93+'Plant Measurements'!P94+'Plant Measurements'!P95+'Plant Measurements'!P96+'Plant Measurements'!P97+'Plant Measurements'!P98)</f>
        <v>134.85581199999999</v>
      </c>
      <c r="S8" s="20"/>
      <c r="T8" s="17">
        <f t="shared" si="4"/>
        <v>539.42324799999994</v>
      </c>
      <c r="U8" s="18"/>
      <c r="V8" s="20"/>
      <c r="W8" s="17">
        <f t="shared" si="5"/>
        <v>0</v>
      </c>
      <c r="X8" s="17">
        <f t="shared" si="6"/>
        <v>704.18536399999994</v>
      </c>
      <c r="Y8" s="21">
        <f>AVERAGE(X8:X12)</f>
        <v>226.89665999999997</v>
      </c>
      <c r="Z8" s="22">
        <f t="shared" si="7"/>
        <v>0</v>
      </c>
      <c r="AA8" s="22">
        <f t="shared" si="8"/>
        <v>539.42324799999994</v>
      </c>
      <c r="AB8">
        <f t="shared" si="9"/>
        <v>0</v>
      </c>
      <c r="AC8">
        <f t="shared" si="10"/>
        <v>0</v>
      </c>
      <c r="AD8">
        <f t="shared" si="11"/>
        <v>0.23397549057835862</v>
      </c>
      <c r="AE8">
        <f t="shared" si="12"/>
        <v>0.76602450942164146</v>
      </c>
      <c r="AF8">
        <f t="shared" si="13"/>
        <v>21033.62801</v>
      </c>
      <c r="AG8">
        <f t="shared" si="14"/>
        <v>4206.7256020000004</v>
      </c>
      <c r="AH8">
        <f t="shared" si="15"/>
        <v>2962.3145992924892</v>
      </c>
    </row>
    <row r="9" spans="1:34">
      <c r="A9" s="23" t="s">
        <v>18</v>
      </c>
      <c r="B9" s="24">
        <v>36</v>
      </c>
      <c r="C9" s="25"/>
      <c r="D9" s="26"/>
      <c r="E9" s="17">
        <f t="shared" si="0"/>
        <v>0</v>
      </c>
      <c r="F9" s="25"/>
      <c r="G9" s="27"/>
      <c r="H9" s="24">
        <f>F9*4</f>
        <v>0</v>
      </c>
      <c r="I9" s="25"/>
      <c r="J9" s="27"/>
      <c r="K9" s="17">
        <f t="shared" si="1"/>
        <v>0</v>
      </c>
      <c r="L9" s="25"/>
      <c r="M9" s="27"/>
      <c r="N9" s="17">
        <f t="shared" si="2"/>
        <v>0</v>
      </c>
      <c r="O9" s="25"/>
      <c r="P9" s="27"/>
      <c r="Q9" s="17">
        <f t="shared" si="3"/>
        <v>0</v>
      </c>
      <c r="R9" s="25"/>
      <c r="S9" s="27"/>
      <c r="T9" s="17">
        <f t="shared" si="4"/>
        <v>0</v>
      </c>
      <c r="U9" s="25"/>
      <c r="V9" s="27"/>
      <c r="W9" s="17">
        <f t="shared" si="5"/>
        <v>0</v>
      </c>
      <c r="X9" s="24">
        <f>SUM(W9,T9,Q9,N9,K9,H9,E9)</f>
        <v>0</v>
      </c>
      <c r="Y9" s="28"/>
      <c r="Z9" s="22">
        <f t="shared" si="7"/>
        <v>0</v>
      </c>
      <c r="AA9" s="22">
        <f t="shared" si="8"/>
        <v>0</v>
      </c>
      <c r="AB9" t="str">
        <f t="shared" si="9"/>
        <v xml:space="preserve"> </v>
      </c>
      <c r="AC9" t="str">
        <f t="shared" si="10"/>
        <v xml:space="preserve"> </v>
      </c>
      <c r="AD9" t="str">
        <f t="shared" si="11"/>
        <v xml:space="preserve"> </v>
      </c>
      <c r="AE9" t="str">
        <f t="shared" si="12"/>
        <v xml:space="preserve"> </v>
      </c>
      <c r="AF9">
        <f t="shared" si="13"/>
        <v>21033.62801</v>
      </c>
      <c r="AG9">
        <f t="shared" si="14"/>
        <v>4206.7256020000004</v>
      </c>
      <c r="AH9">
        <f t="shared" si="15"/>
        <v>0</v>
      </c>
    </row>
    <row r="10" spans="1:34">
      <c r="A10" s="23" t="s">
        <v>18</v>
      </c>
      <c r="B10" s="24">
        <v>15</v>
      </c>
      <c r="C10" s="25"/>
      <c r="D10" s="26"/>
      <c r="E10" s="17">
        <f t="shared" si="0"/>
        <v>0</v>
      </c>
      <c r="F10" s="25"/>
      <c r="G10" s="27"/>
      <c r="H10" s="24">
        <f t="shared" ref="H10:H42" si="16">F10*4</f>
        <v>0</v>
      </c>
      <c r="I10" s="25"/>
      <c r="J10" s="27"/>
      <c r="K10" s="17">
        <f t="shared" si="1"/>
        <v>0</v>
      </c>
      <c r="L10" s="25"/>
      <c r="M10" s="27"/>
      <c r="N10" s="17">
        <f t="shared" si="2"/>
        <v>0</v>
      </c>
      <c r="O10" s="25"/>
      <c r="P10" s="27"/>
      <c r="Q10" s="17">
        <f t="shared" si="3"/>
        <v>0</v>
      </c>
      <c r="R10" s="25">
        <f>SUM('Plant Measurements'!P100+'Plant Measurements'!P102+'Plant Measurements'!P103+'Plant Measurements'!P104+'Plant Measurements'!P105+'Plant Measurements'!P107+'Plant Measurements'!P108+'Plant Measurements'!P109+'Plant Measurements'!P111+'Plant Measurements'!P112+'Plant Measurements'!P113+'Plant Measurements'!P115+'Plant Measurements'!P116)</f>
        <v>68.570493999999968</v>
      </c>
      <c r="S10" s="27"/>
      <c r="T10" s="17">
        <f t="shared" si="4"/>
        <v>274.28197599999987</v>
      </c>
      <c r="U10" s="25"/>
      <c r="V10" s="27"/>
      <c r="W10" s="17">
        <f t="shared" si="5"/>
        <v>0</v>
      </c>
      <c r="X10" s="24">
        <f t="shared" si="6"/>
        <v>274.28197599999987</v>
      </c>
      <c r="Y10" s="28"/>
      <c r="Z10" s="22">
        <f t="shared" si="7"/>
        <v>0</v>
      </c>
      <c r="AA10" s="22">
        <f t="shared" si="8"/>
        <v>274.28197599999987</v>
      </c>
      <c r="AB10">
        <f t="shared" si="9"/>
        <v>0</v>
      </c>
      <c r="AC10">
        <f t="shared" si="10"/>
        <v>0</v>
      </c>
      <c r="AD10">
        <f t="shared" si="11"/>
        <v>0</v>
      </c>
      <c r="AE10">
        <f t="shared" si="12"/>
        <v>1</v>
      </c>
      <c r="AF10">
        <f t="shared" si="13"/>
        <v>21033.62801</v>
      </c>
      <c r="AG10">
        <f t="shared" si="14"/>
        <v>4206.7256020000004</v>
      </c>
      <c r="AH10">
        <f t="shared" si="15"/>
        <v>1153.8290106063491</v>
      </c>
    </row>
    <row r="11" spans="1:34">
      <c r="A11" s="23" t="s">
        <v>18</v>
      </c>
      <c r="B11" s="24">
        <v>14</v>
      </c>
      <c r="C11" s="25">
        <f>SUM('Plant Measurements'!P118+'Plant Measurements'!P120+'Plant Measurements'!P122+'Plant Measurements'!P123+'Plant Measurements'!P124+'Plant Measurements'!P132+'Plant Measurements'!P133+'Plant Measurements'!P134+'Plant Measurements'!P135+'Plant Measurements'!P136+'Plant Measurements'!P137+'Plant Measurements'!P139+'Plant Measurements'!P140+'Plant Measurements'!P141+'Plant Measurements'!P142+'Plant Measurements'!P143+'Plant Measurements'!P144+'Plant Measurements'!P145+'Plant Measurements'!P146+'Plant Measurements'!P147)</f>
        <v>39.003990000000002</v>
      </c>
      <c r="D11" s="26"/>
      <c r="E11" s="17">
        <f t="shared" si="0"/>
        <v>156.01596000000001</v>
      </c>
      <c r="F11" s="25"/>
      <c r="G11" s="27"/>
      <c r="H11" s="24">
        <f t="shared" si="16"/>
        <v>0</v>
      </c>
      <c r="I11" s="25"/>
      <c r="J11" s="27"/>
      <c r="K11" s="17">
        <f t="shared" si="1"/>
        <v>0</v>
      </c>
      <c r="L11" s="25"/>
      <c r="M11" s="27"/>
      <c r="N11" s="17">
        <f t="shared" si="2"/>
        <v>0</v>
      </c>
      <c r="O11" s="25"/>
      <c r="P11" s="27"/>
      <c r="Q11" s="17">
        <f t="shared" si="3"/>
        <v>0</v>
      </c>
      <c r="R11" s="25"/>
      <c r="S11" s="27"/>
      <c r="T11" s="17">
        <f t="shared" si="4"/>
        <v>0</v>
      </c>
      <c r="U11" s="25"/>
      <c r="V11" s="27"/>
      <c r="W11" s="17">
        <f t="shared" si="5"/>
        <v>0</v>
      </c>
      <c r="X11" s="24">
        <f t="shared" si="6"/>
        <v>156.01596000000001</v>
      </c>
      <c r="Y11" s="28"/>
      <c r="Z11" s="22">
        <f t="shared" si="7"/>
        <v>156.01596000000001</v>
      </c>
      <c r="AA11" s="22">
        <f t="shared" si="8"/>
        <v>0</v>
      </c>
      <c r="AB11">
        <f t="shared" si="9"/>
        <v>1</v>
      </c>
      <c r="AC11">
        <f t="shared" si="10"/>
        <v>0</v>
      </c>
      <c r="AD11">
        <f t="shared" si="11"/>
        <v>0</v>
      </c>
      <c r="AE11">
        <f t="shared" si="12"/>
        <v>0</v>
      </c>
      <c r="AF11">
        <f t="shared" si="13"/>
        <v>21033.62801</v>
      </c>
      <c r="AG11">
        <f t="shared" si="14"/>
        <v>4206.7256020000004</v>
      </c>
      <c r="AH11">
        <f t="shared" si="15"/>
        <v>656.31633325260793</v>
      </c>
    </row>
    <row r="12" spans="1:34">
      <c r="A12" s="29" t="s">
        <v>18</v>
      </c>
      <c r="B12" s="30">
        <v>6</v>
      </c>
      <c r="C12" s="31"/>
      <c r="D12" s="32"/>
      <c r="E12" s="17">
        <f t="shared" si="0"/>
        <v>0</v>
      </c>
      <c r="F12" s="31"/>
      <c r="G12" s="33"/>
      <c r="H12" s="24">
        <f t="shared" si="16"/>
        <v>0</v>
      </c>
      <c r="I12" s="31"/>
      <c r="J12" s="33"/>
      <c r="K12" s="17">
        <f t="shared" si="1"/>
        <v>0</v>
      </c>
      <c r="L12" s="31"/>
      <c r="M12" s="33"/>
      <c r="N12" s="17">
        <f t="shared" si="2"/>
        <v>0</v>
      </c>
      <c r="O12" s="31"/>
      <c r="P12" s="33"/>
      <c r="Q12" s="17">
        <f t="shared" si="3"/>
        <v>0</v>
      </c>
      <c r="R12" s="31"/>
      <c r="S12" s="33"/>
      <c r="T12" s="17">
        <f t="shared" si="4"/>
        <v>0</v>
      </c>
      <c r="U12" s="31"/>
      <c r="V12" s="33"/>
      <c r="W12" s="17">
        <f t="shared" si="5"/>
        <v>0</v>
      </c>
      <c r="X12" s="30">
        <f t="shared" si="6"/>
        <v>0</v>
      </c>
      <c r="Y12" s="34"/>
      <c r="Z12" s="22">
        <f t="shared" si="7"/>
        <v>0</v>
      </c>
      <c r="AA12" s="22">
        <f t="shared" si="8"/>
        <v>0</v>
      </c>
      <c r="AB12" t="str">
        <f t="shared" si="9"/>
        <v xml:space="preserve"> </v>
      </c>
      <c r="AC12" t="str">
        <f t="shared" si="10"/>
        <v xml:space="preserve"> </v>
      </c>
      <c r="AD12" t="str">
        <f t="shared" si="11"/>
        <v xml:space="preserve"> </v>
      </c>
      <c r="AE12" t="str">
        <f t="shared" si="12"/>
        <v xml:space="preserve"> </v>
      </c>
      <c r="AF12">
        <f t="shared" si="13"/>
        <v>21033.62801</v>
      </c>
      <c r="AG12">
        <f t="shared" si="14"/>
        <v>4206.7256020000004</v>
      </c>
      <c r="AH12">
        <f t="shared" si="15"/>
        <v>0</v>
      </c>
    </row>
    <row r="13" spans="1:34">
      <c r="A13" s="35" t="s">
        <v>16</v>
      </c>
      <c r="B13" s="36">
        <v>49</v>
      </c>
      <c r="C13" s="18"/>
      <c r="D13" s="19"/>
      <c r="E13" s="17">
        <f t="shared" si="0"/>
        <v>0</v>
      </c>
      <c r="F13" s="18"/>
      <c r="G13" s="20"/>
      <c r="H13" s="24">
        <f t="shared" si="16"/>
        <v>0</v>
      </c>
      <c r="I13" s="18"/>
      <c r="J13" s="20"/>
      <c r="K13" s="17">
        <f t="shared" si="1"/>
        <v>0</v>
      </c>
      <c r="L13" s="18"/>
      <c r="M13" s="20"/>
      <c r="N13" s="17">
        <f t="shared" si="2"/>
        <v>0</v>
      </c>
      <c r="O13" s="18"/>
      <c r="P13" s="20"/>
      <c r="Q13" s="17">
        <f t="shared" si="3"/>
        <v>0</v>
      </c>
      <c r="R13" s="18">
        <f>SUM('Plant Measurements'!P149+'Plant Measurements'!P150+'Plant Measurements'!P151)</f>
        <v>12.734213000000004</v>
      </c>
      <c r="S13" s="20"/>
      <c r="T13" s="17">
        <f t="shared" si="4"/>
        <v>50.936852000000016</v>
      </c>
      <c r="U13" s="18"/>
      <c r="V13" s="20"/>
      <c r="W13" s="17">
        <f t="shared" si="5"/>
        <v>0</v>
      </c>
      <c r="X13" s="17">
        <f t="shared" si="6"/>
        <v>50.936852000000016</v>
      </c>
      <c r="Y13" s="21">
        <f>AVERAGE(X13:X17)</f>
        <v>79.367619200000007</v>
      </c>
      <c r="Z13" s="22">
        <f t="shared" si="7"/>
        <v>0</v>
      </c>
      <c r="AA13" s="22">
        <f t="shared" si="8"/>
        <v>50.936852000000016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1</v>
      </c>
      <c r="AF13">
        <f t="shared" si="13"/>
        <v>21033.62801</v>
      </c>
      <c r="AG13">
        <f t="shared" si="14"/>
        <v>4206.7256020000004</v>
      </c>
      <c r="AH13">
        <f t="shared" si="15"/>
        <v>214.27735939368497</v>
      </c>
    </row>
    <row r="14" spans="1:34">
      <c r="A14" s="23" t="s">
        <v>16</v>
      </c>
      <c r="B14" s="24">
        <v>44</v>
      </c>
      <c r="C14" s="25"/>
      <c r="D14" s="26"/>
      <c r="E14" s="17">
        <f t="shared" si="0"/>
        <v>0</v>
      </c>
      <c r="F14" s="25"/>
      <c r="G14" s="27"/>
      <c r="H14" s="24">
        <f t="shared" si="16"/>
        <v>0</v>
      </c>
      <c r="I14" s="25"/>
      <c r="J14" s="27"/>
      <c r="K14" s="17">
        <f t="shared" si="1"/>
        <v>0</v>
      </c>
      <c r="L14" s="25"/>
      <c r="M14" s="27"/>
      <c r="N14" s="17">
        <f t="shared" si="2"/>
        <v>0</v>
      </c>
      <c r="O14" s="25"/>
      <c r="P14" s="27"/>
      <c r="Q14" s="17">
        <f t="shared" si="3"/>
        <v>0</v>
      </c>
      <c r="R14" s="25">
        <f>SUM('Plant Measurements'!P152+'Plant Measurements'!P153+'Plant Measurements'!P154+'Plant Measurements'!P155+'Plant Measurements'!P156+'Plant Measurements'!P157+'Plant Measurements'!P158+'Plant Measurements'!P160)</f>
        <v>54.029686000000005</v>
      </c>
      <c r="S14" s="27"/>
      <c r="T14" s="17">
        <f t="shared" si="4"/>
        <v>216.11874400000002</v>
      </c>
      <c r="U14" s="25"/>
      <c r="V14" s="27"/>
      <c r="W14" s="17">
        <f t="shared" si="5"/>
        <v>0</v>
      </c>
      <c r="X14" s="24">
        <f t="shared" si="6"/>
        <v>216.11874400000002</v>
      </c>
      <c r="Y14" s="28"/>
      <c r="Z14" s="22">
        <f t="shared" si="7"/>
        <v>0</v>
      </c>
      <c r="AA14" s="22">
        <f t="shared" si="8"/>
        <v>216.11874400000002</v>
      </c>
      <c r="AB14">
        <f t="shared" si="9"/>
        <v>0</v>
      </c>
      <c r="AC14">
        <f t="shared" si="10"/>
        <v>0</v>
      </c>
      <c r="AD14">
        <f t="shared" si="11"/>
        <v>0</v>
      </c>
      <c r="AE14">
        <f t="shared" si="12"/>
        <v>1</v>
      </c>
      <c r="AF14">
        <f t="shared" si="13"/>
        <v>21033.62801</v>
      </c>
      <c r="AG14">
        <f t="shared" si="14"/>
        <v>4206.7256020000004</v>
      </c>
      <c r="AH14">
        <f t="shared" si="15"/>
        <v>909.15225345688407</v>
      </c>
    </row>
    <row r="15" spans="1:34">
      <c r="A15" s="23" t="s">
        <v>16</v>
      </c>
      <c r="B15" s="24">
        <v>36</v>
      </c>
      <c r="C15" s="25"/>
      <c r="D15" s="26"/>
      <c r="E15" s="17">
        <f t="shared" si="0"/>
        <v>0</v>
      </c>
      <c r="F15" s="25"/>
      <c r="G15" s="27"/>
      <c r="H15" s="24">
        <f t="shared" si="16"/>
        <v>0</v>
      </c>
      <c r="I15" s="25"/>
      <c r="J15" s="27"/>
      <c r="K15" s="17">
        <f t="shared" si="1"/>
        <v>0</v>
      </c>
      <c r="L15" s="25"/>
      <c r="M15" s="27"/>
      <c r="N15" s="17">
        <f t="shared" si="2"/>
        <v>0</v>
      </c>
      <c r="O15" s="25"/>
      <c r="P15" s="27"/>
      <c r="Q15" s="17">
        <f t="shared" si="3"/>
        <v>0</v>
      </c>
      <c r="R15" s="25">
        <f>SUM('Plant Measurements'!P161)</f>
        <v>0</v>
      </c>
      <c r="S15" s="27"/>
      <c r="T15" s="17">
        <f t="shared" si="4"/>
        <v>0</v>
      </c>
      <c r="U15" s="25"/>
      <c r="V15" s="27"/>
      <c r="W15" s="17">
        <f t="shared" si="5"/>
        <v>0</v>
      </c>
      <c r="X15" s="24">
        <f t="shared" si="6"/>
        <v>0</v>
      </c>
      <c r="Y15" s="28"/>
      <c r="Z15" s="22">
        <f t="shared" si="7"/>
        <v>0</v>
      </c>
      <c r="AA15" s="22">
        <f t="shared" si="8"/>
        <v>0</v>
      </c>
      <c r="AB15" t="str">
        <f t="shared" si="9"/>
        <v xml:space="preserve"> </v>
      </c>
      <c r="AC15" t="str">
        <f t="shared" si="10"/>
        <v xml:space="preserve"> </v>
      </c>
      <c r="AD15" t="str">
        <f t="shared" si="11"/>
        <v xml:space="preserve"> </v>
      </c>
      <c r="AE15" t="str">
        <f t="shared" si="12"/>
        <v xml:space="preserve"> </v>
      </c>
      <c r="AF15">
        <f t="shared" si="13"/>
        <v>21033.62801</v>
      </c>
      <c r="AG15">
        <f t="shared" si="14"/>
        <v>4206.7256020000004</v>
      </c>
      <c r="AH15">
        <f t="shared" si="15"/>
        <v>0</v>
      </c>
    </row>
    <row r="16" spans="1:34">
      <c r="A16" s="23" t="s">
        <v>16</v>
      </c>
      <c r="B16" s="24">
        <v>13</v>
      </c>
      <c r="C16" s="25"/>
      <c r="D16" s="26"/>
      <c r="E16" s="17">
        <f t="shared" si="0"/>
        <v>0</v>
      </c>
      <c r="F16" s="25"/>
      <c r="G16" s="27"/>
      <c r="H16" s="24">
        <f t="shared" si="16"/>
        <v>0</v>
      </c>
      <c r="I16" s="25"/>
      <c r="J16" s="27"/>
      <c r="K16" s="17">
        <f t="shared" si="1"/>
        <v>0</v>
      </c>
      <c r="L16" s="25"/>
      <c r="M16" s="27"/>
      <c r="N16" s="17">
        <f t="shared" si="2"/>
        <v>0</v>
      </c>
      <c r="O16" s="25"/>
      <c r="P16" s="27"/>
      <c r="Q16" s="17">
        <f t="shared" si="3"/>
        <v>0</v>
      </c>
      <c r="R16" s="25">
        <f>SUM('Plant Measurements'!P162+'Plant Measurements'!P164+'Plant Measurements'!P166+'Plant Measurements'!P167)</f>
        <v>32.445624999999993</v>
      </c>
      <c r="S16" s="27"/>
      <c r="T16" s="17">
        <f t="shared" si="4"/>
        <v>129.78249999999997</v>
      </c>
      <c r="U16" s="25"/>
      <c r="V16" s="27"/>
      <c r="W16" s="17">
        <f t="shared" si="5"/>
        <v>0</v>
      </c>
      <c r="X16" s="24">
        <f t="shared" si="6"/>
        <v>129.78249999999997</v>
      </c>
      <c r="Y16" s="28"/>
      <c r="Z16" s="22">
        <f t="shared" si="7"/>
        <v>0</v>
      </c>
      <c r="AA16" s="22">
        <f t="shared" si="8"/>
        <v>129.78249999999997</v>
      </c>
      <c r="AB16">
        <f t="shared" si="9"/>
        <v>0</v>
      </c>
      <c r="AC16">
        <f t="shared" si="10"/>
        <v>0</v>
      </c>
      <c r="AD16">
        <f t="shared" si="11"/>
        <v>0</v>
      </c>
      <c r="AE16">
        <f t="shared" si="12"/>
        <v>1</v>
      </c>
      <c r="AF16">
        <f t="shared" si="13"/>
        <v>21033.62801</v>
      </c>
      <c r="AG16">
        <f t="shared" si="14"/>
        <v>4206.7256020000004</v>
      </c>
      <c r="AH16">
        <f t="shared" si="15"/>
        <v>545.95936544156496</v>
      </c>
    </row>
    <row r="17" spans="1:34">
      <c r="A17" s="29" t="s">
        <v>16</v>
      </c>
      <c r="B17" s="30">
        <v>9</v>
      </c>
      <c r="C17" s="31"/>
      <c r="D17" s="32"/>
      <c r="E17" s="17">
        <f t="shared" si="0"/>
        <v>0</v>
      </c>
      <c r="F17" s="31"/>
      <c r="G17" s="33"/>
      <c r="H17" s="24">
        <f t="shared" si="16"/>
        <v>0</v>
      </c>
      <c r="I17" s="31"/>
      <c r="J17" s="33"/>
      <c r="K17" s="17">
        <f t="shared" si="1"/>
        <v>0</v>
      </c>
      <c r="L17" s="31"/>
      <c r="M17" s="33"/>
      <c r="N17" s="17">
        <f t="shared" si="2"/>
        <v>0</v>
      </c>
      <c r="O17" s="31"/>
      <c r="P17" s="33"/>
      <c r="Q17" s="17">
        <f t="shared" si="3"/>
        <v>0</v>
      </c>
      <c r="R17" s="41"/>
      <c r="S17" s="33"/>
      <c r="T17" s="17">
        <f t="shared" si="4"/>
        <v>0</v>
      </c>
      <c r="U17" s="31"/>
      <c r="V17" s="33"/>
      <c r="W17" s="17">
        <f t="shared" si="5"/>
        <v>0</v>
      </c>
      <c r="X17" s="30">
        <f t="shared" si="6"/>
        <v>0</v>
      </c>
      <c r="Y17" s="34"/>
      <c r="Z17" s="22">
        <f t="shared" si="7"/>
        <v>0</v>
      </c>
      <c r="AA17" s="22">
        <f t="shared" si="8"/>
        <v>0</v>
      </c>
      <c r="AB17" t="str">
        <f t="shared" si="9"/>
        <v xml:space="preserve"> </v>
      </c>
      <c r="AC17" t="str">
        <f t="shared" si="10"/>
        <v xml:space="preserve"> </v>
      </c>
      <c r="AD17" t="str">
        <f t="shared" si="11"/>
        <v xml:space="preserve"> </v>
      </c>
      <c r="AE17" t="str">
        <f t="shared" si="12"/>
        <v xml:space="preserve"> </v>
      </c>
      <c r="AF17">
        <f t="shared" si="13"/>
        <v>21033.62801</v>
      </c>
      <c r="AG17">
        <f t="shared" si="14"/>
        <v>4206.7256020000004</v>
      </c>
      <c r="AH17">
        <f t="shared" si="15"/>
        <v>0</v>
      </c>
    </row>
    <row r="18" spans="1:34">
      <c r="A18" s="16" t="s">
        <v>53</v>
      </c>
      <c r="B18" s="17">
        <v>42</v>
      </c>
      <c r="C18" s="18"/>
      <c r="D18" s="19"/>
      <c r="E18" s="17">
        <f t="shared" si="0"/>
        <v>0</v>
      </c>
      <c r="F18" s="18"/>
      <c r="G18" s="20"/>
      <c r="H18" s="24">
        <f t="shared" si="16"/>
        <v>0</v>
      </c>
      <c r="I18" s="18"/>
      <c r="J18" s="20"/>
      <c r="K18" s="17">
        <f t="shared" si="1"/>
        <v>0</v>
      </c>
      <c r="L18" s="18"/>
      <c r="M18" s="20"/>
      <c r="N18" s="17">
        <f t="shared" si="2"/>
        <v>0</v>
      </c>
      <c r="O18" s="18"/>
      <c r="P18" s="20"/>
      <c r="Q18" s="17">
        <f t="shared" si="3"/>
        <v>0</v>
      </c>
      <c r="R18" s="18">
        <f>SUM('Plant Measurements'!P169+'Plant Measurements'!P170+'Plant Measurements'!P171+'Plant Measurements'!P172+'Plant Measurements'!P173)</f>
        <v>8.5493550000000127</v>
      </c>
      <c r="S18" s="20"/>
      <c r="T18" s="17">
        <f t="shared" si="4"/>
        <v>34.197420000000051</v>
      </c>
      <c r="U18" s="18"/>
      <c r="V18" s="20"/>
      <c r="W18" s="17">
        <f t="shared" si="5"/>
        <v>0</v>
      </c>
      <c r="X18" s="17">
        <f t="shared" si="6"/>
        <v>34.197420000000051</v>
      </c>
      <c r="Y18" s="21">
        <f>AVERAGE(X18:X22)</f>
        <v>76.134060960000014</v>
      </c>
      <c r="Z18" s="22">
        <f t="shared" si="7"/>
        <v>0</v>
      </c>
      <c r="AA18" s="22">
        <f t="shared" si="8"/>
        <v>34.197420000000051</v>
      </c>
      <c r="AB18">
        <f t="shared" si="9"/>
        <v>0</v>
      </c>
      <c r="AC18">
        <f t="shared" si="10"/>
        <v>0</v>
      </c>
      <c r="AD18">
        <f t="shared" si="11"/>
        <v>0</v>
      </c>
      <c r="AE18">
        <f t="shared" si="12"/>
        <v>1</v>
      </c>
      <c r="AF18">
        <f t="shared" si="13"/>
        <v>21033.62801</v>
      </c>
      <c r="AG18">
        <f t="shared" si="14"/>
        <v>4206.7256020000004</v>
      </c>
      <c r="AH18">
        <f t="shared" si="15"/>
        <v>143.85916223634706</v>
      </c>
    </row>
    <row r="19" spans="1:34">
      <c r="A19" s="23" t="s">
        <v>53</v>
      </c>
      <c r="B19" s="37">
        <v>9</v>
      </c>
      <c r="C19" s="25"/>
      <c r="D19" s="26"/>
      <c r="E19" s="17">
        <f t="shared" si="0"/>
        <v>0</v>
      </c>
      <c r="F19" s="25"/>
      <c r="G19" s="27"/>
      <c r="H19" s="24">
        <f t="shared" si="16"/>
        <v>0</v>
      </c>
      <c r="I19" s="25"/>
      <c r="J19" s="27"/>
      <c r="K19" s="17">
        <f t="shared" si="1"/>
        <v>0</v>
      </c>
      <c r="L19" s="25"/>
      <c r="M19" s="27"/>
      <c r="N19" s="17">
        <f t="shared" si="2"/>
        <v>0</v>
      </c>
      <c r="O19" s="25"/>
      <c r="P19" s="27"/>
      <c r="Q19" s="17">
        <f t="shared" si="3"/>
        <v>0</v>
      </c>
      <c r="R19" s="25"/>
      <c r="S19" s="27"/>
      <c r="T19" s="17">
        <f t="shared" si="4"/>
        <v>0</v>
      </c>
      <c r="U19" s="25"/>
      <c r="V19" s="27"/>
      <c r="W19" s="17">
        <f t="shared" si="5"/>
        <v>0</v>
      </c>
      <c r="X19" s="24">
        <f t="shared" si="6"/>
        <v>0</v>
      </c>
      <c r="Y19" s="28"/>
      <c r="Z19" s="22">
        <f t="shared" si="7"/>
        <v>0</v>
      </c>
      <c r="AA19" s="22">
        <f t="shared" si="8"/>
        <v>0</v>
      </c>
      <c r="AB19" t="str">
        <f t="shared" si="9"/>
        <v xml:space="preserve"> </v>
      </c>
      <c r="AC19" t="str">
        <f t="shared" si="10"/>
        <v xml:space="preserve"> </v>
      </c>
      <c r="AD19" t="str">
        <f t="shared" si="11"/>
        <v xml:space="preserve"> </v>
      </c>
      <c r="AE19" t="str">
        <f t="shared" si="12"/>
        <v xml:space="preserve"> </v>
      </c>
      <c r="AF19">
        <f t="shared" si="13"/>
        <v>21033.62801</v>
      </c>
      <c r="AG19">
        <f t="shared" si="14"/>
        <v>4206.7256020000004</v>
      </c>
      <c r="AH19">
        <f t="shared" si="15"/>
        <v>0</v>
      </c>
    </row>
    <row r="20" spans="1:34">
      <c r="A20" s="23" t="s">
        <v>53</v>
      </c>
      <c r="B20" s="24">
        <v>7</v>
      </c>
      <c r="C20" s="25"/>
      <c r="D20" s="26"/>
      <c r="E20" s="17">
        <f t="shared" si="0"/>
        <v>0</v>
      </c>
      <c r="F20" s="25"/>
      <c r="G20" s="27"/>
      <c r="H20" s="24">
        <f t="shared" si="16"/>
        <v>0</v>
      </c>
      <c r="I20" s="25">
        <f>SUM('Plant Measurements'!P175+'Plant Measurements'!P177+'Plant Measurements'!P178+'Plant Measurements'!P179+'Plant Measurements'!P180+'Plant Measurements'!P183+'Plant Measurements'!P185+'Plant Measurements'!P187+'Plant Measurements'!P188+'Plant Measurements'!P189)</f>
        <v>19.413036200000001</v>
      </c>
      <c r="J20" s="27"/>
      <c r="K20" s="17">
        <f t="shared" si="1"/>
        <v>77.652144800000002</v>
      </c>
      <c r="L20" s="25"/>
      <c r="M20" s="27"/>
      <c r="N20" s="17">
        <f t="shared" si="2"/>
        <v>0</v>
      </c>
      <c r="O20" s="25"/>
      <c r="P20" s="27"/>
      <c r="Q20" s="17">
        <f t="shared" si="3"/>
        <v>0</v>
      </c>
      <c r="R20" s="25"/>
      <c r="S20" s="27"/>
      <c r="T20" s="17">
        <f t="shared" si="4"/>
        <v>0</v>
      </c>
      <c r="U20" s="25"/>
      <c r="V20" s="27"/>
      <c r="W20" s="17">
        <f t="shared" si="5"/>
        <v>0</v>
      </c>
      <c r="X20" s="24">
        <f t="shared" si="6"/>
        <v>77.652144800000002</v>
      </c>
      <c r="Y20" s="28"/>
      <c r="Z20" s="22">
        <f t="shared" si="7"/>
        <v>0</v>
      </c>
      <c r="AA20" s="22">
        <f t="shared" si="8"/>
        <v>0</v>
      </c>
      <c r="AB20">
        <f t="shared" si="9"/>
        <v>0</v>
      </c>
      <c r="AC20">
        <f t="shared" si="10"/>
        <v>0</v>
      </c>
      <c r="AD20">
        <f t="shared" si="11"/>
        <v>1</v>
      </c>
      <c r="AE20">
        <f t="shared" si="12"/>
        <v>0</v>
      </c>
      <c r="AF20">
        <f t="shared" si="13"/>
        <v>21033.62801</v>
      </c>
      <c r="AG20">
        <f t="shared" si="14"/>
        <v>4206.7256020000004</v>
      </c>
      <c r="AH20">
        <f t="shared" si="15"/>
        <v>326.66126558037121</v>
      </c>
    </row>
    <row r="21" spans="1:34">
      <c r="A21" s="23" t="s">
        <v>53</v>
      </c>
      <c r="B21" s="24">
        <v>5</v>
      </c>
      <c r="C21" s="25"/>
      <c r="D21" s="26"/>
      <c r="E21" s="17">
        <f t="shared" si="0"/>
        <v>0</v>
      </c>
      <c r="F21" s="25"/>
      <c r="G21" s="27"/>
      <c r="H21" s="24">
        <f t="shared" si="16"/>
        <v>0</v>
      </c>
      <c r="I21" s="25"/>
      <c r="J21" s="27"/>
      <c r="K21" s="17">
        <f t="shared" si="1"/>
        <v>0</v>
      </c>
      <c r="L21" s="25"/>
      <c r="M21" s="27"/>
      <c r="N21" s="17">
        <f t="shared" si="2"/>
        <v>0</v>
      </c>
      <c r="O21" s="25"/>
      <c r="P21" s="27"/>
      <c r="Q21" s="17">
        <f t="shared" si="3"/>
        <v>0</v>
      </c>
      <c r="R21" s="25">
        <f>SUM('Plant Measurements'!P191+'Plant Measurements'!P192)</f>
        <v>6.0759830000000008</v>
      </c>
      <c r="S21" s="27"/>
      <c r="T21" s="17">
        <f t="shared" si="4"/>
        <v>24.303932000000003</v>
      </c>
      <c r="U21" s="25"/>
      <c r="V21" s="27"/>
      <c r="W21" s="17">
        <f t="shared" si="5"/>
        <v>0</v>
      </c>
      <c r="X21" s="24">
        <f t="shared" si="6"/>
        <v>24.303932000000003</v>
      </c>
      <c r="Y21" s="28"/>
      <c r="Z21" s="22">
        <f t="shared" si="7"/>
        <v>0</v>
      </c>
      <c r="AA21" s="22">
        <f t="shared" si="8"/>
        <v>24.303932000000003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1</v>
      </c>
      <c r="AF21">
        <f t="shared" si="13"/>
        <v>21033.62801</v>
      </c>
      <c r="AG21">
        <f t="shared" si="14"/>
        <v>4206.7256020000004</v>
      </c>
      <c r="AH21">
        <f t="shared" si="15"/>
        <v>102.23997297366708</v>
      </c>
    </row>
    <row r="22" spans="1:34">
      <c r="A22" s="29" t="s">
        <v>53</v>
      </c>
      <c r="B22" s="24">
        <v>3</v>
      </c>
      <c r="C22" s="31"/>
      <c r="D22" s="32"/>
      <c r="E22" s="17">
        <f t="shared" si="0"/>
        <v>0</v>
      </c>
      <c r="F22" s="31"/>
      <c r="G22" s="33"/>
      <c r="H22" s="24">
        <f t="shared" si="16"/>
        <v>0</v>
      </c>
      <c r="I22" s="31"/>
      <c r="J22" s="33"/>
      <c r="K22" s="17">
        <f t="shared" si="1"/>
        <v>0</v>
      </c>
      <c r="L22" s="31"/>
      <c r="M22" s="33"/>
      <c r="N22" s="17">
        <f t="shared" si="2"/>
        <v>0</v>
      </c>
      <c r="O22" s="31"/>
      <c r="P22" s="33"/>
      <c r="Q22" s="17">
        <f t="shared" si="3"/>
        <v>0</v>
      </c>
      <c r="R22" s="31">
        <f>SUM('Plant Measurements'!P193+'Plant Measurements'!P194+'Plant Measurements'!P195+'Plant Measurements'!P196+'Plant Measurements'!P197+'Plant Measurements'!P198+'Plant Measurements'!P199+'Plant Measurements'!P200+'Plant Measurements'!P201)</f>
        <v>61.129201999999999</v>
      </c>
      <c r="S22" s="33"/>
      <c r="T22" s="17">
        <f t="shared" si="4"/>
        <v>244.516808</v>
      </c>
      <c r="U22" s="31"/>
      <c r="V22" s="33"/>
      <c r="W22" s="17">
        <f t="shared" si="5"/>
        <v>0</v>
      </c>
      <c r="X22" s="30">
        <f t="shared" si="6"/>
        <v>244.516808</v>
      </c>
      <c r="Y22" s="34"/>
      <c r="Z22" s="22">
        <f t="shared" si="7"/>
        <v>0</v>
      </c>
      <c r="AA22" s="22">
        <f t="shared" si="8"/>
        <v>244.516808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1</v>
      </c>
      <c r="AF22">
        <f t="shared" si="13"/>
        <v>21033.62801</v>
      </c>
      <c r="AG22">
        <f t="shared" si="14"/>
        <v>4206.7256020000004</v>
      </c>
      <c r="AH22">
        <f t="shared" si="15"/>
        <v>1028.6151163329184</v>
      </c>
    </row>
    <row r="23" spans="1:34">
      <c r="A23" s="16" t="s">
        <v>17</v>
      </c>
      <c r="B23" s="17">
        <v>37</v>
      </c>
      <c r="C23" s="18"/>
      <c r="D23" s="19"/>
      <c r="E23" s="17">
        <f t="shared" si="0"/>
        <v>0</v>
      </c>
      <c r="F23" s="18"/>
      <c r="G23" s="20"/>
      <c r="H23" s="24">
        <f t="shared" si="16"/>
        <v>0</v>
      </c>
      <c r="I23" s="18"/>
      <c r="J23" s="20"/>
      <c r="K23" s="17">
        <f t="shared" si="1"/>
        <v>0</v>
      </c>
      <c r="L23" s="18"/>
      <c r="M23" s="20"/>
      <c r="N23" s="17">
        <f t="shared" si="2"/>
        <v>0</v>
      </c>
      <c r="O23" s="18"/>
      <c r="P23" s="20"/>
      <c r="Q23" s="17">
        <f t="shared" si="3"/>
        <v>0</v>
      </c>
      <c r="R23" s="18">
        <f>SUM('Plant Measurements'!P202+'Plant Measurements'!P203+'Plant Measurements'!P204+'Plant Measurements'!P205+'Plant Measurements'!P206+'Plant Measurements'!P207+'Plant Measurements'!P209)</f>
        <v>50.738945999999999</v>
      </c>
      <c r="S23" s="20"/>
      <c r="T23" s="17">
        <f t="shared" si="4"/>
        <v>202.95578399999999</v>
      </c>
      <c r="U23" s="18"/>
      <c r="V23" s="20"/>
      <c r="W23" s="17">
        <f t="shared" si="5"/>
        <v>0</v>
      </c>
      <c r="X23" s="17">
        <f t="shared" si="6"/>
        <v>202.95578399999999</v>
      </c>
      <c r="Y23" s="21">
        <f>AVERAGE(X23:X27)</f>
        <v>244.31901999999997</v>
      </c>
      <c r="Z23" s="22">
        <f t="shared" si="7"/>
        <v>0</v>
      </c>
      <c r="AA23" s="22">
        <f t="shared" si="8"/>
        <v>202.95578399999999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1</v>
      </c>
      <c r="AF23">
        <f t="shared" si="13"/>
        <v>21033.62801</v>
      </c>
      <c r="AG23">
        <f t="shared" si="14"/>
        <v>4206.7256020000004</v>
      </c>
      <c r="AH23">
        <f t="shared" si="15"/>
        <v>853.77929262678208</v>
      </c>
    </row>
    <row r="24" spans="1:34">
      <c r="A24" s="23" t="s">
        <v>17</v>
      </c>
      <c r="B24" s="24">
        <v>34</v>
      </c>
      <c r="C24" s="25"/>
      <c r="D24" s="26"/>
      <c r="E24" s="17">
        <f t="shared" si="0"/>
        <v>0</v>
      </c>
      <c r="F24" s="25"/>
      <c r="G24" s="27"/>
      <c r="H24" s="24">
        <f t="shared" si="16"/>
        <v>0</v>
      </c>
      <c r="I24" s="25"/>
      <c r="J24" s="27"/>
      <c r="K24" s="17">
        <f t="shared" si="1"/>
        <v>0</v>
      </c>
      <c r="L24" s="25"/>
      <c r="M24" s="27"/>
      <c r="N24" s="17">
        <f t="shared" si="2"/>
        <v>0</v>
      </c>
      <c r="O24" s="25"/>
      <c r="P24" s="27"/>
      <c r="Q24" s="17">
        <f t="shared" si="3"/>
        <v>0</v>
      </c>
      <c r="R24" s="42">
        <f>SUM('Plant Measurements'!P210+'Plant Measurements'!P211+'Plant Measurements'!P212+'Plant Measurements'!P213+'Plant Measurements'!P214)</f>
        <v>32.158440999999996</v>
      </c>
      <c r="S24" s="27"/>
      <c r="T24" s="17">
        <f t="shared" si="4"/>
        <v>128.63376399999999</v>
      </c>
      <c r="U24" s="25"/>
      <c r="V24" s="27"/>
      <c r="W24" s="17">
        <f t="shared" si="5"/>
        <v>0</v>
      </c>
      <c r="X24" s="24">
        <f t="shared" si="6"/>
        <v>128.63376399999999</v>
      </c>
      <c r="Y24" s="28"/>
      <c r="Z24" s="22">
        <f t="shared" si="7"/>
        <v>0</v>
      </c>
      <c r="AA24" s="22">
        <f t="shared" si="8"/>
        <v>128.63376399999999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1</v>
      </c>
      <c r="AF24">
        <f t="shared" si="13"/>
        <v>21033.62801</v>
      </c>
      <c r="AG24">
        <f t="shared" si="14"/>
        <v>4206.7256020000004</v>
      </c>
      <c r="AH24">
        <f t="shared" si="15"/>
        <v>541.12694830042585</v>
      </c>
    </row>
    <row r="25" spans="1:34">
      <c r="A25" s="23" t="s">
        <v>17</v>
      </c>
      <c r="B25" s="24">
        <v>26</v>
      </c>
      <c r="C25" s="25"/>
      <c r="D25" s="26"/>
      <c r="E25" s="17">
        <f t="shared" si="0"/>
        <v>0</v>
      </c>
      <c r="F25" s="25"/>
      <c r="G25" s="27"/>
      <c r="H25" s="24">
        <f t="shared" si="16"/>
        <v>0</v>
      </c>
      <c r="I25" s="25"/>
      <c r="J25" s="27"/>
      <c r="K25" s="17">
        <f t="shared" si="1"/>
        <v>0</v>
      </c>
      <c r="L25" s="25"/>
      <c r="M25" s="27"/>
      <c r="N25" s="17">
        <f t="shared" si="2"/>
        <v>0</v>
      </c>
      <c r="O25" s="25"/>
      <c r="P25" s="27"/>
      <c r="Q25" s="17">
        <f t="shared" si="3"/>
        <v>0</v>
      </c>
      <c r="R25" s="25">
        <f>SUM('Plant Measurements'!P215+'Plant Measurements'!P216+'Plant Measurements'!P217+'Plant Measurements'!P218+'Plant Measurements'!P219+'Plant Measurements'!P220+'Plant Measurements'!P223+'Plant Measurements'!P224+'Plant Measurements'!P225+'Plant Measurements'!P226+'Plant Measurements'!P227)</f>
        <v>140.07642499999997</v>
      </c>
      <c r="S25" s="27"/>
      <c r="T25" s="17">
        <f t="shared" si="4"/>
        <v>560.30569999999989</v>
      </c>
      <c r="U25" s="25"/>
      <c r="V25" s="27"/>
      <c r="W25" s="17">
        <f t="shared" si="5"/>
        <v>0</v>
      </c>
      <c r="X25" s="24">
        <f t="shared" si="6"/>
        <v>560.30569999999989</v>
      </c>
      <c r="Y25" s="28"/>
      <c r="Z25" s="22">
        <f t="shared" si="7"/>
        <v>0</v>
      </c>
      <c r="AA25" s="22">
        <f t="shared" si="8"/>
        <v>560.30569999999989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1</v>
      </c>
      <c r="AF25">
        <f t="shared" si="13"/>
        <v>21033.62801</v>
      </c>
      <c r="AG25">
        <f t="shared" si="14"/>
        <v>4206.7256020000004</v>
      </c>
      <c r="AH25">
        <f t="shared" si="15"/>
        <v>2357.0523331365312</v>
      </c>
    </row>
    <row r="26" spans="1:34">
      <c r="A26" s="23" t="s">
        <v>17</v>
      </c>
      <c r="B26" s="24">
        <v>23</v>
      </c>
      <c r="C26" s="25"/>
      <c r="D26" s="26"/>
      <c r="E26" s="17">
        <f t="shared" si="0"/>
        <v>0</v>
      </c>
      <c r="F26" s="25"/>
      <c r="G26" s="27"/>
      <c r="H26" s="24">
        <f t="shared" si="16"/>
        <v>0</v>
      </c>
      <c r="I26" s="25"/>
      <c r="J26" s="27"/>
      <c r="K26" s="17">
        <f t="shared" si="1"/>
        <v>0</v>
      </c>
      <c r="L26" s="25"/>
      <c r="M26" s="27"/>
      <c r="N26" s="17">
        <f t="shared" si="2"/>
        <v>0</v>
      </c>
      <c r="O26" s="25"/>
      <c r="P26" s="27"/>
      <c r="Q26" s="17">
        <f t="shared" si="3"/>
        <v>0</v>
      </c>
      <c r="R26" s="25">
        <f>SUM('Plant Measurements'!P228+'Plant Measurements'!P229+'Plant Measurements'!P230+'Plant Measurements'!P231)</f>
        <v>40.794349999999987</v>
      </c>
      <c r="S26" s="27"/>
      <c r="T26" s="17">
        <f t="shared" si="4"/>
        <v>163.17739999999995</v>
      </c>
      <c r="U26" s="25"/>
      <c r="V26" s="27"/>
      <c r="W26" s="17">
        <f t="shared" si="5"/>
        <v>0</v>
      </c>
      <c r="X26" s="24">
        <f t="shared" si="6"/>
        <v>163.17739999999995</v>
      </c>
      <c r="Y26" s="28"/>
      <c r="Z26" s="22">
        <f t="shared" si="7"/>
        <v>0</v>
      </c>
      <c r="AA26" s="22">
        <f t="shared" si="8"/>
        <v>163.17739999999995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1</v>
      </c>
      <c r="AF26">
        <f t="shared" si="13"/>
        <v>21033.62801</v>
      </c>
      <c r="AG26">
        <f t="shared" si="14"/>
        <v>4206.7256020000004</v>
      </c>
      <c r="AH26">
        <f t="shared" si="15"/>
        <v>686.44254624779467</v>
      </c>
    </row>
    <row r="27" spans="1:34">
      <c r="A27" s="29" t="s">
        <v>17</v>
      </c>
      <c r="B27" s="30">
        <v>20</v>
      </c>
      <c r="C27" s="31"/>
      <c r="D27" s="32"/>
      <c r="E27" s="17">
        <f t="shared" si="0"/>
        <v>0</v>
      </c>
      <c r="F27" s="31"/>
      <c r="G27" s="33"/>
      <c r="H27" s="24">
        <f t="shared" si="16"/>
        <v>0</v>
      </c>
      <c r="I27" s="31"/>
      <c r="J27" s="33"/>
      <c r="K27" s="17">
        <f t="shared" si="1"/>
        <v>0</v>
      </c>
      <c r="L27" s="31"/>
      <c r="M27" s="33"/>
      <c r="N27" s="17">
        <f t="shared" si="2"/>
        <v>0</v>
      </c>
      <c r="O27" s="31"/>
      <c r="P27" s="33"/>
      <c r="Q27" s="17">
        <f t="shared" si="3"/>
        <v>0</v>
      </c>
      <c r="R27" s="31">
        <f>SUM('Plant Measurements'!P232+'Plant Measurements'!P233+'Plant Measurements'!P234+'Plant Measurements'!P235+'Plant Measurements'!P236+'Plant Measurements'!P237)</f>
        <v>41.63061299999999</v>
      </c>
      <c r="S27" s="33"/>
      <c r="T27" s="17">
        <f t="shared" si="4"/>
        <v>166.52245199999996</v>
      </c>
      <c r="U27" s="31"/>
      <c r="V27" s="33"/>
      <c r="W27" s="17">
        <f t="shared" si="5"/>
        <v>0</v>
      </c>
      <c r="X27" s="30">
        <f t="shared" si="6"/>
        <v>166.52245199999996</v>
      </c>
      <c r="Y27" s="34"/>
      <c r="Z27" s="22">
        <f t="shared" si="7"/>
        <v>0</v>
      </c>
      <c r="AA27" s="22">
        <f t="shared" si="8"/>
        <v>166.52245199999996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1</v>
      </c>
      <c r="AF27">
        <f t="shared" si="13"/>
        <v>21033.62801</v>
      </c>
      <c r="AG27">
        <f t="shared" si="14"/>
        <v>4206.7256020000004</v>
      </c>
      <c r="AH27">
        <f t="shared" si="15"/>
        <v>700.51426213621608</v>
      </c>
    </row>
    <row r="28" spans="1:34">
      <c r="A28" s="16" t="s">
        <v>19</v>
      </c>
      <c r="B28" s="36">
        <v>50</v>
      </c>
      <c r="C28" s="18"/>
      <c r="D28" s="19"/>
      <c r="E28" s="17">
        <f t="shared" si="0"/>
        <v>0</v>
      </c>
      <c r="F28" s="18"/>
      <c r="G28" s="20"/>
      <c r="H28" s="24">
        <f t="shared" si="16"/>
        <v>0</v>
      </c>
      <c r="I28" s="18"/>
      <c r="J28" s="20"/>
      <c r="K28" s="17">
        <f t="shared" si="1"/>
        <v>0</v>
      </c>
      <c r="L28" s="18"/>
      <c r="M28" s="20"/>
      <c r="N28" s="17">
        <f t="shared" si="2"/>
        <v>0</v>
      </c>
      <c r="O28" s="18"/>
      <c r="P28" s="20"/>
      <c r="Q28" s="17">
        <f t="shared" si="3"/>
        <v>0</v>
      </c>
      <c r="R28" s="18">
        <f>SUM('Plant Measurements'!P238+'Plant Measurements'!P239+'Plant Measurements'!P240+'Plant Measurements'!P241+'Plant Measurements'!P242+'Plant Measurements'!P243+'Plant Measurements'!P244+'Plant Measurements'!P245+'Plant Measurements'!P246+'Plant Measurements'!P247+'Plant Measurements'!P251+'Plant Measurements'!P252+'Plant Measurements'!P253+'Plant Measurements'!P254+'Plant Measurements'!P256+'Plant Measurements'!P258+'Plant Measurements'!P259+'Plant Measurements'!P260+'Plant Measurements'!P261+'Plant Measurements'!P262)</f>
        <v>124.52730799999999</v>
      </c>
      <c r="S28" s="20"/>
      <c r="T28" s="17">
        <f t="shared" si="4"/>
        <v>498.10923199999996</v>
      </c>
      <c r="U28" s="18"/>
      <c r="V28" s="20"/>
      <c r="W28" s="17">
        <f t="shared" si="5"/>
        <v>0</v>
      </c>
      <c r="X28" s="17">
        <f t="shared" si="6"/>
        <v>498.10923199999996</v>
      </c>
      <c r="Y28" s="21">
        <f>AVERAGE(X28:X32)</f>
        <v>382.18457411120005</v>
      </c>
      <c r="Z28" s="22">
        <f t="shared" si="7"/>
        <v>0</v>
      </c>
      <c r="AA28" s="22">
        <f t="shared" si="8"/>
        <v>498.10923199999996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1</v>
      </c>
      <c r="AF28">
        <f t="shared" si="13"/>
        <v>21033.62801</v>
      </c>
      <c r="AG28">
        <f t="shared" si="14"/>
        <v>4206.7256020000004</v>
      </c>
      <c r="AH28">
        <f t="shared" si="15"/>
        <v>2095.4088588469576</v>
      </c>
    </row>
    <row r="29" spans="1:34">
      <c r="A29" s="23" t="s">
        <v>19</v>
      </c>
      <c r="B29" s="24">
        <v>36</v>
      </c>
      <c r="C29" s="25">
        <f>SUM('Plant Measurements'!P263+'Plant Measurements'!P264+'Plant Measurements'!P265+'Plant Measurements'!P266+'Plant Measurements'!P267+'Plant Measurements'!P268+'Plant Measurements'!P270+'Plant Measurements'!P271+'Plant Measurements'!P273+'Plant Measurements'!P274+'Plant Measurements'!P275+'Plant Measurements'!P276)</f>
        <v>53.715118588999999</v>
      </c>
      <c r="D29" s="26"/>
      <c r="E29" s="17">
        <f t="shared" si="0"/>
        <v>214.860474356</v>
      </c>
      <c r="F29" s="25"/>
      <c r="G29" s="27"/>
      <c r="H29" s="24">
        <f t="shared" si="16"/>
        <v>0</v>
      </c>
      <c r="I29" s="25"/>
      <c r="J29" s="27"/>
      <c r="K29" s="17">
        <f t="shared" si="1"/>
        <v>0</v>
      </c>
      <c r="L29" s="25"/>
      <c r="M29" s="27"/>
      <c r="N29" s="17">
        <f t="shared" si="2"/>
        <v>0</v>
      </c>
      <c r="O29" s="25"/>
      <c r="P29" s="27"/>
      <c r="Q29" s="17">
        <f t="shared" si="3"/>
        <v>0</v>
      </c>
      <c r="R29" s="25"/>
      <c r="S29" s="27"/>
      <c r="T29" s="17">
        <f t="shared" si="4"/>
        <v>0</v>
      </c>
      <c r="U29" s="25"/>
      <c r="V29" s="27"/>
      <c r="W29" s="17">
        <f t="shared" si="5"/>
        <v>0</v>
      </c>
      <c r="X29" s="24">
        <f t="shared" si="6"/>
        <v>214.860474356</v>
      </c>
      <c r="Y29" s="28"/>
      <c r="Z29" s="22">
        <f t="shared" si="7"/>
        <v>214.860474356</v>
      </c>
      <c r="AA29" s="22">
        <f t="shared" si="8"/>
        <v>0</v>
      </c>
      <c r="AB29">
        <f t="shared" si="9"/>
        <v>1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f t="shared" si="13"/>
        <v>21033.62801</v>
      </c>
      <c r="AG29">
        <f t="shared" si="14"/>
        <v>4206.7256020000004</v>
      </c>
      <c r="AH29">
        <f t="shared" si="15"/>
        <v>903.8590583312498</v>
      </c>
    </row>
    <row r="30" spans="1:34">
      <c r="A30" s="23" t="s">
        <v>19</v>
      </c>
      <c r="B30" s="37">
        <v>16</v>
      </c>
      <c r="C30" s="25"/>
      <c r="D30" s="26"/>
      <c r="E30" s="17">
        <f t="shared" si="0"/>
        <v>0</v>
      </c>
      <c r="F30" s="25"/>
      <c r="G30" s="27"/>
      <c r="H30" s="24">
        <f t="shared" si="16"/>
        <v>0</v>
      </c>
      <c r="I30" s="25"/>
      <c r="J30" s="27"/>
      <c r="K30" s="17">
        <f t="shared" si="1"/>
        <v>0</v>
      </c>
      <c r="L30" s="25"/>
      <c r="M30" s="27"/>
      <c r="N30" s="17">
        <f t="shared" si="2"/>
        <v>0</v>
      </c>
      <c r="O30" s="25"/>
      <c r="P30" s="27"/>
      <c r="Q30" s="17">
        <f t="shared" si="3"/>
        <v>0</v>
      </c>
      <c r="R30" s="25">
        <f>SUM('Plant Measurements'!P277+'Plant Measurements'!P279+'Plant Measurements'!P280+'Plant Measurements'!P281+'Plant Measurements'!P282+'Plant Measurements'!P283+'Plant Measurements'!P284)</f>
        <v>50.515485650000002</v>
      </c>
      <c r="S30" s="27"/>
      <c r="T30" s="17">
        <f t="shared" si="4"/>
        <v>202.06194260000001</v>
      </c>
      <c r="U30" s="25"/>
      <c r="V30" s="27"/>
      <c r="W30" s="17">
        <f t="shared" si="5"/>
        <v>0</v>
      </c>
      <c r="X30" s="24">
        <f t="shared" si="6"/>
        <v>202.06194260000001</v>
      </c>
      <c r="Y30" s="28"/>
      <c r="Z30" s="22">
        <f t="shared" si="7"/>
        <v>0</v>
      </c>
      <c r="AA30" s="22">
        <f t="shared" si="8"/>
        <v>202.06194260000001</v>
      </c>
      <c r="AB30">
        <f t="shared" si="9"/>
        <v>0</v>
      </c>
      <c r="AC30">
        <f t="shared" si="10"/>
        <v>0</v>
      </c>
      <c r="AD30">
        <f t="shared" si="11"/>
        <v>0</v>
      </c>
      <c r="AE30">
        <f t="shared" si="12"/>
        <v>1</v>
      </c>
      <c r="AF30">
        <f t="shared" si="13"/>
        <v>21033.62801</v>
      </c>
      <c r="AG30">
        <f t="shared" si="14"/>
        <v>4206.7256020000004</v>
      </c>
      <c r="AH30">
        <f t="shared" si="15"/>
        <v>850.01914712527457</v>
      </c>
    </row>
    <row r="31" spans="1:34">
      <c r="A31" s="23" t="s">
        <v>19</v>
      </c>
      <c r="B31" s="24">
        <v>13</v>
      </c>
      <c r="C31" s="25"/>
      <c r="D31" s="26"/>
      <c r="E31" s="17">
        <f t="shared" si="0"/>
        <v>0</v>
      </c>
      <c r="F31" s="25"/>
      <c r="G31" s="27"/>
      <c r="H31" s="24">
        <f t="shared" si="16"/>
        <v>0</v>
      </c>
      <c r="I31" s="25"/>
      <c r="J31" s="27"/>
      <c r="K31" s="17">
        <f t="shared" si="1"/>
        <v>0</v>
      </c>
      <c r="L31" s="25"/>
      <c r="M31" s="27"/>
      <c r="N31" s="17">
        <f t="shared" si="2"/>
        <v>0</v>
      </c>
      <c r="O31" s="25"/>
      <c r="P31" s="27"/>
      <c r="Q31" s="17">
        <f t="shared" si="3"/>
        <v>0</v>
      </c>
      <c r="R31" s="25">
        <f>SUM('Plant Measurements'!P286+'Plant Measurements'!P287)</f>
        <v>10.676048999999995</v>
      </c>
      <c r="S31" s="27"/>
      <c r="T31" s="17">
        <f t="shared" si="4"/>
        <v>42.704195999999982</v>
      </c>
      <c r="U31" s="25"/>
      <c r="V31" s="27"/>
      <c r="W31" s="17">
        <f t="shared" si="5"/>
        <v>0</v>
      </c>
      <c r="X31" s="24">
        <f t="shared" si="6"/>
        <v>42.704195999999982</v>
      </c>
      <c r="Y31" s="28"/>
      <c r="Z31" s="22">
        <f t="shared" si="7"/>
        <v>0</v>
      </c>
      <c r="AA31" s="22">
        <f t="shared" si="8"/>
        <v>42.704195999999982</v>
      </c>
      <c r="AB31">
        <f t="shared" si="9"/>
        <v>0</v>
      </c>
      <c r="AC31">
        <f t="shared" si="10"/>
        <v>0</v>
      </c>
      <c r="AD31">
        <f t="shared" si="11"/>
        <v>0</v>
      </c>
      <c r="AE31">
        <f t="shared" si="12"/>
        <v>1</v>
      </c>
      <c r="AF31">
        <f t="shared" si="13"/>
        <v>21033.62801</v>
      </c>
      <c r="AG31">
        <f t="shared" si="14"/>
        <v>4206.7256020000004</v>
      </c>
      <c r="AH31">
        <f t="shared" si="15"/>
        <v>179.64483462602593</v>
      </c>
    </row>
    <row r="32" spans="1:34">
      <c r="A32" s="29" t="s">
        <v>19</v>
      </c>
      <c r="B32" s="24">
        <v>6</v>
      </c>
      <c r="C32" s="31"/>
      <c r="D32" s="32"/>
      <c r="E32" s="17">
        <f t="shared" si="0"/>
        <v>0</v>
      </c>
      <c r="F32" s="31"/>
      <c r="G32" s="33"/>
      <c r="H32" s="24">
        <f t="shared" si="16"/>
        <v>0</v>
      </c>
      <c r="I32" s="31">
        <f>SUM('Plant Measurements'!P288+'Plant Measurements'!P289+'Plant Measurements'!P290+'Plant Measurements'!P291+'Plant Measurements'!P292+'Plant Measurements'!P293+'Plant Measurements'!P294+'Plant Measurements'!P295+'Plant Measurements'!P296+'Plant Measurements'!P297+'Plant Measurements'!P298+'Plant Measurements'!P299+'Plant Measurements'!P301+'Plant Measurements'!P302+'Plant Measurements'!P303+'Plant Measurements'!P304+'Plant Measurements'!P305+'Plant Measurements'!P306+'Plant Measurements'!P307+'Plant Measurements'!P308+'Plant Measurements'!P309+'Plant Measurements'!P310+'Plant Measurements'!P311)</f>
        <v>238.29675640000005</v>
      </c>
      <c r="J32" s="33"/>
      <c r="K32" s="17">
        <f t="shared" si="1"/>
        <v>953.1870256000002</v>
      </c>
      <c r="L32" s="31"/>
      <c r="M32" s="33"/>
      <c r="N32" s="17">
        <f t="shared" si="2"/>
        <v>0</v>
      </c>
      <c r="O32" s="31"/>
      <c r="P32" s="33"/>
      <c r="Q32" s="17">
        <f t="shared" si="3"/>
        <v>0</v>
      </c>
      <c r="R32" s="31"/>
      <c r="S32" s="33"/>
      <c r="T32" s="17">
        <f t="shared" si="4"/>
        <v>0</v>
      </c>
      <c r="U32" s="31"/>
      <c r="V32" s="33"/>
      <c r="W32" s="17">
        <f t="shared" si="5"/>
        <v>0</v>
      </c>
      <c r="X32" s="30">
        <f t="shared" si="6"/>
        <v>953.1870256000002</v>
      </c>
      <c r="Y32" s="34"/>
      <c r="Z32" s="22">
        <f t="shared" si="7"/>
        <v>0</v>
      </c>
      <c r="AA32" s="22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1</v>
      </c>
      <c r="AE32">
        <f t="shared" si="12"/>
        <v>0</v>
      </c>
      <c r="AF32">
        <f t="shared" si="13"/>
        <v>21033.62801</v>
      </c>
      <c r="AG32">
        <f t="shared" si="14"/>
        <v>4206.7256020000004</v>
      </c>
      <c r="AH32">
        <f t="shared" si="15"/>
        <v>4009.7962640857504</v>
      </c>
    </row>
    <row r="33" spans="1:34">
      <c r="A33" s="16" t="s">
        <v>20</v>
      </c>
      <c r="B33" s="17">
        <v>46</v>
      </c>
      <c r="C33" s="18"/>
      <c r="D33" s="38"/>
      <c r="E33" s="17">
        <f t="shared" si="0"/>
        <v>0</v>
      </c>
      <c r="F33" s="18"/>
      <c r="G33" s="20"/>
      <c r="H33" s="24">
        <f t="shared" si="16"/>
        <v>0</v>
      </c>
      <c r="I33" s="18">
        <f>SUM('Plant Measurements'!P312+'Plant Measurements'!P313+'Plant Measurements'!P314+'Plant Measurements'!P315+'Plant Measurements'!P316+'Plant Measurements'!P317+'Plant Measurements'!P318+'Plant Measurements'!P320+'Plant Measurements'!P321+'Plant Measurements'!P322+'Plant Measurements'!P323+'Plant Measurements'!P324+'Plant Measurements'!P325+'Plant Measurements'!P326+'Plant Measurements'!P327+'Plant Measurements'!P328+'Plant Measurements'!P329+'Plant Measurements'!P330+'Plant Measurements'!P331+'Plant Measurements'!P332+'Plant Measurements'!P333+'Plant Measurements'!P334+'Plant Measurements'!P335+'Plant Measurements'!P336+'Plant Measurements'!P337+'Plant Measurements'!P338+'Plant Measurements'!P339+'Plant Measurements'!P340+'Plant Measurements'!P341+'Plant Measurements'!P342+'Plant Measurements'!P343+'Plant Measurements'!P344+'Plant Measurements'!P346+'Plant Measurements'!P347+'Plant Measurements'!P348+'Plant Measurements'!P351+'Plant Measurements'!P352+'Plant Measurements'!P353+'Plant Measurements'!P354+'Plant Measurements'!P355+'Plant Measurements'!P356+'Plant Measurements'!P357+'Plant Measurements'!P358+'Plant Measurements'!P359+'Plant Measurements'!P360+'Plant Measurements'!P361+'Plant Measurements'!P362+'Plant Measurements'!P363)</f>
        <v>594.18259560000013</v>
      </c>
      <c r="J33" s="20"/>
      <c r="K33" s="17">
        <f t="shared" si="1"/>
        <v>2376.7303824000005</v>
      </c>
      <c r="L33" s="18"/>
      <c r="M33" s="20"/>
      <c r="N33" s="17">
        <f t="shared" si="2"/>
        <v>0</v>
      </c>
      <c r="O33" s="18"/>
      <c r="P33" s="20"/>
      <c r="Q33" s="17">
        <f t="shared" si="3"/>
        <v>0</v>
      </c>
      <c r="R33" s="18">
        <f>SUM('Plant Measurements'!P364)</f>
        <v>9.7861390000000057</v>
      </c>
      <c r="S33" s="20"/>
      <c r="T33" s="17">
        <f t="shared" si="4"/>
        <v>39.144556000000023</v>
      </c>
      <c r="U33" s="18"/>
      <c r="V33" s="20"/>
      <c r="W33" s="17">
        <f t="shared" si="5"/>
        <v>0</v>
      </c>
      <c r="X33" s="17">
        <f t="shared" si="6"/>
        <v>2415.8749384000007</v>
      </c>
      <c r="Y33" s="21">
        <f>AVERAGE(X33:X37)</f>
        <v>625.95930416000022</v>
      </c>
      <c r="Z33" s="22">
        <f t="shared" si="7"/>
        <v>0</v>
      </c>
      <c r="AA33" s="22">
        <f t="shared" si="8"/>
        <v>39.144556000000023</v>
      </c>
      <c r="AB33">
        <f t="shared" si="9"/>
        <v>0</v>
      </c>
      <c r="AC33">
        <f t="shared" si="10"/>
        <v>0</v>
      </c>
      <c r="AD33">
        <f t="shared" si="11"/>
        <v>0.9837969443791138</v>
      </c>
      <c r="AE33">
        <f t="shared" si="12"/>
        <v>1.6203055620886114E-2</v>
      </c>
      <c r="AF33">
        <f t="shared" si="13"/>
        <v>21033.62801</v>
      </c>
      <c r="AG33">
        <f t="shared" si="14"/>
        <v>4206.7256020000004</v>
      </c>
      <c r="AH33">
        <f t="shared" si="15"/>
        <v>10162.922954597456</v>
      </c>
    </row>
    <row r="34" spans="1:34">
      <c r="A34" s="23" t="s">
        <v>20</v>
      </c>
      <c r="B34" s="24">
        <v>42</v>
      </c>
      <c r="C34" s="25"/>
      <c r="D34" s="26"/>
      <c r="E34" s="17">
        <f t="shared" si="0"/>
        <v>0</v>
      </c>
      <c r="F34" s="25"/>
      <c r="G34" s="27"/>
      <c r="H34" s="24">
        <f t="shared" si="16"/>
        <v>0</v>
      </c>
      <c r="I34" s="25"/>
      <c r="J34" s="27"/>
      <c r="K34" s="17">
        <f t="shared" si="1"/>
        <v>0</v>
      </c>
      <c r="L34" s="25"/>
      <c r="M34" s="27"/>
      <c r="N34" s="17">
        <f t="shared" si="2"/>
        <v>0</v>
      </c>
      <c r="O34" s="25"/>
      <c r="P34" s="27"/>
      <c r="Q34" s="17">
        <f t="shared" si="3"/>
        <v>0</v>
      </c>
      <c r="R34" s="25">
        <f>SUM('Plant Measurements'!P366+'Plant Measurements'!P367+'Plant Measurements'!P368+'Plant Measurements'!P369+'Plant Measurements'!P370+'Plant Measurements'!P371+'Plant Measurements'!P372+'Plant Measurements'!P373+'Plant Measurements'!P374+'Plant Measurements'!P375+'Plant Measurements'!P376+'Plant Measurements'!P377+'Plant Measurements'!P378)</f>
        <v>81.335752000000042</v>
      </c>
      <c r="S34" s="27"/>
      <c r="T34" s="17">
        <f t="shared" si="4"/>
        <v>325.34300800000017</v>
      </c>
      <c r="U34" s="25"/>
      <c r="V34" s="27"/>
      <c r="W34" s="17">
        <f t="shared" si="5"/>
        <v>0</v>
      </c>
      <c r="X34" s="24">
        <f t="shared" si="6"/>
        <v>325.34300800000017</v>
      </c>
      <c r="Y34" s="28"/>
      <c r="Z34" s="22">
        <f t="shared" si="7"/>
        <v>0</v>
      </c>
      <c r="AA34" s="22">
        <f t="shared" si="8"/>
        <v>325.34300800000017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1</v>
      </c>
      <c r="AF34">
        <f t="shared" si="13"/>
        <v>21033.62801</v>
      </c>
      <c r="AG34">
        <f t="shared" si="14"/>
        <v>4206.7256020000004</v>
      </c>
      <c r="AH34">
        <f t="shared" si="15"/>
        <v>1368.6287611852918</v>
      </c>
    </row>
    <row r="35" spans="1:34">
      <c r="A35" s="23" t="s">
        <v>20</v>
      </c>
      <c r="B35" s="24">
        <v>20</v>
      </c>
      <c r="C35" s="25"/>
      <c r="D35" s="26"/>
      <c r="E35" s="17">
        <f t="shared" si="0"/>
        <v>0</v>
      </c>
      <c r="F35" s="25"/>
      <c r="G35" s="27"/>
      <c r="H35" s="24">
        <f t="shared" si="16"/>
        <v>0</v>
      </c>
      <c r="I35" s="25"/>
      <c r="J35" s="27"/>
      <c r="K35" s="17">
        <f t="shared" si="1"/>
        <v>0</v>
      </c>
      <c r="L35" s="25"/>
      <c r="M35" s="27"/>
      <c r="N35" s="17">
        <f t="shared" si="2"/>
        <v>0</v>
      </c>
      <c r="O35" s="25"/>
      <c r="P35" s="27"/>
      <c r="Q35" s="17">
        <f t="shared" si="3"/>
        <v>0</v>
      </c>
      <c r="R35" s="25">
        <f>SUM('Plant Measurements'!P380+'Plant Measurements'!P381+'Plant Measurements'!P383+'Plant Measurements'!P384+'Plant Measurements'!P385+'Plant Measurements'!P386+'Plant Measurements'!P388+'Plant Measurements'!P389+'Plant Measurements'!P390+'Plant Measurements'!P391+'Plant Measurements'!P392+'Plant Measurements'!P393+'Plant Measurements'!P394+'Plant Measurements'!P395+'Plant Measurements'!P396)</f>
        <v>85.202014999999989</v>
      </c>
      <c r="S35" s="27"/>
      <c r="T35" s="17">
        <f t="shared" si="4"/>
        <v>340.80805999999995</v>
      </c>
      <c r="U35" s="25"/>
      <c r="V35" s="27"/>
      <c r="W35" s="17">
        <f t="shared" si="5"/>
        <v>0</v>
      </c>
      <c r="X35" s="24">
        <f t="shared" si="6"/>
        <v>340.80805999999995</v>
      </c>
      <c r="Y35" s="28"/>
      <c r="Z35" s="22">
        <f t="shared" si="7"/>
        <v>0</v>
      </c>
      <c r="AA35" s="22">
        <f t="shared" si="8"/>
        <v>340.80805999999995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f t="shared" si="12"/>
        <v>1</v>
      </c>
      <c r="AF35">
        <f t="shared" si="13"/>
        <v>21033.62801</v>
      </c>
      <c r="AG35">
        <f t="shared" si="14"/>
        <v>4206.7256020000004</v>
      </c>
      <c r="AH35">
        <f t="shared" si="15"/>
        <v>1433.685991369952</v>
      </c>
    </row>
    <row r="36" spans="1:34">
      <c r="A36" s="23" t="s">
        <v>20</v>
      </c>
      <c r="B36" s="24">
        <v>14</v>
      </c>
      <c r="C36" s="25">
        <f>SUM('Plant Measurements'!P398)</f>
        <v>2.1563976</v>
      </c>
      <c r="D36" s="26"/>
      <c r="E36" s="17">
        <f t="shared" si="0"/>
        <v>8.6255904000000001</v>
      </c>
      <c r="F36" s="25"/>
      <c r="G36" s="27"/>
      <c r="H36" s="24">
        <f t="shared" si="16"/>
        <v>0</v>
      </c>
      <c r="I36" s="25"/>
      <c r="J36" s="27"/>
      <c r="K36" s="17">
        <f t="shared" si="1"/>
        <v>0</v>
      </c>
      <c r="L36" s="25"/>
      <c r="M36" s="27"/>
      <c r="N36" s="17">
        <f t="shared" si="2"/>
        <v>0</v>
      </c>
      <c r="O36" s="25"/>
      <c r="P36" s="27"/>
      <c r="Q36" s="17">
        <f t="shared" si="3"/>
        <v>0</v>
      </c>
      <c r="R36" s="25">
        <f>SUM('Plant Measurements'!P401+'Plant Measurements'!P402+'Plant Measurements'!P403)</f>
        <v>9.7862309999999972</v>
      </c>
      <c r="S36" s="27"/>
      <c r="T36" s="17">
        <f t="shared" si="4"/>
        <v>39.144923999999989</v>
      </c>
      <c r="U36" s="25"/>
      <c r="V36" s="27"/>
      <c r="W36" s="17">
        <f t="shared" si="5"/>
        <v>0</v>
      </c>
      <c r="X36" s="24">
        <f t="shared" si="6"/>
        <v>47.770514399999989</v>
      </c>
      <c r="Y36" s="28"/>
      <c r="Z36" s="22">
        <f t="shared" si="7"/>
        <v>8.6255904000000001</v>
      </c>
      <c r="AA36" s="22">
        <f t="shared" si="8"/>
        <v>39.144923999999989</v>
      </c>
      <c r="AB36">
        <f t="shared" si="9"/>
        <v>0.18056306297593483</v>
      </c>
      <c r="AC36">
        <f t="shared" si="10"/>
        <v>0</v>
      </c>
      <c r="AD36">
        <f t="shared" si="11"/>
        <v>0</v>
      </c>
      <c r="AE36">
        <f t="shared" si="12"/>
        <v>0.81943693702406517</v>
      </c>
      <c r="AF36">
        <f t="shared" si="13"/>
        <v>21033.62801</v>
      </c>
      <c r="AG36">
        <f t="shared" si="14"/>
        <v>4206.7256020000004</v>
      </c>
      <c r="AH36">
        <f t="shared" si="15"/>
        <v>200.95744594718965</v>
      </c>
    </row>
    <row r="37" spans="1:34">
      <c r="A37" s="29" t="s">
        <v>20</v>
      </c>
      <c r="B37" s="30">
        <v>4</v>
      </c>
      <c r="C37" s="31"/>
      <c r="D37" s="32"/>
      <c r="E37" s="17">
        <f t="shared" si="0"/>
        <v>0</v>
      </c>
      <c r="F37" s="31"/>
      <c r="G37" s="33"/>
      <c r="H37" s="24">
        <f t="shared" si="16"/>
        <v>0</v>
      </c>
      <c r="I37" s="31"/>
      <c r="J37" s="33"/>
      <c r="K37" s="17">
        <f t="shared" si="1"/>
        <v>0</v>
      </c>
      <c r="L37" s="31"/>
      <c r="M37" s="33"/>
      <c r="N37" s="17">
        <f t="shared" si="2"/>
        <v>0</v>
      </c>
      <c r="O37" s="31"/>
      <c r="P37" s="33"/>
      <c r="Q37" s="17">
        <f t="shared" si="3"/>
        <v>0</v>
      </c>
      <c r="R37" s="31"/>
      <c r="S37" s="33"/>
      <c r="T37" s="17">
        <f t="shared" si="4"/>
        <v>0</v>
      </c>
      <c r="U37" s="31"/>
      <c r="V37" s="33"/>
      <c r="W37" s="17">
        <f t="shared" si="5"/>
        <v>0</v>
      </c>
      <c r="X37" s="30">
        <f t="shared" si="6"/>
        <v>0</v>
      </c>
      <c r="Y37" s="34"/>
      <c r="Z37" s="22">
        <f t="shared" si="7"/>
        <v>0</v>
      </c>
      <c r="AA37" s="22">
        <f t="shared" si="8"/>
        <v>0</v>
      </c>
      <c r="AB37" t="str">
        <f t="shared" si="9"/>
        <v xml:space="preserve"> </v>
      </c>
      <c r="AC37" t="str">
        <f t="shared" si="10"/>
        <v xml:space="preserve"> </v>
      </c>
      <c r="AD37" t="str">
        <f t="shared" si="11"/>
        <v xml:space="preserve"> </v>
      </c>
      <c r="AE37" t="str">
        <f t="shared" si="12"/>
        <v xml:space="preserve"> </v>
      </c>
      <c r="AF37">
        <f t="shared" si="13"/>
        <v>21033.62801</v>
      </c>
      <c r="AG37">
        <f t="shared" si="14"/>
        <v>4206.7256020000004</v>
      </c>
      <c r="AH37">
        <f t="shared" si="15"/>
        <v>0</v>
      </c>
    </row>
    <row r="38" spans="1:34">
      <c r="A38" s="16" t="s">
        <v>21</v>
      </c>
      <c r="B38" s="17">
        <v>36</v>
      </c>
      <c r="C38" s="18"/>
      <c r="D38" s="19"/>
      <c r="E38" s="17">
        <f t="shared" si="0"/>
        <v>0</v>
      </c>
      <c r="F38" s="18"/>
      <c r="G38" s="20"/>
      <c r="H38" s="24">
        <f t="shared" si="16"/>
        <v>0</v>
      </c>
      <c r="I38" s="18"/>
      <c r="J38" s="20"/>
      <c r="K38" s="17">
        <f t="shared" si="1"/>
        <v>0</v>
      </c>
      <c r="L38" s="18"/>
      <c r="M38" s="20"/>
      <c r="N38" s="17">
        <f t="shared" si="2"/>
        <v>0</v>
      </c>
      <c r="O38" s="18"/>
      <c r="P38" s="20"/>
      <c r="Q38" s="17">
        <f t="shared" si="3"/>
        <v>0</v>
      </c>
      <c r="R38" s="18">
        <f>SUM('Plant Measurements'!P405+'Plant Measurements'!P407+'Plant Measurements'!P408+'Plant Measurements'!P409+'Plant Measurements'!P411+'Plant Measurements'!P412+'Plant Measurements'!P413+'Plant Measurements'!P414+'Plant Measurements'!P415+'Plant Measurements'!P416+'Plant Measurements'!P417+'Plant Measurements'!P418+'Plant Measurements'!P419+'Plant Measurements'!P420+'Plant Measurements'!P421+'Plant Measurements'!P422)</f>
        <v>60.085164999999996</v>
      </c>
      <c r="S38" s="20"/>
      <c r="T38" s="17">
        <f t="shared" si="4"/>
        <v>240.34065999999999</v>
      </c>
      <c r="U38" s="18"/>
      <c r="V38" s="20"/>
      <c r="W38" s="17">
        <f t="shared" si="5"/>
        <v>0</v>
      </c>
      <c r="X38" s="17">
        <f t="shared" si="6"/>
        <v>240.34065999999999</v>
      </c>
      <c r="Y38" s="21">
        <f>AVERAGE(X38:X42)</f>
        <v>640.99307936000002</v>
      </c>
      <c r="Z38" s="22">
        <f t="shared" si="7"/>
        <v>0</v>
      </c>
      <c r="AA38" s="22">
        <f t="shared" si="8"/>
        <v>240.34065999999999</v>
      </c>
      <c r="AB38">
        <f t="shared" si="9"/>
        <v>0</v>
      </c>
      <c r="AC38">
        <f t="shared" si="10"/>
        <v>0</v>
      </c>
      <c r="AD38">
        <f t="shared" si="11"/>
        <v>0</v>
      </c>
      <c r="AE38">
        <f t="shared" si="12"/>
        <v>1</v>
      </c>
      <c r="AF38">
        <f t="shared" si="13"/>
        <v>21033.62801</v>
      </c>
      <c r="AG38">
        <f t="shared" si="14"/>
        <v>4206.7256020000004</v>
      </c>
      <c r="AH38">
        <f t="shared" si="15"/>
        <v>1011.0472076235774</v>
      </c>
    </row>
    <row r="39" spans="1:34">
      <c r="A39" s="23" t="s">
        <v>21</v>
      </c>
      <c r="B39" s="24">
        <v>33</v>
      </c>
      <c r="C39" s="25"/>
      <c r="D39" s="26"/>
      <c r="E39" s="17">
        <f t="shared" si="0"/>
        <v>0</v>
      </c>
      <c r="F39" s="25"/>
      <c r="G39" s="27"/>
      <c r="H39" s="24">
        <f t="shared" si="16"/>
        <v>0</v>
      </c>
      <c r="I39" s="25"/>
      <c r="J39" s="27"/>
      <c r="K39" s="17">
        <f t="shared" si="1"/>
        <v>0</v>
      </c>
      <c r="L39" s="25"/>
      <c r="M39" s="27"/>
      <c r="N39" s="17">
        <f t="shared" si="2"/>
        <v>0</v>
      </c>
      <c r="O39" s="25"/>
      <c r="P39" s="27"/>
      <c r="Q39" s="17">
        <f t="shared" si="3"/>
        <v>0</v>
      </c>
      <c r="R39" s="25">
        <f>SUM('Plant Measurements'!P423+'Plant Measurements'!P424+'Plant Measurements'!P425+'Plant Measurements'!P426+'Plant Measurements'!P427+'Plant Measurements'!P429+'Plant Measurements'!P430+'Plant Measurements'!P431+'Plant Measurements'!P432+'Plant Measurements'!P433+'Plant Measurements'!P434+'Plant Measurements'!P435+'Plant Measurements'!P436)</f>
        <v>86.460988000000015</v>
      </c>
      <c r="S39" s="27"/>
      <c r="T39" s="17">
        <f t="shared" si="4"/>
        <v>345.84395200000006</v>
      </c>
      <c r="U39" s="25"/>
      <c r="V39" s="27"/>
      <c r="W39" s="17">
        <f t="shared" si="5"/>
        <v>0</v>
      </c>
      <c r="X39" s="24">
        <f t="shared" si="6"/>
        <v>345.84395200000006</v>
      </c>
      <c r="Y39" s="28"/>
      <c r="Z39" s="22">
        <f t="shared" si="7"/>
        <v>0</v>
      </c>
      <c r="AA39" s="22">
        <f t="shared" si="8"/>
        <v>345.84395200000006</v>
      </c>
      <c r="AB39">
        <f t="shared" si="9"/>
        <v>0</v>
      </c>
      <c r="AC39">
        <f t="shared" si="10"/>
        <v>0</v>
      </c>
      <c r="AD39">
        <f t="shared" si="11"/>
        <v>0</v>
      </c>
      <c r="AE39">
        <f t="shared" si="12"/>
        <v>1</v>
      </c>
      <c r="AF39">
        <f t="shared" si="13"/>
        <v>21033.62801</v>
      </c>
      <c r="AG39">
        <f t="shared" si="14"/>
        <v>4206.7256020000004</v>
      </c>
      <c r="AH39">
        <f t="shared" si="15"/>
        <v>1454.8706071752595</v>
      </c>
    </row>
    <row r="40" spans="1:34">
      <c r="A40" s="23" t="s">
        <v>21</v>
      </c>
      <c r="B40" s="24">
        <v>32</v>
      </c>
      <c r="C40" s="25"/>
      <c r="D40" s="26"/>
      <c r="E40" s="17">
        <f t="shared" si="0"/>
        <v>0</v>
      </c>
      <c r="F40" s="25"/>
      <c r="G40" s="27"/>
      <c r="H40" s="24">
        <f t="shared" si="16"/>
        <v>0</v>
      </c>
      <c r="I40" s="25"/>
      <c r="J40" s="27"/>
      <c r="K40" s="17">
        <f t="shared" si="1"/>
        <v>0</v>
      </c>
      <c r="L40" s="25"/>
      <c r="M40" s="27"/>
      <c r="N40" s="17">
        <f t="shared" si="2"/>
        <v>0</v>
      </c>
      <c r="O40" s="25"/>
      <c r="P40" s="27"/>
      <c r="Q40" s="17">
        <f t="shared" si="3"/>
        <v>0</v>
      </c>
      <c r="R40" s="25">
        <f>SUM('Plant Measurements'!P439+'Plant Measurements'!P441+'Plant Measurements'!P442+'Plant Measurements'!P443+'Plant Measurements'!P444+'Plant Measurements'!P445+'Plant Measurements'!P447+'Plant Measurements'!P448+'Plant Measurements'!P449+'Plant Measurements'!P450)</f>
        <v>53.255842999999992</v>
      </c>
      <c r="S40" s="27"/>
      <c r="T40" s="17">
        <f t="shared" si="4"/>
        <v>213.02337199999997</v>
      </c>
      <c r="U40" s="25"/>
      <c r="V40" s="27"/>
      <c r="W40" s="17">
        <f t="shared" si="5"/>
        <v>0</v>
      </c>
      <c r="X40" s="24">
        <f t="shared" si="6"/>
        <v>213.02337199999997</v>
      </c>
      <c r="Y40" s="28"/>
      <c r="Z40" s="22">
        <f t="shared" si="7"/>
        <v>0</v>
      </c>
      <c r="AA40" s="22">
        <f t="shared" si="8"/>
        <v>213.02337199999997</v>
      </c>
      <c r="AB40">
        <f t="shared" si="9"/>
        <v>0</v>
      </c>
      <c r="AC40">
        <f t="shared" si="10"/>
        <v>0</v>
      </c>
      <c r="AD40">
        <f t="shared" si="11"/>
        <v>0</v>
      </c>
      <c r="AE40">
        <f t="shared" si="12"/>
        <v>1</v>
      </c>
      <c r="AF40">
        <f t="shared" si="13"/>
        <v>21033.62801</v>
      </c>
      <c r="AG40">
        <f t="shared" si="14"/>
        <v>4206.7256020000004</v>
      </c>
      <c r="AH40">
        <f t="shared" si="15"/>
        <v>896.13087281676985</v>
      </c>
    </row>
    <row r="41" spans="1:34">
      <c r="A41" s="23" t="s">
        <v>21</v>
      </c>
      <c r="B41" s="24">
        <v>14</v>
      </c>
      <c r="C41" s="25"/>
      <c r="D41" s="26"/>
      <c r="E41" s="17">
        <f t="shared" si="0"/>
        <v>0</v>
      </c>
      <c r="F41" s="25"/>
      <c r="G41" s="27"/>
      <c r="H41" s="24">
        <f t="shared" si="16"/>
        <v>0</v>
      </c>
      <c r="I41" s="25">
        <f>SUM('Plant Measurements'!P452+'Plant Measurements'!P453+'Plant Measurements'!P454+'Plant Measurements'!P455+'Plant Measurements'!P456+'Plant Measurements'!P457+'Plant Measurements'!P458+'Plant Measurements'!P459+'Plant Measurements'!P461+'Plant Measurements'!P463+'Plant Measurements'!P464+'Plant Measurements'!P466+'Plant Measurements'!P467+'Plant Measurements'!P468+'Plant Measurements'!P469+'Plant Measurements'!P472+'Plant Measurements'!P475+'Plant Measurements'!P477+'Plant Measurements'!P478+'Plant Measurements'!P479+'Plant Measurements'!P483+'Plant Measurements'!P485+'Plant Measurements'!P487+'Plant Measurements'!P489+'Plant Measurements'!P490+'Plant Measurements'!P491+'Plant Measurements'!P492+'Plant Measurements'!P493+'Plant Measurements'!P495+'Plant Measurements'!P497+'Plant Measurements'!P499+'Plant Measurements'!P501+'Plant Measurements'!P503+'Plant Measurements'!P504+'Plant Measurements'!P505+'Plant Measurements'!P506+'Plant Measurements'!P507+'Plant Measurements'!P509+'Plant Measurements'!P510)</f>
        <v>152.14273699999998</v>
      </c>
      <c r="J41" s="27"/>
      <c r="K41" s="17">
        <f t="shared" si="1"/>
        <v>608.57094799999993</v>
      </c>
      <c r="L41" s="25"/>
      <c r="M41" s="27"/>
      <c r="N41" s="17">
        <f t="shared" si="2"/>
        <v>0</v>
      </c>
      <c r="O41" s="25"/>
      <c r="P41" s="27"/>
      <c r="Q41" s="17">
        <f t="shared" si="3"/>
        <v>0</v>
      </c>
      <c r="R41" s="25"/>
      <c r="S41" s="27"/>
      <c r="T41" s="17">
        <f t="shared" si="4"/>
        <v>0</v>
      </c>
      <c r="U41" s="25"/>
      <c r="V41" s="27"/>
      <c r="W41" s="17">
        <f t="shared" si="5"/>
        <v>0</v>
      </c>
      <c r="X41" s="24">
        <f t="shared" si="6"/>
        <v>608.57094799999993</v>
      </c>
      <c r="Y41" s="28"/>
      <c r="Z41" s="22">
        <f t="shared" si="7"/>
        <v>0</v>
      </c>
      <c r="AA41" s="22">
        <f t="shared" si="8"/>
        <v>0</v>
      </c>
      <c r="AB41">
        <f t="shared" si="9"/>
        <v>0</v>
      </c>
      <c r="AC41">
        <f t="shared" si="10"/>
        <v>0</v>
      </c>
      <c r="AD41">
        <f t="shared" si="11"/>
        <v>1</v>
      </c>
      <c r="AE41">
        <f t="shared" si="12"/>
        <v>0</v>
      </c>
      <c r="AF41">
        <f t="shared" si="13"/>
        <v>21033.62801</v>
      </c>
      <c r="AG41">
        <f t="shared" si="14"/>
        <v>4206.7256020000004</v>
      </c>
      <c r="AH41">
        <f t="shared" si="15"/>
        <v>2560.0909875850107</v>
      </c>
    </row>
    <row r="42" spans="1:34">
      <c r="A42" s="29" t="s">
        <v>21</v>
      </c>
      <c r="B42" s="30">
        <v>11</v>
      </c>
      <c r="C42" s="31"/>
      <c r="D42" s="32"/>
      <c r="E42" s="17">
        <f>C42*4</f>
        <v>0</v>
      </c>
      <c r="F42" s="31"/>
      <c r="G42" s="33"/>
      <c r="H42" s="24">
        <f t="shared" si="16"/>
        <v>0</v>
      </c>
      <c r="I42" s="31">
        <f>SUM('Plant Measurements'!P513+'Plant Measurements'!P514+'Plant Measurements'!P516+'Plant Measurements'!P517+'Plant Measurements'!P519+'Plant Measurements'!P524+'Plant Measurements'!P525+'Plant Measurements'!P526+'Plant Measurements'!P528+'Plant Measurements'!P529+'Plant Measurements'!P531+'Plant Measurements'!P532+'Plant Measurements'!P533+'Plant Measurements'!P534+'Plant Measurements'!P535+'Plant Measurements'!P536+'Plant Measurements'!P537+'Plant Measurements'!P538+'Plant Measurements'!P539+'Plant Measurements'!P540+'Plant Measurements'!P541+'Plant Measurements'!P542+'Plant Measurements'!P543+'Plant Measurements'!P544+'Plant Measurements'!P545+'Plant Measurements'!P546+'Plant Measurements'!P547+'Plant Measurements'!P548+'Plant Measurements'!P549+'Plant Measurements'!P550+'Plant Measurements'!P551+'Plant Measurements'!P552+'Plant Measurements'!P553+'Plant Measurements'!P559+'Plant Measurements'!P560+'Plant Measurements'!P561+'Plant Measurements'!P562+'Plant Measurements'!P563+'Plant Measurements'!P564+'Plant Measurements'!P565+'Plant Measurements'!P566+'Plant Measurements'!P567+'Plant Measurements'!P568+'Plant Measurements'!P570+'Plant Measurements'!P571+'Plant Measurements'!P572+'Plant Measurements'!P573)</f>
        <v>449.29661620000002</v>
      </c>
      <c r="J42" s="33"/>
      <c r="K42" s="17">
        <f t="shared" si="1"/>
        <v>1797.1864648000001</v>
      </c>
      <c r="L42" s="31"/>
      <c r="M42" s="33"/>
      <c r="N42" s="17">
        <f t="shared" si="2"/>
        <v>0</v>
      </c>
      <c r="O42" s="31"/>
      <c r="P42" s="33"/>
      <c r="Q42" s="17">
        <f t="shared" si="3"/>
        <v>0</v>
      </c>
      <c r="R42" s="31"/>
      <c r="S42" s="33"/>
      <c r="T42" s="17">
        <f t="shared" si="4"/>
        <v>0</v>
      </c>
      <c r="U42" s="31"/>
      <c r="V42" s="33"/>
      <c r="W42" s="17">
        <f t="shared" si="5"/>
        <v>0</v>
      </c>
      <c r="X42" s="30">
        <f t="shared" si="6"/>
        <v>1797.1864648000001</v>
      </c>
      <c r="Y42" s="34"/>
      <c r="Z42" s="22">
        <f t="shared" si="7"/>
        <v>0</v>
      </c>
      <c r="AA42" s="22">
        <f t="shared" si="8"/>
        <v>0</v>
      </c>
      <c r="AB42">
        <f t="shared" si="9"/>
        <v>0</v>
      </c>
      <c r="AC42">
        <f t="shared" si="10"/>
        <v>0</v>
      </c>
      <c r="AD42">
        <f t="shared" si="11"/>
        <v>1</v>
      </c>
      <c r="AE42">
        <f t="shared" si="12"/>
        <v>0</v>
      </c>
      <c r="AF42">
        <f t="shared" si="13"/>
        <v>21033.62801</v>
      </c>
      <c r="AG42">
        <f t="shared" si="14"/>
        <v>4206.7256020000004</v>
      </c>
      <c r="AH42">
        <f t="shared" si="15"/>
        <v>7560.2703130420323</v>
      </c>
    </row>
    <row r="43" spans="1:34">
      <c r="A43" s="16" t="s">
        <v>54</v>
      </c>
      <c r="B43" s="17">
        <v>49</v>
      </c>
      <c r="C43" s="18"/>
      <c r="D43" s="39"/>
      <c r="E43" s="17">
        <f>C43*4</f>
        <v>0</v>
      </c>
      <c r="F43" s="18"/>
      <c r="G43" s="20"/>
      <c r="H43" s="24">
        <f t="shared" ref="H43:H52" si="17">F43*4</f>
        <v>0</v>
      </c>
      <c r="I43" s="18">
        <f>SUM('Plant Measurements'!P574+'Plant Measurements'!P575+'Plant Measurements'!P576+'Plant Measurements'!P577+'Plant Measurements'!P578+'Plant Measurements'!P579+'Plant Measurements'!P580+'Plant Measurements'!P581+'Plant Measurements'!P582+'Plant Measurements'!P583)</f>
        <v>153.61286000000001</v>
      </c>
      <c r="J43" s="20"/>
      <c r="K43" s="17">
        <f t="shared" si="1"/>
        <v>614.45144000000005</v>
      </c>
      <c r="L43" s="18"/>
      <c r="M43" s="20"/>
      <c r="N43" s="17">
        <f t="shared" si="2"/>
        <v>0</v>
      </c>
      <c r="O43" s="18"/>
      <c r="P43" s="20"/>
      <c r="Q43" s="17">
        <f t="shared" si="3"/>
        <v>0</v>
      </c>
      <c r="R43" s="18"/>
      <c r="S43" s="20"/>
      <c r="T43" s="17">
        <f t="shared" si="4"/>
        <v>0</v>
      </c>
      <c r="U43" s="18"/>
      <c r="V43" s="19"/>
      <c r="W43" s="17">
        <f t="shared" si="5"/>
        <v>0</v>
      </c>
      <c r="X43" s="17">
        <f t="shared" si="6"/>
        <v>614.45144000000005</v>
      </c>
      <c r="Y43" s="21">
        <f>AVERAGE(X43:X47)</f>
        <v>385.3137256</v>
      </c>
      <c r="Z43" s="22">
        <f t="shared" si="7"/>
        <v>0</v>
      </c>
      <c r="AA43" s="22">
        <f t="shared" si="8"/>
        <v>0</v>
      </c>
      <c r="AB43">
        <f t="shared" si="9"/>
        <v>0</v>
      </c>
      <c r="AC43">
        <f t="shared" si="10"/>
        <v>0</v>
      </c>
      <c r="AD43">
        <f t="shared" si="11"/>
        <v>1</v>
      </c>
      <c r="AE43">
        <f t="shared" si="12"/>
        <v>0</v>
      </c>
      <c r="AF43">
        <f t="shared" si="13"/>
        <v>21033.62801</v>
      </c>
      <c r="AG43">
        <f t="shared" si="14"/>
        <v>4206.7256020000004</v>
      </c>
      <c r="AH43">
        <f t="shared" si="15"/>
        <v>2584.8286038337669</v>
      </c>
    </row>
    <row r="44" spans="1:34">
      <c r="A44" s="23" t="s">
        <v>54</v>
      </c>
      <c r="B44" s="24">
        <v>26</v>
      </c>
      <c r="C44" s="25"/>
      <c r="D44" s="26"/>
      <c r="E44" s="17">
        <f>C44*4</f>
        <v>0</v>
      </c>
      <c r="F44" s="25"/>
      <c r="G44" s="27"/>
      <c r="H44" s="24">
        <f t="shared" si="17"/>
        <v>0</v>
      </c>
      <c r="I44" s="25"/>
      <c r="J44" s="27"/>
      <c r="K44" s="17">
        <f t="shared" si="1"/>
        <v>0</v>
      </c>
      <c r="L44" s="25"/>
      <c r="M44" s="27"/>
      <c r="N44" s="17">
        <f t="shared" si="2"/>
        <v>0</v>
      </c>
      <c r="O44" s="25"/>
      <c r="P44" s="27"/>
      <c r="Q44" s="17">
        <f t="shared" si="3"/>
        <v>0</v>
      </c>
      <c r="R44" s="25">
        <f>SUM('Plant Measurements'!P584+'Plant Measurements'!P585+'Plant Measurements'!P586+'Plant Measurements'!P589+'Plant Measurements'!P590+'Plant Measurements'!P592+'Plant Measurements'!P593+'Plant Measurements'!P594+'Plant Measurements'!P595+'Plant Measurements'!P596+'Plant Measurements'!P599+'Plant Measurements'!P601+'Plant Measurements'!P602+'Plant Measurements'!P603+'Plant Measurements'!P604+'Plant Measurements'!P605+'Plant Measurements'!P606+'Plant Measurements'!P607)</f>
        <v>92.651561000000015</v>
      </c>
      <c r="S44" s="27"/>
      <c r="T44" s="17">
        <f t="shared" si="4"/>
        <v>370.60624400000006</v>
      </c>
      <c r="U44" s="25"/>
      <c r="V44" s="27"/>
      <c r="W44" s="17">
        <f t="shared" si="5"/>
        <v>0</v>
      </c>
      <c r="X44" s="24">
        <f t="shared" si="6"/>
        <v>370.60624400000006</v>
      </c>
      <c r="Y44" s="28"/>
      <c r="Z44" s="22">
        <f t="shared" si="7"/>
        <v>0</v>
      </c>
      <c r="AA44" s="22">
        <f t="shared" si="8"/>
        <v>370.60624400000006</v>
      </c>
      <c r="AB44">
        <f t="shared" si="9"/>
        <v>0</v>
      </c>
      <c r="AC44">
        <f t="shared" si="10"/>
        <v>0</v>
      </c>
      <c r="AD44">
        <f t="shared" si="11"/>
        <v>0</v>
      </c>
      <c r="AE44">
        <f t="shared" si="12"/>
        <v>1</v>
      </c>
      <c r="AF44">
        <f t="shared" si="13"/>
        <v>21033.62801</v>
      </c>
      <c r="AG44">
        <f t="shared" si="14"/>
        <v>4206.7256020000004</v>
      </c>
      <c r="AH44">
        <f t="shared" si="15"/>
        <v>1559.0387748958594</v>
      </c>
    </row>
    <row r="45" spans="1:34">
      <c r="A45" s="23" t="s">
        <v>54</v>
      </c>
      <c r="B45" s="24">
        <v>23</v>
      </c>
      <c r="C45" s="25"/>
      <c r="D45" s="26"/>
      <c r="E45" s="17">
        <f>C45*4</f>
        <v>0</v>
      </c>
      <c r="F45" s="25"/>
      <c r="G45" s="27"/>
      <c r="H45" s="24">
        <f t="shared" si="17"/>
        <v>0</v>
      </c>
      <c r="I45" s="25"/>
      <c r="J45" s="27"/>
      <c r="K45" s="17">
        <f t="shared" si="1"/>
        <v>0</v>
      </c>
      <c r="L45" s="25"/>
      <c r="M45" s="27"/>
      <c r="N45" s="17">
        <f t="shared" si="2"/>
        <v>0</v>
      </c>
      <c r="O45" s="25"/>
      <c r="P45" s="27"/>
      <c r="Q45" s="17">
        <f t="shared" si="3"/>
        <v>0</v>
      </c>
      <c r="R45" s="25">
        <f>SUM('Plant Measurements'!P608+'Plant Measurements'!P609+'Plant Measurements'!P610+'Plant Measurements'!P611+'Plant Measurements'!P612+'Plant Measurements'!P613+'Plant Measurements'!P614+'Plant Measurements'!P615+'Plant Measurements'!P616+'Plant Measurements'!P617+'Plant Measurements'!P618+'Plant Measurements'!P619+'Plant Measurements'!P620+'Plant Measurements'!P621+'Plant Measurements'!P623+'Plant Measurements'!P624+'Plant Measurements'!P625+'Plant Measurements'!P626+'Plant Measurements'!P627)</f>
        <v>149.291774</v>
      </c>
      <c r="S45" s="27"/>
      <c r="T45" s="17">
        <f t="shared" si="4"/>
        <v>597.16709600000002</v>
      </c>
      <c r="U45" s="25"/>
      <c r="V45" s="27"/>
      <c r="W45" s="17">
        <f t="shared" si="5"/>
        <v>0</v>
      </c>
      <c r="X45" s="24">
        <f t="shared" si="6"/>
        <v>597.16709600000002</v>
      </c>
      <c r="Y45" s="28"/>
      <c r="Z45" s="22">
        <f t="shared" si="7"/>
        <v>0</v>
      </c>
      <c r="AA45" s="22">
        <f t="shared" si="8"/>
        <v>597.16709600000002</v>
      </c>
      <c r="AB45">
        <f t="shared" si="9"/>
        <v>0</v>
      </c>
      <c r="AC45">
        <f t="shared" si="10"/>
        <v>0</v>
      </c>
      <c r="AD45">
        <f t="shared" si="11"/>
        <v>0</v>
      </c>
      <c r="AE45">
        <f t="shared" si="12"/>
        <v>1</v>
      </c>
      <c r="AF45">
        <f t="shared" si="13"/>
        <v>21033.62801</v>
      </c>
      <c r="AG45">
        <f t="shared" si="14"/>
        <v>4206.7256020000004</v>
      </c>
      <c r="AH45">
        <f t="shared" si="15"/>
        <v>2512.1181114151918</v>
      </c>
    </row>
    <row r="46" spans="1:34">
      <c r="A46" s="23" t="s">
        <v>54</v>
      </c>
      <c r="B46" s="24">
        <v>20</v>
      </c>
      <c r="C46" s="25"/>
      <c r="D46" s="26"/>
      <c r="E46" s="17">
        <f>C46*4</f>
        <v>0</v>
      </c>
      <c r="F46" s="25"/>
      <c r="G46" s="27"/>
      <c r="H46" s="24">
        <f t="shared" si="17"/>
        <v>0</v>
      </c>
      <c r="I46" s="25"/>
      <c r="J46" s="27"/>
      <c r="K46" s="17">
        <f t="shared" si="1"/>
        <v>0</v>
      </c>
      <c r="L46" s="25"/>
      <c r="M46" s="27"/>
      <c r="N46" s="17">
        <f t="shared" si="2"/>
        <v>0</v>
      </c>
      <c r="O46" s="25"/>
      <c r="P46" s="27"/>
      <c r="Q46" s="17">
        <f t="shared" si="3"/>
        <v>0</v>
      </c>
      <c r="R46" s="25">
        <f>SUM('Plant Measurements'!P629+'Plant Measurements'!P630+'Plant Measurements'!P631+'Plant Measurements'!P632+'Plant Measurements'!P633+'Plant Measurements'!P634+'Plant Measurements'!P635+'Plant Measurements'!P636+'Plant Measurements'!P637+'Plant Measurements'!P638+'Plant Measurements'!P639+'Plant Measurements'!P640)</f>
        <v>70.130028999999993</v>
      </c>
      <c r="S46" s="27"/>
      <c r="T46" s="17">
        <f t="shared" si="4"/>
        <v>280.52011599999997</v>
      </c>
      <c r="U46" s="25"/>
      <c r="V46" s="27"/>
      <c r="W46" s="17">
        <f t="shared" si="5"/>
        <v>0</v>
      </c>
      <c r="X46" s="24">
        <f t="shared" si="6"/>
        <v>280.52011599999997</v>
      </c>
      <c r="Y46" s="28"/>
      <c r="Z46" s="22">
        <f t="shared" si="7"/>
        <v>0</v>
      </c>
      <c r="AA46" s="22">
        <f t="shared" si="8"/>
        <v>280.52011599999997</v>
      </c>
      <c r="AB46">
        <f t="shared" si="9"/>
        <v>0</v>
      </c>
      <c r="AC46">
        <f t="shared" si="10"/>
        <v>0</v>
      </c>
      <c r="AD46">
        <f t="shared" si="11"/>
        <v>0</v>
      </c>
      <c r="AE46">
        <f t="shared" si="12"/>
        <v>1</v>
      </c>
      <c r="AF46">
        <f t="shared" si="13"/>
        <v>21033.62801</v>
      </c>
      <c r="AG46">
        <f t="shared" si="14"/>
        <v>4206.7256020000004</v>
      </c>
      <c r="AH46">
        <f t="shared" si="15"/>
        <v>1180.07115385321</v>
      </c>
    </row>
    <row r="47" spans="1:34">
      <c r="A47" s="29" t="s">
        <v>54</v>
      </c>
      <c r="B47" s="30">
        <v>6</v>
      </c>
      <c r="C47" s="31"/>
      <c r="D47" s="32"/>
      <c r="E47" s="17">
        <f t="shared" si="0"/>
        <v>0</v>
      </c>
      <c r="F47" s="31"/>
      <c r="G47" s="33"/>
      <c r="H47" s="24">
        <f t="shared" si="17"/>
        <v>0</v>
      </c>
      <c r="I47" s="31">
        <f>SUM('Plant Measurements'!P641+'Plant Measurements'!P642)</f>
        <v>2.4562360000000005</v>
      </c>
      <c r="J47" s="33"/>
      <c r="K47" s="17">
        <f t="shared" si="1"/>
        <v>9.8249440000000021</v>
      </c>
      <c r="L47" s="31"/>
      <c r="M47" s="33"/>
      <c r="N47" s="17">
        <f t="shared" si="2"/>
        <v>0</v>
      </c>
      <c r="O47" s="31"/>
      <c r="P47" s="33"/>
      <c r="Q47" s="17">
        <f t="shared" si="3"/>
        <v>0</v>
      </c>
      <c r="R47" s="31">
        <f>SUM('Plant Measurements'!P643+'Plant Measurements'!P644)</f>
        <v>13.499696999999998</v>
      </c>
      <c r="S47" s="33"/>
      <c r="T47" s="17">
        <f t="shared" si="4"/>
        <v>53.99878799999999</v>
      </c>
      <c r="U47" s="31"/>
      <c r="V47" s="33"/>
      <c r="W47" s="17">
        <f t="shared" si="5"/>
        <v>0</v>
      </c>
      <c r="X47" s="30">
        <f t="shared" si="6"/>
        <v>63.823731999999993</v>
      </c>
      <c r="Y47" s="34"/>
      <c r="Z47" s="22">
        <f t="shared" si="7"/>
        <v>0</v>
      </c>
      <c r="AA47" s="22">
        <f t="shared" si="8"/>
        <v>53.99878799999999</v>
      </c>
      <c r="AB47">
        <f t="shared" si="9"/>
        <v>0</v>
      </c>
      <c r="AC47">
        <f t="shared" si="10"/>
        <v>0</v>
      </c>
      <c r="AD47">
        <f t="shared" si="11"/>
        <v>0.15393872611523254</v>
      </c>
      <c r="AE47">
        <f t="shared" si="12"/>
        <v>0.84606127388476748</v>
      </c>
      <c r="AF47">
        <f t="shared" si="13"/>
        <v>21033.62801</v>
      </c>
      <c r="AG47">
        <f t="shared" si="14"/>
        <v>4206.7256020000004</v>
      </c>
      <c r="AH47">
        <f t="shared" si="15"/>
        <v>268.48892741958667</v>
      </c>
    </row>
    <row r="48" spans="1:34">
      <c r="A48" s="16" t="s">
        <v>22</v>
      </c>
      <c r="B48" s="17">
        <v>36</v>
      </c>
      <c r="C48" s="18"/>
      <c r="D48" s="19"/>
      <c r="E48" s="17">
        <f t="shared" si="0"/>
        <v>0</v>
      </c>
      <c r="F48" s="18"/>
      <c r="G48" s="20"/>
      <c r="H48" s="24">
        <f t="shared" si="17"/>
        <v>0</v>
      </c>
      <c r="I48" s="18"/>
      <c r="J48" s="20"/>
      <c r="K48" s="17">
        <f t="shared" si="1"/>
        <v>0</v>
      </c>
      <c r="L48" s="18"/>
      <c r="M48" s="20"/>
      <c r="N48" s="17">
        <f t="shared" si="2"/>
        <v>0</v>
      </c>
      <c r="O48" s="18"/>
      <c r="P48" s="20"/>
      <c r="Q48" s="17">
        <f t="shared" si="3"/>
        <v>0</v>
      </c>
      <c r="R48" s="18">
        <f>SUM('Plant Measurements'!P645+'Plant Measurements'!P646+'Plant Measurements'!P647+'Plant Measurements'!P648+'Plant Measurements'!P650)</f>
        <v>20.333024999999992</v>
      </c>
      <c r="S48" s="20"/>
      <c r="T48" s="17">
        <f t="shared" si="4"/>
        <v>81.332099999999969</v>
      </c>
      <c r="U48" s="18"/>
      <c r="V48" s="20"/>
      <c r="W48" s="17">
        <f t="shared" si="5"/>
        <v>0</v>
      </c>
      <c r="X48" s="17">
        <f t="shared" si="6"/>
        <v>81.332099999999969</v>
      </c>
      <c r="Y48" s="21">
        <f>AVERAGE(X48:X52)</f>
        <v>159.67507159999997</v>
      </c>
      <c r="Z48" s="22">
        <f>E48+Q48</f>
        <v>0</v>
      </c>
      <c r="AA48" s="22">
        <f t="shared" si="8"/>
        <v>81.332099999999969</v>
      </c>
      <c r="AB48">
        <f t="shared" si="9"/>
        <v>0</v>
      </c>
      <c r="AC48">
        <f t="shared" si="10"/>
        <v>0</v>
      </c>
      <c r="AD48">
        <f t="shared" si="11"/>
        <v>0</v>
      </c>
      <c r="AE48">
        <f t="shared" si="12"/>
        <v>1</v>
      </c>
      <c r="AF48">
        <f t="shared" si="13"/>
        <v>21033.62801</v>
      </c>
      <c r="AG48">
        <f t="shared" si="14"/>
        <v>4206.7256020000004</v>
      </c>
      <c r="AH48">
        <f t="shared" si="15"/>
        <v>342.14182733442414</v>
      </c>
    </row>
    <row r="49" spans="1:34">
      <c r="A49" s="23" t="s">
        <v>22</v>
      </c>
      <c r="B49" s="24">
        <v>35</v>
      </c>
      <c r="C49" s="25"/>
      <c r="D49" s="26"/>
      <c r="E49" s="17">
        <f t="shared" si="0"/>
        <v>0</v>
      </c>
      <c r="F49" s="25"/>
      <c r="G49" s="27"/>
      <c r="H49" s="24">
        <f t="shared" si="17"/>
        <v>0</v>
      </c>
      <c r="I49" s="25"/>
      <c r="J49" s="27"/>
      <c r="K49" s="17">
        <f t="shared" si="1"/>
        <v>0</v>
      </c>
      <c r="L49" s="25"/>
      <c r="M49" s="27"/>
      <c r="N49" s="17">
        <f t="shared" si="2"/>
        <v>0</v>
      </c>
      <c r="O49" s="25"/>
      <c r="P49" s="27"/>
      <c r="Q49" s="17">
        <f t="shared" si="3"/>
        <v>0</v>
      </c>
      <c r="R49" s="25">
        <f>SUM('Plant Measurements'!P654+'Plant Measurements'!P655+'Plant Measurements'!P657)</f>
        <v>29.008879999999991</v>
      </c>
      <c r="S49" s="27"/>
      <c r="T49" s="17">
        <f t="shared" si="4"/>
        <v>116.03551999999996</v>
      </c>
      <c r="U49" s="25"/>
      <c r="V49" s="27"/>
      <c r="W49" s="17">
        <f t="shared" si="5"/>
        <v>0</v>
      </c>
      <c r="X49" s="24">
        <f t="shared" si="6"/>
        <v>116.03551999999996</v>
      </c>
      <c r="Y49" s="28"/>
      <c r="Z49" s="22">
        <f t="shared" si="7"/>
        <v>0</v>
      </c>
      <c r="AA49" s="22">
        <f t="shared" si="8"/>
        <v>116.03551999999996</v>
      </c>
      <c r="AB49">
        <f t="shared" si="9"/>
        <v>0</v>
      </c>
      <c r="AC49">
        <f t="shared" si="10"/>
        <v>0</v>
      </c>
      <c r="AD49">
        <f t="shared" si="11"/>
        <v>0</v>
      </c>
      <c r="AE49">
        <f t="shared" si="12"/>
        <v>1</v>
      </c>
      <c r="AF49">
        <f t="shared" si="13"/>
        <v>21033.62801</v>
      </c>
      <c r="AG49">
        <f t="shared" si="14"/>
        <v>4206.7256020000004</v>
      </c>
      <c r="AH49">
        <f t="shared" si="15"/>
        <v>488.12959272538296</v>
      </c>
    </row>
    <row r="50" spans="1:34">
      <c r="A50" s="23" t="s">
        <v>22</v>
      </c>
      <c r="B50" s="24">
        <v>27</v>
      </c>
      <c r="C50" s="25"/>
      <c r="D50" s="26"/>
      <c r="E50" s="17">
        <f t="shared" si="0"/>
        <v>0</v>
      </c>
      <c r="F50" s="25"/>
      <c r="G50" s="27"/>
      <c r="H50" s="24">
        <f t="shared" si="17"/>
        <v>0</v>
      </c>
      <c r="I50" s="25"/>
      <c r="J50" s="27"/>
      <c r="K50" s="17">
        <f t="shared" si="1"/>
        <v>0</v>
      </c>
      <c r="L50" s="25"/>
      <c r="M50" s="27"/>
      <c r="N50" s="17">
        <f t="shared" si="2"/>
        <v>0</v>
      </c>
      <c r="O50" s="25"/>
      <c r="P50" s="27"/>
      <c r="Q50" s="17">
        <f t="shared" si="3"/>
        <v>0</v>
      </c>
      <c r="R50" s="25">
        <f>SUM('Plant Measurements'!P660+'Plant Measurements'!P661)</f>
        <v>15.008651999999998</v>
      </c>
      <c r="S50" s="27"/>
      <c r="T50" s="17">
        <f t="shared" si="4"/>
        <v>60.034607999999992</v>
      </c>
      <c r="U50" s="25"/>
      <c r="V50" s="27"/>
      <c r="W50" s="17">
        <f t="shared" si="5"/>
        <v>0</v>
      </c>
      <c r="X50" s="24">
        <f t="shared" si="6"/>
        <v>60.034607999999992</v>
      </c>
      <c r="Y50" s="28"/>
      <c r="Z50" s="22">
        <f t="shared" si="7"/>
        <v>0</v>
      </c>
      <c r="AA50" s="22">
        <f t="shared" si="8"/>
        <v>60.034607999999992</v>
      </c>
      <c r="AB50">
        <f t="shared" si="9"/>
        <v>0</v>
      </c>
      <c r="AC50">
        <f t="shared" si="10"/>
        <v>0</v>
      </c>
      <c r="AD50">
        <f t="shared" si="11"/>
        <v>0</v>
      </c>
      <c r="AE50">
        <f t="shared" si="12"/>
        <v>1</v>
      </c>
      <c r="AF50">
        <f t="shared" si="13"/>
        <v>21033.62801</v>
      </c>
      <c r="AG50">
        <f t="shared" si="14"/>
        <v>4206.7256020000004</v>
      </c>
      <c r="AH50">
        <f t="shared" si="15"/>
        <v>252.54912247963401</v>
      </c>
    </row>
    <row r="51" spans="1:34">
      <c r="A51" s="23" t="s">
        <v>22</v>
      </c>
      <c r="B51" s="24">
        <v>17</v>
      </c>
      <c r="C51" s="25"/>
      <c r="D51" s="26"/>
      <c r="E51" s="17">
        <f t="shared" si="0"/>
        <v>0</v>
      </c>
      <c r="F51" s="25"/>
      <c r="G51" s="27"/>
      <c r="H51" s="24">
        <f t="shared" si="17"/>
        <v>0</v>
      </c>
      <c r="I51" s="25"/>
      <c r="J51" s="27"/>
      <c r="K51" s="17">
        <f t="shared" si="1"/>
        <v>0</v>
      </c>
      <c r="L51" s="25"/>
      <c r="M51" s="27"/>
      <c r="N51" s="17">
        <f t="shared" si="2"/>
        <v>0</v>
      </c>
      <c r="O51" s="25"/>
      <c r="P51" s="27"/>
      <c r="Q51" s="17">
        <f t="shared" si="3"/>
        <v>0</v>
      </c>
      <c r="R51" s="25">
        <f>SUM('Plant Measurements'!P662+'Plant Measurements'!P663+'Plant Measurements'!P664+'Plant Measurements'!P665+'Plant Measurements'!P666+'Plant Measurements'!P667+'Plant Measurements'!P668+'Plant Measurements'!P669+'Plant Measurements'!P670+'Plant Measurements'!P671+'Plant Measurements'!P672+'Plant Measurements'!P673+'Plant Measurements'!P674+'Plant Measurements'!P675+'Plant Measurements'!P676)</f>
        <v>77.450158499999986</v>
      </c>
      <c r="S51" s="27"/>
      <c r="T51" s="17">
        <f t="shared" si="4"/>
        <v>309.80063399999995</v>
      </c>
      <c r="U51" s="25"/>
      <c r="V51" s="27"/>
      <c r="W51" s="17">
        <f t="shared" si="5"/>
        <v>0</v>
      </c>
      <c r="X51" s="24">
        <f t="shared" si="6"/>
        <v>309.80063399999995</v>
      </c>
      <c r="Y51" s="28"/>
      <c r="Z51" s="22">
        <f t="shared" si="7"/>
        <v>0</v>
      </c>
      <c r="AA51" s="22">
        <f t="shared" si="8"/>
        <v>309.80063399999995</v>
      </c>
      <c r="AB51">
        <f t="shared" si="9"/>
        <v>0</v>
      </c>
      <c r="AC51">
        <f t="shared" si="10"/>
        <v>0</v>
      </c>
      <c r="AD51">
        <f t="shared" si="11"/>
        <v>0</v>
      </c>
      <c r="AE51">
        <f t="shared" si="12"/>
        <v>1</v>
      </c>
      <c r="AF51">
        <f t="shared" si="13"/>
        <v>21033.62801</v>
      </c>
      <c r="AG51">
        <f t="shared" si="14"/>
        <v>4206.7256020000004</v>
      </c>
      <c r="AH51">
        <f t="shared" si="15"/>
        <v>1303.2462585636317</v>
      </c>
    </row>
    <row r="52" spans="1:34">
      <c r="A52" s="29" t="s">
        <v>22</v>
      </c>
      <c r="B52" s="30">
        <v>5</v>
      </c>
      <c r="C52" s="31"/>
      <c r="D52" s="32"/>
      <c r="E52" s="17">
        <f t="shared" si="0"/>
        <v>0</v>
      </c>
      <c r="F52" s="31"/>
      <c r="G52" s="33"/>
      <c r="H52" s="24">
        <f t="shared" si="17"/>
        <v>0</v>
      </c>
      <c r="I52" s="31">
        <f>SUM('Plant Measurements'!P677+'Plant Measurements'!P678+'Plant Measurements'!P679+'Plant Measurements'!P680+'Plant Measurements'!P681)</f>
        <v>31.378390000000003</v>
      </c>
      <c r="J52" s="33"/>
      <c r="K52" s="17">
        <f t="shared" si="1"/>
        <v>125.51356000000001</v>
      </c>
      <c r="L52" s="31"/>
      <c r="M52" s="33"/>
      <c r="N52" s="17">
        <f t="shared" si="2"/>
        <v>0</v>
      </c>
      <c r="O52" s="31"/>
      <c r="P52" s="33"/>
      <c r="Q52" s="17">
        <f t="shared" si="3"/>
        <v>0</v>
      </c>
      <c r="R52" s="31">
        <f>SUM('Plant Measurements'!P683+'Plant Measurements'!P684+'Plant Measurements'!P685+'Plant Measurements'!P686+'Plant Measurements'!P688)</f>
        <v>26.414733999999992</v>
      </c>
      <c r="S52" s="33"/>
      <c r="T52" s="17">
        <f t="shared" si="4"/>
        <v>105.65893599999997</v>
      </c>
      <c r="U52" s="31"/>
      <c r="V52" s="33"/>
      <c r="W52" s="17">
        <f t="shared" si="5"/>
        <v>0</v>
      </c>
      <c r="X52" s="30">
        <f t="shared" si="6"/>
        <v>231.17249599999997</v>
      </c>
      <c r="Y52" s="34"/>
      <c r="Z52" s="22">
        <f t="shared" si="7"/>
        <v>0</v>
      </c>
      <c r="AA52" s="22">
        <f t="shared" si="8"/>
        <v>105.65893599999997</v>
      </c>
      <c r="AB52">
        <f t="shared" si="9"/>
        <v>0</v>
      </c>
      <c r="AC52">
        <f t="shared" si="10"/>
        <v>0</v>
      </c>
      <c r="AD52">
        <f t="shared" si="11"/>
        <v>0.54294330931132928</v>
      </c>
      <c r="AE52">
        <f t="shared" si="12"/>
        <v>0.45705669068867077</v>
      </c>
      <c r="AF52">
        <f t="shared" si="13"/>
        <v>21033.62801</v>
      </c>
      <c r="AG52">
        <f t="shared" si="14"/>
        <v>4206.7256020000004</v>
      </c>
      <c r="AH52">
        <f t="shared" si="15"/>
        <v>972.47925740144251</v>
      </c>
    </row>
    <row r="53" spans="1:34">
      <c r="Y53" t="s">
        <v>55</v>
      </c>
      <c r="AB53">
        <f>AVERAGE(AB3:AB52)</f>
        <v>5.0710768906417091E-2</v>
      </c>
      <c r="AC53">
        <f>AVERAGE(AC3:AC52)</f>
        <v>0</v>
      </c>
      <c r="AD53">
        <f>AVERAGE(AD3:AD52)</f>
        <v>0.16080591791590779</v>
      </c>
      <c r="AE53">
        <f>AVERAGE(AE3:AE52)</f>
        <v>0.78848331317767506</v>
      </c>
      <c r="AG53" t="s">
        <v>56</v>
      </c>
      <c r="AH53">
        <f>SUM(AH3:AH52)</f>
        <v>69726.627112996692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 Childers</cp:lastModifiedBy>
  <dcterms:created xsi:type="dcterms:W3CDTF">2015-06-18T17:11:46Z</dcterms:created>
  <dcterms:modified xsi:type="dcterms:W3CDTF">2017-06-08T23:06:08Z</dcterms:modified>
</cp:coreProperties>
</file>