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showInkAnnotation="0" autoCompressPictures="0"/>
  <bookViews>
    <workbookView xWindow="23540" yWindow="0" windowWidth="27580" windowHeight="23460" tabRatio="784"/>
  </bookViews>
  <sheets>
    <sheet name="Plant Measurements" sheetId="1" r:id="rId1"/>
    <sheet name="Quadrat Totals" sheetId="2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N995" i="1" l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S772" i="1"/>
  <c r="T4" i="1"/>
  <c r="S996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R51" i="2"/>
  <c r="O982" i="1"/>
  <c r="P982" i="1"/>
  <c r="O983" i="1"/>
  <c r="P983" i="1"/>
  <c r="O984" i="1"/>
  <c r="P984" i="1"/>
  <c r="O985" i="1"/>
  <c r="P985" i="1"/>
  <c r="O986" i="1"/>
  <c r="P986" i="1"/>
  <c r="O987" i="1"/>
  <c r="P987" i="1"/>
  <c r="R50" i="2"/>
  <c r="O976" i="1"/>
  <c r="P976" i="1"/>
  <c r="O977" i="1"/>
  <c r="P977" i="1"/>
  <c r="O978" i="1"/>
  <c r="P978" i="1"/>
  <c r="O979" i="1"/>
  <c r="P979" i="1"/>
  <c r="O980" i="1"/>
  <c r="P980" i="1"/>
  <c r="O981" i="1"/>
  <c r="P981" i="1"/>
  <c r="R49" i="2"/>
  <c r="O971" i="1"/>
  <c r="P971" i="1"/>
  <c r="O972" i="1"/>
  <c r="P972" i="1"/>
  <c r="O973" i="1"/>
  <c r="P973" i="1"/>
  <c r="O974" i="1"/>
  <c r="P974" i="1"/>
  <c r="O975" i="1"/>
  <c r="P975" i="1"/>
  <c r="R48" i="2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I47" i="2"/>
  <c r="O919" i="1"/>
  <c r="P919" i="1"/>
  <c r="O920" i="1"/>
  <c r="P920" i="1"/>
  <c r="O921" i="1"/>
  <c r="P921" i="1"/>
  <c r="O922" i="1"/>
  <c r="P922" i="1"/>
  <c r="O923" i="1"/>
  <c r="P923" i="1"/>
  <c r="O924" i="1"/>
  <c r="P924" i="1"/>
  <c r="U46" i="2"/>
  <c r="O908" i="1"/>
  <c r="P908" i="1"/>
  <c r="O909" i="1"/>
  <c r="P909" i="1"/>
  <c r="O910" i="1"/>
  <c r="P910" i="1"/>
  <c r="C45" i="2"/>
  <c r="O917" i="1"/>
  <c r="P917" i="1"/>
  <c r="O918" i="1"/>
  <c r="P918" i="1"/>
  <c r="R45" i="2"/>
  <c r="O911" i="1"/>
  <c r="P911" i="1"/>
  <c r="O912" i="1"/>
  <c r="P912" i="1"/>
  <c r="O913" i="1"/>
  <c r="P913" i="1"/>
  <c r="O914" i="1"/>
  <c r="P914" i="1"/>
  <c r="O915" i="1"/>
  <c r="P915" i="1"/>
  <c r="O916" i="1"/>
  <c r="P916" i="1"/>
  <c r="U45" i="2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R44" i="2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I43" i="2"/>
  <c r="O852" i="1"/>
  <c r="P852" i="1"/>
  <c r="O853" i="1"/>
  <c r="P853" i="1"/>
  <c r="R42" i="2"/>
  <c r="O848" i="1"/>
  <c r="P848" i="1"/>
  <c r="O849" i="1"/>
  <c r="P849" i="1"/>
  <c r="O850" i="1"/>
  <c r="P850" i="1"/>
  <c r="O851" i="1"/>
  <c r="P851" i="1"/>
  <c r="I42" i="2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R41" i="2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I40" i="2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R39" i="2"/>
  <c r="O778" i="1"/>
  <c r="P778" i="1"/>
  <c r="O779" i="1"/>
  <c r="P779" i="1"/>
  <c r="O780" i="1"/>
  <c r="P780" i="1"/>
  <c r="O781" i="1"/>
  <c r="P781" i="1"/>
  <c r="O782" i="1"/>
  <c r="P782" i="1"/>
  <c r="R38" i="2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C37" i="2"/>
  <c r="O720" i="1"/>
  <c r="P720" i="1"/>
  <c r="O721" i="1"/>
  <c r="P721" i="1"/>
  <c r="O722" i="1"/>
  <c r="P722" i="1"/>
  <c r="O723" i="1"/>
  <c r="P723" i="1"/>
  <c r="O724" i="1"/>
  <c r="P724" i="1"/>
  <c r="R36" i="2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R35" i="2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R34" i="2"/>
  <c r="J675" i="1"/>
  <c r="O675" i="1"/>
  <c r="P675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6" i="1"/>
  <c r="P676" i="1"/>
  <c r="O677" i="1"/>
  <c r="P677" i="1"/>
  <c r="O678" i="1"/>
  <c r="P678" i="1"/>
  <c r="O679" i="1"/>
  <c r="P679" i="1"/>
  <c r="R33" i="2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R32" i="2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C31" i="2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R30" i="2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U30" i="2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R29" i="2"/>
  <c r="O556" i="1"/>
  <c r="P556" i="1"/>
  <c r="O557" i="1"/>
  <c r="P557" i="1"/>
  <c r="O558" i="1"/>
  <c r="P558" i="1"/>
  <c r="O559" i="1"/>
  <c r="P559" i="1"/>
  <c r="U29" i="2"/>
  <c r="O552" i="1"/>
  <c r="P552" i="1"/>
  <c r="O553" i="1"/>
  <c r="P553" i="1"/>
  <c r="O554" i="1"/>
  <c r="P554" i="1"/>
  <c r="O555" i="1"/>
  <c r="P555" i="1"/>
  <c r="R28" i="2"/>
  <c r="O546" i="1"/>
  <c r="P546" i="1"/>
  <c r="O547" i="1"/>
  <c r="P547" i="1"/>
  <c r="O548" i="1"/>
  <c r="P548" i="1"/>
  <c r="O549" i="1"/>
  <c r="P549" i="1"/>
  <c r="O550" i="1"/>
  <c r="P550" i="1"/>
  <c r="O551" i="1"/>
  <c r="P551" i="1"/>
  <c r="U28" i="2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C27" i="2"/>
  <c r="O533" i="1"/>
  <c r="P533" i="1"/>
  <c r="R26" i="2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C26" i="2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R25" i="2"/>
  <c r="O482" i="1"/>
  <c r="P482" i="1"/>
  <c r="O483" i="1"/>
  <c r="P483" i="1"/>
  <c r="O484" i="1"/>
  <c r="P484" i="1"/>
  <c r="O485" i="1"/>
  <c r="P485" i="1"/>
  <c r="O486" i="1"/>
  <c r="P486" i="1"/>
  <c r="O487" i="1"/>
  <c r="P487" i="1"/>
  <c r="R24" i="2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R23" i="2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I22" i="2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R20" i="2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R19" i="2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R18" i="2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I17" i="2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C17" i="2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R16" i="2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U15" i="2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R14" i="2"/>
  <c r="O156" i="1"/>
  <c r="P156" i="1"/>
  <c r="U13" i="2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R13" i="2"/>
  <c r="O132" i="1"/>
  <c r="P132" i="1"/>
  <c r="O133" i="1"/>
  <c r="P133" i="1"/>
  <c r="O134" i="1"/>
  <c r="P134" i="1"/>
  <c r="O135" i="1"/>
  <c r="P135" i="1"/>
  <c r="O136" i="1"/>
  <c r="P136" i="1"/>
  <c r="O137" i="1"/>
  <c r="P137" i="1"/>
  <c r="R11" i="2"/>
  <c r="O138" i="1"/>
  <c r="P138" i="1"/>
  <c r="O139" i="1"/>
  <c r="P139" i="1"/>
  <c r="O140" i="1"/>
  <c r="P140" i="1"/>
  <c r="O141" i="1"/>
  <c r="P141" i="1"/>
  <c r="O142" i="1"/>
  <c r="P142" i="1"/>
  <c r="O143" i="1"/>
  <c r="P143" i="1"/>
  <c r="U12" i="2"/>
  <c r="O144" i="1"/>
  <c r="P144" i="1"/>
  <c r="O145" i="1"/>
  <c r="P145" i="1"/>
  <c r="O146" i="1"/>
  <c r="P146" i="1"/>
  <c r="O147" i="1"/>
  <c r="P147" i="1"/>
  <c r="R12" i="2"/>
  <c r="O129" i="1"/>
  <c r="P129" i="1"/>
  <c r="O130" i="1"/>
  <c r="P130" i="1"/>
  <c r="O131" i="1"/>
  <c r="P131" i="1"/>
  <c r="U11" i="2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R10" i="2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C10" i="2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R9" i="2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I9" i="2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R8" i="2"/>
  <c r="O72" i="1"/>
  <c r="P72" i="1"/>
  <c r="O73" i="1"/>
  <c r="P73" i="1"/>
  <c r="O74" i="1"/>
  <c r="P74" i="1"/>
  <c r="O75" i="1"/>
  <c r="P75" i="1"/>
  <c r="O76" i="1"/>
  <c r="P76" i="1"/>
  <c r="O77" i="1"/>
  <c r="P77" i="1"/>
  <c r="R7" i="2"/>
  <c r="O53" i="1"/>
  <c r="P53" i="1"/>
  <c r="O65" i="1"/>
  <c r="P65" i="1"/>
  <c r="O66" i="1"/>
  <c r="P66" i="1"/>
  <c r="O67" i="1"/>
  <c r="P67" i="1"/>
  <c r="O68" i="1"/>
  <c r="P68" i="1"/>
  <c r="O69" i="1"/>
  <c r="P69" i="1"/>
  <c r="O70" i="1"/>
  <c r="P70" i="1"/>
  <c r="R5" i="2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C5" i="2"/>
  <c r="O51" i="1"/>
  <c r="P51" i="1"/>
  <c r="O52" i="1"/>
  <c r="P52" i="1"/>
  <c r="C4" i="2"/>
  <c r="E4" i="2"/>
  <c r="E5" i="2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R4" i="2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R3" i="2"/>
  <c r="O71" i="1"/>
  <c r="P71" i="1"/>
  <c r="S540" i="1"/>
  <c r="S539" i="1"/>
  <c r="S538" i="1"/>
  <c r="S537" i="1"/>
  <c r="S536" i="1"/>
  <c r="S535" i="1"/>
  <c r="S534" i="1"/>
  <c r="S545" i="1"/>
  <c r="O545" i="1"/>
  <c r="P545" i="1"/>
  <c r="S544" i="1"/>
  <c r="O544" i="1"/>
  <c r="P544" i="1"/>
  <c r="S543" i="1"/>
  <c r="O543" i="1"/>
  <c r="P543" i="1"/>
  <c r="S542" i="1"/>
  <c r="O542" i="1"/>
  <c r="P542" i="1"/>
  <c r="S541" i="1"/>
  <c r="O541" i="1"/>
  <c r="P541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3" i="1"/>
  <c r="S62" i="1"/>
  <c r="S61" i="1"/>
  <c r="S60" i="1"/>
  <c r="S59" i="1"/>
  <c r="S58" i="1"/>
  <c r="S57" i="1"/>
  <c r="S56" i="1"/>
  <c r="S55" i="1"/>
  <c r="S54" i="1"/>
  <c r="S53" i="1"/>
  <c r="S64" i="1"/>
  <c r="S39" i="1"/>
  <c r="S38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O425" i="1"/>
  <c r="P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390" i="1"/>
  <c r="S389" i="1"/>
  <c r="S244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243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J545" i="1"/>
  <c r="J544" i="1"/>
  <c r="J543" i="1"/>
  <c r="J542" i="1"/>
  <c r="J541" i="1"/>
  <c r="J533" i="1"/>
  <c r="J498" i="1"/>
  <c r="J497" i="1"/>
  <c r="J496" i="1"/>
  <c r="J495" i="1"/>
  <c r="F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8" i="1"/>
  <c r="J477" i="1"/>
  <c r="J476" i="1"/>
  <c r="J475" i="1"/>
  <c r="J474" i="1"/>
  <c r="J473" i="1"/>
  <c r="J472" i="1"/>
  <c r="J77" i="1"/>
  <c r="J76" i="1"/>
  <c r="J75" i="1"/>
  <c r="J74" i="1"/>
  <c r="J73" i="1"/>
  <c r="J72" i="1"/>
  <c r="J70" i="1"/>
  <c r="J69" i="1"/>
  <c r="F69" i="1"/>
  <c r="J67" i="1"/>
  <c r="J68" i="1"/>
  <c r="J66" i="1"/>
  <c r="J65" i="1"/>
  <c r="J64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7" i="1"/>
  <c r="J36" i="1"/>
  <c r="J35" i="1"/>
  <c r="J34" i="1"/>
  <c r="J33" i="1"/>
  <c r="J32" i="1"/>
  <c r="J31" i="1"/>
  <c r="J30" i="1"/>
  <c r="J29" i="1"/>
  <c r="K28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853" i="1"/>
  <c r="J852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01" i="1"/>
  <c r="J800" i="1"/>
  <c r="J799" i="1"/>
  <c r="J797" i="1"/>
  <c r="J798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S275" i="1"/>
  <c r="S242" i="1"/>
  <c r="S274" i="1"/>
  <c r="S273" i="1"/>
  <c r="S272" i="1"/>
  <c r="S271" i="1"/>
  <c r="S270" i="1"/>
  <c r="S269" i="1"/>
  <c r="S268" i="1"/>
  <c r="S241" i="1"/>
  <c r="J241" i="1"/>
  <c r="S240" i="1"/>
  <c r="J240" i="1"/>
  <c r="S239" i="1"/>
  <c r="J239" i="1"/>
  <c r="S238" i="1"/>
  <c r="J238" i="1"/>
  <c r="S237" i="1"/>
  <c r="J237" i="1"/>
  <c r="S236" i="1"/>
  <c r="J236" i="1"/>
  <c r="S235" i="1"/>
  <c r="J235" i="1"/>
  <c r="S234" i="1"/>
  <c r="J234" i="1"/>
  <c r="S233" i="1"/>
  <c r="J233" i="1"/>
  <c r="S232" i="1"/>
  <c r="J232" i="1"/>
  <c r="S231" i="1"/>
  <c r="J231" i="1"/>
  <c r="S230" i="1"/>
  <c r="J230" i="1"/>
  <c r="S229" i="1"/>
  <c r="J229" i="1"/>
  <c r="S228" i="1"/>
  <c r="J228" i="1"/>
  <c r="S227" i="1"/>
  <c r="J227" i="1"/>
  <c r="S226" i="1"/>
  <c r="J226" i="1"/>
  <c r="S225" i="1"/>
  <c r="J225" i="1"/>
  <c r="S224" i="1"/>
  <c r="J224" i="1"/>
  <c r="S223" i="1"/>
  <c r="J223" i="1"/>
  <c r="S222" i="1"/>
  <c r="S221" i="1"/>
  <c r="J221" i="1"/>
  <c r="S220" i="1"/>
  <c r="J220" i="1"/>
  <c r="S219" i="1"/>
  <c r="J219" i="1"/>
  <c r="S218" i="1"/>
  <c r="S217" i="1"/>
  <c r="J217" i="1"/>
  <c r="S216" i="1"/>
  <c r="J216" i="1"/>
  <c r="S215" i="1"/>
  <c r="J215" i="1"/>
  <c r="S214" i="1"/>
  <c r="J214" i="1"/>
  <c r="S213" i="1"/>
  <c r="J213" i="1"/>
  <c r="F212" i="1"/>
  <c r="S212" i="1"/>
  <c r="J212" i="1"/>
  <c r="S211" i="1"/>
  <c r="J211" i="1"/>
  <c r="S210" i="1"/>
  <c r="J210" i="1"/>
  <c r="S209" i="1"/>
  <c r="J209" i="1"/>
  <c r="S208" i="1"/>
  <c r="J208" i="1"/>
  <c r="S207" i="1"/>
  <c r="J207" i="1"/>
  <c r="S206" i="1"/>
  <c r="J206" i="1"/>
  <c r="S205" i="1"/>
  <c r="J205" i="1"/>
  <c r="J204" i="1"/>
  <c r="J203" i="1"/>
  <c r="J202" i="1"/>
  <c r="J201" i="1"/>
  <c r="J200" i="1"/>
  <c r="J199" i="1"/>
  <c r="J198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K176" i="1"/>
  <c r="J175" i="1"/>
  <c r="J174" i="1"/>
  <c r="K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F180" i="1"/>
  <c r="F179" i="1"/>
  <c r="F177" i="1"/>
  <c r="F170" i="1"/>
  <c r="F168" i="1"/>
  <c r="J161" i="1"/>
  <c r="J160" i="1"/>
  <c r="J159" i="1"/>
  <c r="J158" i="1"/>
  <c r="J157" i="1"/>
  <c r="J156" i="1"/>
  <c r="J155" i="1"/>
  <c r="J154" i="1"/>
  <c r="J153" i="1"/>
  <c r="J152" i="1"/>
  <c r="J151" i="1"/>
  <c r="K150" i="1"/>
  <c r="J150" i="1"/>
  <c r="J149" i="1"/>
  <c r="L148" i="1"/>
  <c r="K148" i="1"/>
  <c r="J148" i="1"/>
  <c r="J924" i="1"/>
  <c r="J923" i="1"/>
  <c r="J922" i="1"/>
  <c r="J921" i="1"/>
  <c r="J920" i="1"/>
  <c r="J919" i="1"/>
  <c r="J918" i="1"/>
  <c r="J913" i="1"/>
  <c r="J907" i="1"/>
  <c r="J906" i="1"/>
  <c r="J905" i="1"/>
  <c r="J904" i="1"/>
  <c r="J903" i="1"/>
  <c r="J902" i="1"/>
  <c r="J901" i="1"/>
  <c r="J899" i="1"/>
  <c r="J898" i="1"/>
  <c r="J897" i="1"/>
  <c r="J896" i="1"/>
  <c r="J895" i="1"/>
  <c r="J894" i="1"/>
  <c r="J893" i="1"/>
  <c r="J724" i="1"/>
  <c r="J723" i="1"/>
  <c r="J722" i="1"/>
  <c r="J721" i="1"/>
  <c r="J720" i="1"/>
  <c r="J717" i="1"/>
  <c r="J715" i="1"/>
  <c r="J714" i="1"/>
  <c r="J713" i="1"/>
  <c r="J711" i="1"/>
  <c r="J710" i="1"/>
  <c r="J709" i="1"/>
  <c r="J708" i="1"/>
  <c r="J707" i="1"/>
  <c r="J701" i="1"/>
  <c r="J695" i="1"/>
  <c r="J692" i="1"/>
  <c r="J691" i="1"/>
  <c r="J690" i="1"/>
  <c r="J688" i="1"/>
  <c r="J686" i="1"/>
  <c r="J684" i="1"/>
  <c r="J681" i="1"/>
  <c r="J680" i="1"/>
  <c r="J679" i="1"/>
  <c r="J678" i="1"/>
  <c r="J677" i="1"/>
  <c r="J676" i="1"/>
  <c r="J674" i="1"/>
  <c r="J673" i="1"/>
  <c r="J672" i="1"/>
  <c r="J671" i="1"/>
  <c r="J670" i="1"/>
  <c r="J669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668" i="1"/>
  <c r="J667" i="1"/>
  <c r="J666" i="1"/>
  <c r="J665" i="1"/>
  <c r="J664" i="1"/>
  <c r="J663" i="1"/>
  <c r="J660" i="1"/>
  <c r="J659" i="1"/>
  <c r="J575" i="1"/>
  <c r="J587" i="1"/>
  <c r="J588" i="1"/>
  <c r="J586" i="1"/>
  <c r="J574" i="1"/>
  <c r="J585" i="1"/>
  <c r="J573" i="1"/>
  <c r="J584" i="1"/>
  <c r="J583" i="1"/>
  <c r="J582" i="1"/>
  <c r="J572" i="1"/>
  <c r="J581" i="1"/>
  <c r="J580" i="1"/>
  <c r="J571" i="1"/>
  <c r="J570" i="1"/>
  <c r="J579" i="1"/>
  <c r="J578" i="1"/>
  <c r="J569" i="1"/>
  <c r="J577" i="1"/>
  <c r="J568" i="1"/>
  <c r="J567" i="1"/>
  <c r="J576" i="1"/>
  <c r="J566" i="1"/>
  <c r="J565" i="1"/>
  <c r="J564" i="1"/>
  <c r="J563" i="1"/>
  <c r="J559" i="1"/>
  <c r="J558" i="1"/>
  <c r="J557" i="1"/>
  <c r="J562" i="1"/>
  <c r="J561" i="1"/>
  <c r="J560" i="1"/>
  <c r="J556" i="1"/>
  <c r="J551" i="1"/>
  <c r="J550" i="1"/>
  <c r="J549" i="1"/>
  <c r="J548" i="1"/>
  <c r="J547" i="1"/>
  <c r="J555" i="1"/>
  <c r="J546" i="1"/>
  <c r="J554" i="1"/>
  <c r="J553" i="1"/>
  <c r="J552" i="1"/>
  <c r="J143" i="1"/>
  <c r="J142" i="1"/>
  <c r="J147" i="1"/>
  <c r="J141" i="1"/>
  <c r="J140" i="1"/>
  <c r="J146" i="1"/>
  <c r="J139" i="1"/>
  <c r="J145" i="1"/>
  <c r="J144" i="1"/>
  <c r="J138" i="1"/>
  <c r="J137" i="1"/>
  <c r="J136" i="1"/>
  <c r="J135" i="1"/>
  <c r="J131" i="1"/>
  <c r="J130" i="1"/>
  <c r="J129" i="1"/>
  <c r="J134" i="1"/>
  <c r="J133" i="1"/>
  <c r="J132" i="1"/>
  <c r="J128" i="1"/>
  <c r="J127" i="1"/>
  <c r="J126" i="1"/>
  <c r="J125" i="1"/>
  <c r="J124" i="1"/>
  <c r="J123" i="1"/>
  <c r="J122" i="1"/>
  <c r="J121" i="1"/>
  <c r="J107" i="1"/>
  <c r="J106" i="1"/>
  <c r="J105" i="1"/>
  <c r="J104" i="1"/>
  <c r="J103" i="1"/>
  <c r="J102" i="1"/>
  <c r="J101" i="1"/>
  <c r="J100" i="1"/>
  <c r="J99" i="1"/>
  <c r="J84" i="1"/>
  <c r="J83" i="1"/>
  <c r="J82" i="1"/>
  <c r="J81" i="1"/>
  <c r="J80" i="1"/>
  <c r="J79" i="1"/>
  <c r="J78" i="1"/>
  <c r="O995" i="1"/>
  <c r="P995" i="1"/>
  <c r="H52" i="2"/>
  <c r="H49" i="2"/>
  <c r="H48" i="2"/>
  <c r="H47" i="2"/>
  <c r="H43" i="2"/>
  <c r="H44" i="2"/>
  <c r="H45" i="2"/>
  <c r="E8" i="2"/>
  <c r="AF3" i="2"/>
  <c r="AG3" i="2"/>
  <c r="W3" i="2"/>
  <c r="T3" i="2"/>
  <c r="Q3" i="2"/>
  <c r="N3" i="2"/>
  <c r="K3" i="2"/>
  <c r="H3" i="2"/>
  <c r="E3" i="2"/>
  <c r="X3" i="2"/>
  <c r="AH3" i="2"/>
  <c r="AF4" i="2"/>
  <c r="AG4" i="2"/>
  <c r="W4" i="2"/>
  <c r="T4" i="2"/>
  <c r="Q4" i="2"/>
  <c r="N4" i="2"/>
  <c r="K4" i="2"/>
  <c r="H4" i="2"/>
  <c r="X4" i="2"/>
  <c r="AH4" i="2"/>
  <c r="AF5" i="2"/>
  <c r="AG5" i="2"/>
  <c r="W5" i="2"/>
  <c r="T5" i="2"/>
  <c r="Q5" i="2"/>
  <c r="N5" i="2"/>
  <c r="K5" i="2"/>
  <c r="H5" i="2"/>
  <c r="X5" i="2"/>
  <c r="AH5" i="2"/>
  <c r="AF6" i="2"/>
  <c r="AG6" i="2"/>
  <c r="W6" i="2"/>
  <c r="T6" i="2"/>
  <c r="Q6" i="2"/>
  <c r="N6" i="2"/>
  <c r="K6" i="2"/>
  <c r="H6" i="2"/>
  <c r="E6" i="2"/>
  <c r="X6" i="2"/>
  <c r="AH6" i="2"/>
  <c r="AF7" i="2"/>
  <c r="AG7" i="2"/>
  <c r="W7" i="2"/>
  <c r="T7" i="2"/>
  <c r="Q7" i="2"/>
  <c r="N7" i="2"/>
  <c r="K7" i="2"/>
  <c r="H7" i="2"/>
  <c r="E7" i="2"/>
  <c r="X7" i="2"/>
  <c r="AH7" i="2"/>
  <c r="AF8" i="2"/>
  <c r="AG8" i="2"/>
  <c r="W8" i="2"/>
  <c r="T8" i="2"/>
  <c r="Q8" i="2"/>
  <c r="N8" i="2"/>
  <c r="K8" i="2"/>
  <c r="X8" i="2"/>
  <c r="AH8" i="2"/>
  <c r="AF9" i="2"/>
  <c r="AG9" i="2"/>
  <c r="W9" i="2"/>
  <c r="T9" i="2"/>
  <c r="Q9" i="2"/>
  <c r="N9" i="2"/>
  <c r="K9" i="2"/>
  <c r="H9" i="2"/>
  <c r="E9" i="2"/>
  <c r="X9" i="2"/>
  <c r="AH9" i="2"/>
  <c r="AF10" i="2"/>
  <c r="AG10" i="2"/>
  <c r="W10" i="2"/>
  <c r="T10" i="2"/>
  <c r="Q10" i="2"/>
  <c r="N10" i="2"/>
  <c r="K10" i="2"/>
  <c r="H10" i="2"/>
  <c r="E10" i="2"/>
  <c r="X10" i="2"/>
  <c r="AH10" i="2"/>
  <c r="AF11" i="2"/>
  <c r="AG11" i="2"/>
  <c r="W11" i="2"/>
  <c r="T11" i="2"/>
  <c r="Q11" i="2"/>
  <c r="N11" i="2"/>
  <c r="K11" i="2"/>
  <c r="H11" i="2"/>
  <c r="E11" i="2"/>
  <c r="X11" i="2"/>
  <c r="AH11" i="2"/>
  <c r="AF12" i="2"/>
  <c r="AG12" i="2"/>
  <c r="W12" i="2"/>
  <c r="T12" i="2"/>
  <c r="Q12" i="2"/>
  <c r="N12" i="2"/>
  <c r="K12" i="2"/>
  <c r="H12" i="2"/>
  <c r="E12" i="2"/>
  <c r="X12" i="2"/>
  <c r="AH12" i="2"/>
  <c r="AF13" i="2"/>
  <c r="AG13" i="2"/>
  <c r="W13" i="2"/>
  <c r="T13" i="2"/>
  <c r="Q13" i="2"/>
  <c r="N13" i="2"/>
  <c r="K13" i="2"/>
  <c r="H13" i="2"/>
  <c r="E13" i="2"/>
  <c r="X13" i="2"/>
  <c r="AH13" i="2"/>
  <c r="AF14" i="2"/>
  <c r="AG14" i="2"/>
  <c r="W14" i="2"/>
  <c r="T14" i="2"/>
  <c r="Q14" i="2"/>
  <c r="N14" i="2"/>
  <c r="K14" i="2"/>
  <c r="H14" i="2"/>
  <c r="E14" i="2"/>
  <c r="X14" i="2"/>
  <c r="AH14" i="2"/>
  <c r="AF15" i="2"/>
  <c r="AG15" i="2"/>
  <c r="W15" i="2"/>
  <c r="T15" i="2"/>
  <c r="Q15" i="2"/>
  <c r="N15" i="2"/>
  <c r="K15" i="2"/>
  <c r="H15" i="2"/>
  <c r="E15" i="2"/>
  <c r="X15" i="2"/>
  <c r="AH15" i="2"/>
  <c r="AF16" i="2"/>
  <c r="AG16" i="2"/>
  <c r="W16" i="2"/>
  <c r="T16" i="2"/>
  <c r="Q16" i="2"/>
  <c r="N16" i="2"/>
  <c r="K16" i="2"/>
  <c r="H16" i="2"/>
  <c r="E16" i="2"/>
  <c r="X16" i="2"/>
  <c r="AH16" i="2"/>
  <c r="AF17" i="2"/>
  <c r="AG17" i="2"/>
  <c r="W17" i="2"/>
  <c r="T17" i="2"/>
  <c r="Q17" i="2"/>
  <c r="N17" i="2"/>
  <c r="K17" i="2"/>
  <c r="H17" i="2"/>
  <c r="E17" i="2"/>
  <c r="X17" i="2"/>
  <c r="AH17" i="2"/>
  <c r="AF18" i="2"/>
  <c r="AG18" i="2"/>
  <c r="W18" i="2"/>
  <c r="T18" i="2"/>
  <c r="Q18" i="2"/>
  <c r="N18" i="2"/>
  <c r="K18" i="2"/>
  <c r="H18" i="2"/>
  <c r="E18" i="2"/>
  <c r="X18" i="2"/>
  <c r="AH18" i="2"/>
  <c r="AF19" i="2"/>
  <c r="AG19" i="2"/>
  <c r="W19" i="2"/>
  <c r="T19" i="2"/>
  <c r="Q19" i="2"/>
  <c r="N19" i="2"/>
  <c r="K19" i="2"/>
  <c r="H19" i="2"/>
  <c r="E19" i="2"/>
  <c r="X19" i="2"/>
  <c r="AH19" i="2"/>
  <c r="AF20" i="2"/>
  <c r="AG20" i="2"/>
  <c r="W20" i="2"/>
  <c r="T20" i="2"/>
  <c r="Q20" i="2"/>
  <c r="N20" i="2"/>
  <c r="K20" i="2"/>
  <c r="H20" i="2"/>
  <c r="E20" i="2"/>
  <c r="X20" i="2"/>
  <c r="AH20" i="2"/>
  <c r="AF21" i="2"/>
  <c r="AG21" i="2"/>
  <c r="W21" i="2"/>
  <c r="T21" i="2"/>
  <c r="Q21" i="2"/>
  <c r="N21" i="2"/>
  <c r="K21" i="2"/>
  <c r="H21" i="2"/>
  <c r="E21" i="2"/>
  <c r="X21" i="2"/>
  <c r="AH21" i="2"/>
  <c r="AF22" i="2"/>
  <c r="AG22" i="2"/>
  <c r="W22" i="2"/>
  <c r="T22" i="2"/>
  <c r="Q22" i="2"/>
  <c r="N22" i="2"/>
  <c r="K22" i="2"/>
  <c r="H22" i="2"/>
  <c r="E22" i="2"/>
  <c r="X22" i="2"/>
  <c r="AH22" i="2"/>
  <c r="AF23" i="2"/>
  <c r="AG23" i="2"/>
  <c r="W23" i="2"/>
  <c r="T23" i="2"/>
  <c r="Q23" i="2"/>
  <c r="N23" i="2"/>
  <c r="K23" i="2"/>
  <c r="H23" i="2"/>
  <c r="E23" i="2"/>
  <c r="X23" i="2"/>
  <c r="AH23" i="2"/>
  <c r="AF24" i="2"/>
  <c r="AG24" i="2"/>
  <c r="W24" i="2"/>
  <c r="T24" i="2"/>
  <c r="Q24" i="2"/>
  <c r="N24" i="2"/>
  <c r="K24" i="2"/>
  <c r="H24" i="2"/>
  <c r="E24" i="2"/>
  <c r="X24" i="2"/>
  <c r="AH24" i="2"/>
  <c r="AF25" i="2"/>
  <c r="AG25" i="2"/>
  <c r="W25" i="2"/>
  <c r="T25" i="2"/>
  <c r="Q25" i="2"/>
  <c r="N25" i="2"/>
  <c r="K25" i="2"/>
  <c r="H25" i="2"/>
  <c r="E25" i="2"/>
  <c r="X25" i="2"/>
  <c r="AH25" i="2"/>
  <c r="AF26" i="2"/>
  <c r="AG26" i="2"/>
  <c r="W26" i="2"/>
  <c r="T26" i="2"/>
  <c r="Q26" i="2"/>
  <c r="N26" i="2"/>
  <c r="K26" i="2"/>
  <c r="H26" i="2"/>
  <c r="E26" i="2"/>
  <c r="X26" i="2"/>
  <c r="AH26" i="2"/>
  <c r="AF27" i="2"/>
  <c r="AG27" i="2"/>
  <c r="W27" i="2"/>
  <c r="T27" i="2"/>
  <c r="Q27" i="2"/>
  <c r="N27" i="2"/>
  <c r="K27" i="2"/>
  <c r="H27" i="2"/>
  <c r="E27" i="2"/>
  <c r="X27" i="2"/>
  <c r="AH27" i="2"/>
  <c r="AF28" i="2"/>
  <c r="AG28" i="2"/>
  <c r="W28" i="2"/>
  <c r="T28" i="2"/>
  <c r="Q28" i="2"/>
  <c r="N28" i="2"/>
  <c r="K28" i="2"/>
  <c r="H28" i="2"/>
  <c r="E28" i="2"/>
  <c r="X28" i="2"/>
  <c r="AH28" i="2"/>
  <c r="AF29" i="2"/>
  <c r="AG29" i="2"/>
  <c r="W29" i="2"/>
  <c r="T29" i="2"/>
  <c r="Q29" i="2"/>
  <c r="N29" i="2"/>
  <c r="K29" i="2"/>
  <c r="H29" i="2"/>
  <c r="E29" i="2"/>
  <c r="X29" i="2"/>
  <c r="AH29" i="2"/>
  <c r="AF30" i="2"/>
  <c r="AG30" i="2"/>
  <c r="W30" i="2"/>
  <c r="T30" i="2"/>
  <c r="Q30" i="2"/>
  <c r="N30" i="2"/>
  <c r="K30" i="2"/>
  <c r="H30" i="2"/>
  <c r="E30" i="2"/>
  <c r="X30" i="2"/>
  <c r="AH30" i="2"/>
  <c r="AF31" i="2"/>
  <c r="AG31" i="2"/>
  <c r="W31" i="2"/>
  <c r="T31" i="2"/>
  <c r="Q31" i="2"/>
  <c r="N31" i="2"/>
  <c r="K31" i="2"/>
  <c r="H31" i="2"/>
  <c r="E31" i="2"/>
  <c r="X31" i="2"/>
  <c r="AH31" i="2"/>
  <c r="AF32" i="2"/>
  <c r="AG32" i="2"/>
  <c r="W32" i="2"/>
  <c r="T32" i="2"/>
  <c r="Q32" i="2"/>
  <c r="N32" i="2"/>
  <c r="K32" i="2"/>
  <c r="H32" i="2"/>
  <c r="E32" i="2"/>
  <c r="X32" i="2"/>
  <c r="AH32" i="2"/>
  <c r="AF33" i="2"/>
  <c r="AG33" i="2"/>
  <c r="W33" i="2"/>
  <c r="T33" i="2"/>
  <c r="Q33" i="2"/>
  <c r="N33" i="2"/>
  <c r="K33" i="2"/>
  <c r="H33" i="2"/>
  <c r="E33" i="2"/>
  <c r="X33" i="2"/>
  <c r="AH33" i="2"/>
  <c r="AF34" i="2"/>
  <c r="AG34" i="2"/>
  <c r="W34" i="2"/>
  <c r="T34" i="2"/>
  <c r="Q34" i="2"/>
  <c r="N34" i="2"/>
  <c r="K34" i="2"/>
  <c r="H34" i="2"/>
  <c r="E34" i="2"/>
  <c r="X34" i="2"/>
  <c r="AH34" i="2"/>
  <c r="AF35" i="2"/>
  <c r="AG35" i="2"/>
  <c r="W35" i="2"/>
  <c r="T35" i="2"/>
  <c r="Q35" i="2"/>
  <c r="N35" i="2"/>
  <c r="K35" i="2"/>
  <c r="H35" i="2"/>
  <c r="E35" i="2"/>
  <c r="X35" i="2"/>
  <c r="AH35" i="2"/>
  <c r="AF36" i="2"/>
  <c r="AG36" i="2"/>
  <c r="W36" i="2"/>
  <c r="T36" i="2"/>
  <c r="Q36" i="2"/>
  <c r="N36" i="2"/>
  <c r="K36" i="2"/>
  <c r="H36" i="2"/>
  <c r="E36" i="2"/>
  <c r="X36" i="2"/>
  <c r="AH36" i="2"/>
  <c r="AF37" i="2"/>
  <c r="AG37" i="2"/>
  <c r="W37" i="2"/>
  <c r="T37" i="2"/>
  <c r="Q37" i="2"/>
  <c r="N37" i="2"/>
  <c r="K37" i="2"/>
  <c r="H37" i="2"/>
  <c r="E37" i="2"/>
  <c r="X37" i="2"/>
  <c r="AH37" i="2"/>
  <c r="AF38" i="2"/>
  <c r="AG38" i="2"/>
  <c r="W38" i="2"/>
  <c r="T38" i="2"/>
  <c r="Q38" i="2"/>
  <c r="N38" i="2"/>
  <c r="K38" i="2"/>
  <c r="H38" i="2"/>
  <c r="E38" i="2"/>
  <c r="X38" i="2"/>
  <c r="AH38" i="2"/>
  <c r="AF39" i="2"/>
  <c r="AG39" i="2"/>
  <c r="W39" i="2"/>
  <c r="T39" i="2"/>
  <c r="Q39" i="2"/>
  <c r="N39" i="2"/>
  <c r="K39" i="2"/>
  <c r="H39" i="2"/>
  <c r="E39" i="2"/>
  <c r="X39" i="2"/>
  <c r="AH39" i="2"/>
  <c r="AF40" i="2"/>
  <c r="AG40" i="2"/>
  <c r="W40" i="2"/>
  <c r="T40" i="2"/>
  <c r="Q40" i="2"/>
  <c r="N40" i="2"/>
  <c r="K40" i="2"/>
  <c r="H40" i="2"/>
  <c r="E40" i="2"/>
  <c r="X40" i="2"/>
  <c r="AH40" i="2"/>
  <c r="AF41" i="2"/>
  <c r="AG41" i="2"/>
  <c r="W41" i="2"/>
  <c r="T41" i="2"/>
  <c r="Q41" i="2"/>
  <c r="N41" i="2"/>
  <c r="K41" i="2"/>
  <c r="H41" i="2"/>
  <c r="E41" i="2"/>
  <c r="X41" i="2"/>
  <c r="AH41" i="2"/>
  <c r="AF42" i="2"/>
  <c r="AG42" i="2"/>
  <c r="W42" i="2"/>
  <c r="T42" i="2"/>
  <c r="Q42" i="2"/>
  <c r="N42" i="2"/>
  <c r="K42" i="2"/>
  <c r="H42" i="2"/>
  <c r="E42" i="2"/>
  <c r="X42" i="2"/>
  <c r="AH42" i="2"/>
  <c r="AF43" i="2"/>
  <c r="AG43" i="2"/>
  <c r="W43" i="2"/>
  <c r="T43" i="2"/>
  <c r="Q43" i="2"/>
  <c r="N43" i="2"/>
  <c r="K43" i="2"/>
  <c r="E43" i="2"/>
  <c r="X43" i="2"/>
  <c r="AH43" i="2"/>
  <c r="AF44" i="2"/>
  <c r="AG44" i="2"/>
  <c r="W44" i="2"/>
  <c r="T44" i="2"/>
  <c r="Q44" i="2"/>
  <c r="N44" i="2"/>
  <c r="K44" i="2"/>
  <c r="E44" i="2"/>
  <c r="X44" i="2"/>
  <c r="AH44" i="2"/>
  <c r="AF45" i="2"/>
  <c r="AG45" i="2"/>
  <c r="W45" i="2"/>
  <c r="T45" i="2"/>
  <c r="Q45" i="2"/>
  <c r="N45" i="2"/>
  <c r="K45" i="2"/>
  <c r="E45" i="2"/>
  <c r="X45" i="2"/>
  <c r="AH45" i="2"/>
  <c r="AF46" i="2"/>
  <c r="AG46" i="2"/>
  <c r="W46" i="2"/>
  <c r="T46" i="2"/>
  <c r="Q46" i="2"/>
  <c r="N46" i="2"/>
  <c r="K46" i="2"/>
  <c r="H46" i="2"/>
  <c r="E46" i="2"/>
  <c r="X46" i="2"/>
  <c r="AH46" i="2"/>
  <c r="AF47" i="2"/>
  <c r="AG47" i="2"/>
  <c r="W47" i="2"/>
  <c r="T47" i="2"/>
  <c r="Q47" i="2"/>
  <c r="N47" i="2"/>
  <c r="K47" i="2"/>
  <c r="E47" i="2"/>
  <c r="X47" i="2"/>
  <c r="AH47" i="2"/>
  <c r="AF48" i="2"/>
  <c r="AG48" i="2"/>
  <c r="W48" i="2"/>
  <c r="T48" i="2"/>
  <c r="Q48" i="2"/>
  <c r="N48" i="2"/>
  <c r="K48" i="2"/>
  <c r="E48" i="2"/>
  <c r="X48" i="2"/>
  <c r="AH48" i="2"/>
  <c r="AF49" i="2"/>
  <c r="AG49" i="2"/>
  <c r="W49" i="2"/>
  <c r="T49" i="2"/>
  <c r="Q49" i="2"/>
  <c r="N49" i="2"/>
  <c r="K49" i="2"/>
  <c r="E49" i="2"/>
  <c r="X49" i="2"/>
  <c r="AH49" i="2"/>
  <c r="AF50" i="2"/>
  <c r="AG50" i="2"/>
  <c r="W50" i="2"/>
  <c r="T50" i="2"/>
  <c r="Q50" i="2"/>
  <c r="N50" i="2"/>
  <c r="K50" i="2"/>
  <c r="H50" i="2"/>
  <c r="E50" i="2"/>
  <c r="X50" i="2"/>
  <c r="AH50" i="2"/>
  <c r="AF51" i="2"/>
  <c r="AG51" i="2"/>
  <c r="W51" i="2"/>
  <c r="T51" i="2"/>
  <c r="Q51" i="2"/>
  <c r="N51" i="2"/>
  <c r="K51" i="2"/>
  <c r="H51" i="2"/>
  <c r="E51" i="2"/>
  <c r="X51" i="2"/>
  <c r="AH51" i="2"/>
  <c r="AF52" i="2"/>
  <c r="AG52" i="2"/>
  <c r="W52" i="2"/>
  <c r="T52" i="2"/>
  <c r="Q52" i="2"/>
  <c r="N52" i="2"/>
  <c r="K52" i="2"/>
  <c r="E52" i="2"/>
  <c r="X52" i="2"/>
  <c r="AH52" i="2"/>
  <c r="AH53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A52" i="2"/>
  <c r="Z52" i="2"/>
  <c r="AA51" i="2"/>
  <c r="Z51" i="2"/>
  <c r="AA50" i="2"/>
  <c r="Z50" i="2"/>
  <c r="AA49" i="2"/>
  <c r="Z49" i="2"/>
  <c r="AA48" i="2"/>
  <c r="Z48" i="2"/>
  <c r="Y48" i="2"/>
  <c r="AA47" i="2"/>
  <c r="Z47" i="2"/>
  <c r="AA46" i="2"/>
  <c r="Z46" i="2"/>
  <c r="AA45" i="2"/>
  <c r="Z45" i="2"/>
  <c r="AA44" i="2"/>
  <c r="Z44" i="2"/>
  <c r="AA43" i="2"/>
  <c r="Z43" i="2"/>
  <c r="Y43" i="2"/>
  <c r="AA42" i="2"/>
  <c r="Z42" i="2"/>
  <c r="AA41" i="2"/>
  <c r="Z41" i="2"/>
  <c r="AA40" i="2"/>
  <c r="Z40" i="2"/>
  <c r="AA39" i="2"/>
  <c r="Z39" i="2"/>
  <c r="AA38" i="2"/>
  <c r="Z38" i="2"/>
  <c r="Y38" i="2"/>
  <c r="AA37" i="2"/>
  <c r="Z37" i="2"/>
  <c r="AA36" i="2"/>
  <c r="Z36" i="2"/>
  <c r="AA35" i="2"/>
  <c r="Z35" i="2"/>
  <c r="AA34" i="2"/>
  <c r="Z34" i="2"/>
  <c r="AA33" i="2"/>
  <c r="Z33" i="2"/>
  <c r="Y33" i="2"/>
  <c r="AA32" i="2"/>
  <c r="Z32" i="2"/>
  <c r="AA31" i="2"/>
  <c r="Z31" i="2"/>
  <c r="AA30" i="2"/>
  <c r="Z30" i="2"/>
  <c r="AA29" i="2"/>
  <c r="Z29" i="2"/>
  <c r="AA28" i="2"/>
  <c r="Z28" i="2"/>
  <c r="Y28" i="2"/>
  <c r="AA27" i="2"/>
  <c r="Z27" i="2"/>
  <c r="AA26" i="2"/>
  <c r="Z26" i="2"/>
  <c r="AA25" i="2"/>
  <c r="Z25" i="2"/>
  <c r="AA24" i="2"/>
  <c r="Z24" i="2"/>
  <c r="AA23" i="2"/>
  <c r="Z23" i="2"/>
  <c r="Y23" i="2"/>
  <c r="AA22" i="2"/>
  <c r="Z22" i="2"/>
  <c r="AA21" i="2"/>
  <c r="Z21" i="2"/>
  <c r="AA20" i="2"/>
  <c r="Z20" i="2"/>
  <c r="AA19" i="2"/>
  <c r="Z19" i="2"/>
  <c r="AA18" i="2"/>
  <c r="Z18" i="2"/>
  <c r="Y18" i="2"/>
  <c r="AA17" i="2"/>
  <c r="Z17" i="2"/>
  <c r="AA16" i="2"/>
  <c r="Z16" i="2"/>
  <c r="AA15" i="2"/>
  <c r="Z15" i="2"/>
  <c r="AA14" i="2"/>
  <c r="Z14" i="2"/>
  <c r="AA13" i="2"/>
  <c r="Z13" i="2"/>
  <c r="Y13" i="2"/>
  <c r="AA12" i="2"/>
  <c r="Z12" i="2"/>
  <c r="AA11" i="2"/>
  <c r="Z11" i="2"/>
  <c r="AA10" i="2"/>
  <c r="Z10" i="2"/>
  <c r="AA9" i="2"/>
  <c r="Z9" i="2"/>
  <c r="AA8" i="2"/>
  <c r="Z8" i="2"/>
  <c r="Y8" i="2"/>
  <c r="AA7" i="2"/>
  <c r="Z7" i="2"/>
  <c r="AA6" i="2"/>
  <c r="Z6" i="2"/>
  <c r="AA5" i="2"/>
  <c r="Z5" i="2"/>
  <c r="AA4" i="2"/>
  <c r="Z4" i="2"/>
  <c r="AA3" i="2"/>
  <c r="Z3" i="2"/>
  <c r="Y3" i="2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6" i="1"/>
  <c r="S918" i="1"/>
  <c r="S917" i="1"/>
  <c r="S910" i="1"/>
  <c r="S915" i="1"/>
  <c r="S914" i="1"/>
  <c r="S909" i="1"/>
  <c r="S913" i="1"/>
  <c r="S912" i="1"/>
  <c r="S911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668" i="1"/>
  <c r="S667" i="1"/>
  <c r="S666" i="1"/>
  <c r="S665" i="1"/>
  <c r="S664" i="1"/>
  <c r="S663" i="1"/>
  <c r="S662" i="1"/>
  <c r="S661" i="1"/>
  <c r="S660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659" i="1"/>
  <c r="S575" i="1"/>
  <c r="S588" i="1"/>
  <c r="S587" i="1"/>
  <c r="S586" i="1"/>
  <c r="S574" i="1"/>
  <c r="S585" i="1"/>
  <c r="S573" i="1"/>
  <c r="S584" i="1"/>
  <c r="S583" i="1"/>
  <c r="S582" i="1"/>
  <c r="S572" i="1"/>
  <c r="S581" i="1"/>
  <c r="S580" i="1"/>
  <c r="S571" i="1"/>
  <c r="S570" i="1"/>
  <c r="S579" i="1"/>
  <c r="S578" i="1"/>
  <c r="S569" i="1"/>
  <c r="S577" i="1"/>
  <c r="S568" i="1"/>
  <c r="S567" i="1"/>
  <c r="S576" i="1"/>
  <c r="S566" i="1"/>
  <c r="S565" i="1"/>
  <c r="S564" i="1"/>
  <c r="S563" i="1"/>
  <c r="S559" i="1"/>
  <c r="S558" i="1"/>
  <c r="S557" i="1"/>
  <c r="S562" i="1"/>
  <c r="S561" i="1"/>
  <c r="S560" i="1"/>
  <c r="S556" i="1"/>
  <c r="S551" i="1"/>
  <c r="S550" i="1"/>
  <c r="S549" i="1"/>
  <c r="S548" i="1"/>
  <c r="S547" i="1"/>
  <c r="S555" i="1"/>
  <c r="S546" i="1"/>
  <c r="S554" i="1"/>
  <c r="S553" i="1"/>
  <c r="S552" i="1"/>
  <c r="S143" i="1"/>
  <c r="S142" i="1"/>
  <c r="S147" i="1"/>
  <c r="S141" i="1"/>
  <c r="S140" i="1"/>
  <c r="S146" i="1"/>
  <c r="S139" i="1"/>
  <c r="S145" i="1"/>
  <c r="S144" i="1"/>
  <c r="S138" i="1"/>
  <c r="S137" i="1"/>
  <c r="S136" i="1"/>
  <c r="S135" i="1"/>
  <c r="S131" i="1"/>
  <c r="S130" i="1"/>
  <c r="S129" i="1"/>
  <c r="S134" i="1"/>
  <c r="S133" i="1"/>
  <c r="S132" i="1"/>
  <c r="S120" i="1"/>
  <c r="S119" i="1"/>
  <c r="S128" i="1"/>
  <c r="S127" i="1"/>
  <c r="S126" i="1"/>
  <c r="S118" i="1"/>
  <c r="S117" i="1"/>
  <c r="S116" i="1"/>
  <c r="S115" i="1"/>
  <c r="S114" i="1"/>
  <c r="S125" i="1"/>
  <c r="S124" i="1"/>
  <c r="S113" i="1"/>
  <c r="S112" i="1"/>
  <c r="S111" i="1"/>
  <c r="S110" i="1"/>
  <c r="S123" i="1"/>
  <c r="S109" i="1"/>
  <c r="S122" i="1"/>
  <c r="S108" i="1"/>
  <c r="S121" i="1"/>
  <c r="S98" i="1"/>
  <c r="S107" i="1"/>
  <c r="S97" i="1"/>
  <c r="S96" i="1"/>
  <c r="S95" i="1"/>
  <c r="S94" i="1"/>
  <c r="S93" i="1"/>
  <c r="S92" i="1"/>
  <c r="S91" i="1"/>
  <c r="S90" i="1"/>
  <c r="S89" i="1"/>
  <c r="S88" i="1"/>
  <c r="S87" i="1"/>
  <c r="S86" i="1"/>
  <c r="S106" i="1"/>
  <c r="S85" i="1"/>
  <c r="S105" i="1"/>
  <c r="S104" i="1"/>
  <c r="S103" i="1"/>
  <c r="S102" i="1"/>
  <c r="S101" i="1"/>
  <c r="S100" i="1"/>
  <c r="S99" i="1"/>
  <c r="S84" i="1"/>
  <c r="S83" i="1"/>
  <c r="S82" i="1"/>
  <c r="S81" i="1"/>
  <c r="S80" i="1"/>
  <c r="S79" i="1"/>
  <c r="S78" i="1"/>
</calcChain>
</file>

<file path=xl/sharedStrings.xml><?xml version="1.0" encoding="utf-8"?>
<sst xmlns="http://schemas.openxmlformats.org/spreadsheetml/2006/main" count="2095" uniqueCount="69">
  <si>
    <t>Plant Measurementss to Calculate Above Ground Biomass</t>
  </si>
  <si>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</si>
  <si>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</si>
  <si>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</si>
  <si>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</si>
  <si>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</si>
  <si>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</si>
  <si>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</si>
  <si>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</si>
  <si>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</si>
  <si>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</si>
  <si>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</si>
  <si>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</si>
  <si>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</si>
  <si>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</si>
  <si>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 xml:space="preserve">Calculated Volume (if necessary) cm^3 </t>
  </si>
  <si>
    <t>Calculated Biomass (g)</t>
  </si>
  <si>
    <t>data book</t>
  </si>
  <si>
    <t>Data book entry order</t>
  </si>
  <si>
    <t>M-1-E</t>
  </si>
  <si>
    <t>M-2</t>
  </si>
  <si>
    <t>C-2</t>
  </si>
  <si>
    <t>M-3</t>
  </si>
  <si>
    <t>M-4-C</t>
  </si>
  <si>
    <t>M-4-N</t>
  </si>
  <si>
    <t>M-5</t>
  </si>
  <si>
    <t>stem area</t>
  </si>
  <si>
    <t>Sort plant measurements by transect (A-Z), quadrat (low-high), &amp; species (A-Z)</t>
  </si>
  <si>
    <t xml:space="preserve">Transect </t>
  </si>
  <si>
    <t>S. acutus total wt (g)</t>
  </si>
  <si>
    <t>Unmeasured count/measured count?</t>
  </si>
  <si>
    <t>S. acutus total wt inc unmeasured (g/m^2)</t>
  </si>
  <si>
    <t>S. americanus total wt</t>
  </si>
  <si>
    <t>S. americanus total wt inc unmeasured (g/m^2)</t>
  </si>
  <si>
    <t>S. californicus total wt</t>
  </si>
  <si>
    <t>S. californicus total wt inc unmeasured (g/m^2)</t>
  </si>
  <si>
    <t>S. maritimus total wt</t>
  </si>
  <si>
    <t>S. maritimus total wt inc unmeasured (g/m^2)</t>
  </si>
  <si>
    <t>S. taber total wt</t>
  </si>
  <si>
    <t>S. taber total wt inc unmeasured (g/m^2)</t>
  </si>
  <si>
    <t>T. latifolia total wt</t>
  </si>
  <si>
    <t>T. latifolia total wt inc unmeasured (g/m^2)</t>
  </si>
  <si>
    <t>T. domingensis total wt</t>
  </si>
  <si>
    <t>T. domingensis total wt inc unmeasured (g/m^2)</t>
  </si>
  <si>
    <t>Quadrat Total (g/m^2)</t>
  </si>
  <si>
    <t>Transect Average (g/m^2)</t>
  </si>
  <si>
    <t>Acutus + Tab (g/m^2)</t>
  </si>
  <si>
    <t>Dom+Lat (g/m^2)</t>
  </si>
  <si>
    <t>% Acutus/tab</t>
  </si>
  <si>
    <t>% americ</t>
  </si>
  <si>
    <t>% cal</t>
  </si>
  <si>
    <t>%typha</t>
  </si>
  <si>
    <t>Area of site (whole wetland/10) m^2</t>
  </si>
  <si>
    <t>Area of site (AA/# quadrats) m^2</t>
  </si>
  <si>
    <t>Biomass (quadrat total * whole section area/# of quadrats) kg</t>
  </si>
  <si>
    <t>C-1</t>
  </si>
  <si>
    <t>M-1-W</t>
  </si>
  <si>
    <t>M-4-S</t>
  </si>
  <si>
    <t>avg %</t>
  </si>
  <si>
    <t>total biomass</t>
  </si>
  <si>
    <t>Clean biomass (g) (only values)</t>
  </si>
  <si>
    <t>T. Latifolia</t>
  </si>
  <si>
    <t>S. Californicus</t>
  </si>
  <si>
    <t>S. Acutus</t>
  </si>
  <si>
    <t>T. Domingensis</t>
  </si>
  <si>
    <t>Airboat trail</t>
  </si>
  <si>
    <t xml:space="preserve"> </t>
  </si>
  <si>
    <t>AIRBOAT</t>
  </si>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</sst>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63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5" fillId="0" borderId="0" xfId="0" applyFont="1"/>
    <xf numFmtId="14" fontId="5" fillId="0" borderId="0" xfId="0" applyNumberFormat="1" applyFont="1"/>
    <xf numFmtId="0" fontId="6" fillId="2" borderId="1" xfId="533" applyFill="1" applyAlignment="1">
      <alignment horizontal="center"/>
    </xf>
    <xf numFmtId="0" fontId="7" fillId="2" borderId="2" xfId="534" applyAlignment="1">
      <alignment wrapText="1"/>
    </xf>
    <xf numFmtId="0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8" fillId="2" borderId="0" xfId="541" applyBorder="1" applyAlignment="1">
      <alignment wrapText="1"/>
    </xf>
    <xf numFmtId="0" fontId="7" fillId="2" borderId="3" xfId="534" applyBorder="1"/>
    <xf numFmtId="0" fontId="7" fillId="2" borderId="4" xfId="534" applyBorder="1"/>
    <xf numFmtId="0" fontId="0" fillId="0" borderId="5" xfId="0" applyBorder="1"/>
    <xf numFmtId="0" fontId="0" fillId="0" borderId="6" xfId="0" applyNumberFormat="1" applyBorder="1"/>
    <xf numFmtId="0" fontId="0" fillId="0" borderId="6" xfId="0" applyBorder="1"/>
    <xf numFmtId="0" fontId="7" fillId="2" borderId="7" xfId="534" applyBorder="1"/>
    <xf numFmtId="0" fontId="7" fillId="2" borderId="0" xfId="534" applyBorder="1"/>
    <xf numFmtId="0" fontId="7" fillId="2" borderId="8" xfId="534" applyBorder="1"/>
    <xf numFmtId="0" fontId="7" fillId="2" borderId="2" xfId="534" applyBorder="1"/>
    <xf numFmtId="0" fontId="0" fillId="0" borderId="9" xfId="0" applyBorder="1"/>
    <xf numFmtId="0" fontId="0" fillId="0" borderId="0" xfId="0" applyNumberFormat="1" applyBorder="1"/>
    <xf numFmtId="0" fontId="0" fillId="0" borderId="0" xfId="0" applyBorder="1"/>
    <xf numFmtId="0" fontId="7" fillId="2" borderId="10" xfId="534" applyBorder="1"/>
    <xf numFmtId="0" fontId="7" fillId="2" borderId="11" xfId="534" applyBorder="1"/>
    <xf numFmtId="0" fontId="7" fillId="2" borderId="12" xfId="534" applyBorder="1"/>
    <xf numFmtId="0" fontId="0" fillId="0" borderId="13" xfId="0" applyBorder="1"/>
    <xf numFmtId="0" fontId="0" fillId="0" borderId="14" xfId="0" applyNumberFormat="1" applyBorder="1"/>
    <xf numFmtId="0" fontId="0" fillId="0" borderId="14" xfId="0" applyBorder="1"/>
    <xf numFmtId="0" fontId="7" fillId="2" borderId="15" xfId="534" applyBorder="1"/>
    <xf numFmtId="0" fontId="7" fillId="0" borderId="3" xfId="534" applyFill="1" applyBorder="1"/>
    <xf numFmtId="0" fontId="7" fillId="0" borderId="4" xfId="534" applyFill="1" applyBorder="1"/>
    <xf numFmtId="0" fontId="7" fillId="2" borderId="16" xfId="534" applyBorder="1"/>
    <xf numFmtId="12" fontId="0" fillId="0" borderId="6" xfId="0" applyNumberFormat="1" applyBorder="1"/>
    <xf numFmtId="164" fontId="0" fillId="0" borderId="6" xfId="0" applyNumberForma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533" applyFill="1" applyAlignment="1">
      <alignment horizontal="center"/>
    </xf>
  </cellXfs>
  <cellStyles count="6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Heading 1" xfId="533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5" builtinId="8" hidden="1"/>
    <cellStyle name="Hyperlink" xfId="537" builtinId="8" hidden="1"/>
    <cellStyle name="Hyperlink" xfId="539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Normal" xfId="0" builtinId="0"/>
    <cellStyle name="Output" xfId="534" builtinId="21"/>
    <cellStyle name="Output 2" xfId="54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omass%20allometric%20models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C4">
            <v>19.263017000000001</v>
          </cell>
          <cell r="D4">
            <v>0.30388419999999999</v>
          </cell>
          <cell r="J4">
            <v>0.9302222</v>
          </cell>
          <cell r="K4">
            <v>17.475608000000001</v>
          </cell>
          <cell r="L4">
            <v>-98.188490000000002</v>
          </cell>
        </row>
        <row r="5">
          <cell r="G5">
            <v>9.3755000000000005E-2</v>
          </cell>
          <cell r="H5">
            <v>-7.0223529999999998</v>
          </cell>
          <cell r="I5">
            <v>-0.30124499999999999</v>
          </cell>
          <cell r="L5">
            <v>33.036983999999997</v>
          </cell>
        </row>
        <row r="6">
          <cell r="C6">
            <v>3.5525088999999999</v>
          </cell>
          <cell r="D6">
            <v>1.5680699999999999E-2</v>
          </cell>
          <cell r="L6">
            <v>-2.2979400000000001</v>
          </cell>
        </row>
        <row r="7">
          <cell r="D7">
            <v>7.0105000000000001E-2</v>
          </cell>
          <cell r="L7">
            <v>-4.5905969999999998</v>
          </cell>
        </row>
        <row r="8">
          <cell r="D8">
            <v>3.8507100000000002E-2</v>
          </cell>
          <cell r="E8">
            <v>3.2200899999999998E-2</v>
          </cell>
        </row>
        <row r="9">
          <cell r="D9">
            <v>2.4493600000000001E-2</v>
          </cell>
          <cell r="E9">
            <v>5.7674000000000003E-2</v>
          </cell>
        </row>
        <row r="10">
          <cell r="C10">
            <v>2.2194433</v>
          </cell>
          <cell r="D10">
            <v>2.90014E-2</v>
          </cell>
          <cell r="F10">
            <v>8.2622600000000004E-2</v>
          </cell>
          <cell r="L10">
            <v>-1.947697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5"/>
  <sheetViews>
    <sheetView tabSelected="1" zoomScale="125" zoomScaleNormal="125" zoomScalePageLayoutView="125" workbookViewId="0">
      <selection activeCell="P4" sqref="P4:P995"/>
    </sheetView>
  </sheetViews>
  <sheetFormatPr baseColWidth="10" defaultRowHeight="15" x14ac:dyDescent="0.75"/>
  <cols>
    <col min="4" max="4" width="13.5" bestFit="1" customWidth="1"/>
  </cols>
  <sheetData>
    <row r="1" spans="1:20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37"/>
      <c r="Q1" s="37"/>
      <c r="R1" s="37"/>
    </row>
    <row r="2" spans="1:20">
      <c r="A2" s="41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38"/>
      <c r="Q2" s="38"/>
      <c r="R2" s="38"/>
    </row>
    <row r="3" spans="1:20" ht="64">
      <c r="A3" t="s">
        <v>2</v>
      </c>
      <c r="B3" s="1" t="s">
        <v>3</v>
      </c>
      <c r="C3" t="s">
        <v>4</v>
      </c>
      <c r="D3" s="2" t="s">
        <v>5</v>
      </c>
      <c r="E3" s="3" t="s">
        <v>6</v>
      </c>
      <c r="F3" s="4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60</v>
      </c>
      <c r="Q3" s="3" t="s">
        <v>17</v>
      </c>
      <c r="R3" s="3" t="s">
        <v>18</v>
      </c>
      <c r="S3" s="3" t="s">
        <v>26</v>
      </c>
    </row>
    <row r="4" spans="1:20">
      <c r="A4" s="5">
        <v>42502</v>
      </c>
      <c r="B4" t="s">
        <v>55</v>
      </c>
      <c r="C4">
        <v>36</v>
      </c>
      <c r="D4" t="s">
        <v>61</v>
      </c>
      <c r="F4">
        <v>3.21</v>
      </c>
      <c r="J4">
        <f>123+149+154+180+191+195+182</f>
        <v>1174</v>
      </c>
      <c r="K4">
        <v>7</v>
      </c>
      <c r="L4">
        <v>195</v>
      </c>
      <c r="N4" t="str">
        <f t="shared" ref="N4:N67" si="0">IF(OR(D4="S. acutus", D4="S. tabernaemontani", D4="S. californicus"),(1/3)*(3.14159)*((F4/2)^2)*E4,"NA")</f>
        <v>NA</v>
      </c>
      <c r="O4">
        <f>IF(AND(OR(D4="S. acutus",D4="S. californicus",D4="S. tabernaemontani"),G4=0),E4*[1]Sheet1!$D$7+[1]Sheet1!$L$7,IF(AND(OR(D4="S. acutus",D4="S. tabernaemontani"),G4&gt;0),E4*[1]Sheet1!$D$8+N4*[1]Sheet1!$E$8,IF(AND(D4="S. californicus",G4&gt;0),E4*[1]Sheet1!$D$9+N4*[1]Sheet1!$E$9,IF(D4="S. maritimus",F4*[1]Sheet1!$C$10+E4*[1]Sheet1!$D$10+G4*[1]Sheet1!$F$10+[1]Sheet1!$L$10,IF(D4="S. americanus",F4*[1]Sheet1!$C$6+E4*[1]Sheet1!$D$6+[1]Sheet1!$L$6,IF(AND(OR(D4="T. domingensis",D4="T. latifolia"),E4&gt;0),F4*[1]Sheet1!$C$4+E4*[1]Sheet1!$D$4+H4*[1]Sheet1!$J$4+I4*[1]Sheet1!$K$4+[1]Sheet1!$L$4,IF(AND(OR(D4="T. domingensis",D4="T. latifolia"),J4&gt;0),J4*[1]Sheet1!$G$5+K4*[1]Sheet1!$H$5+L4*[1]Sheet1!$I$5+[1]Sheet1!$L$5,0)))))))</f>
        <v>35.206108000000008</v>
      </c>
      <c r="P4">
        <f t="shared" ref="P4:P67" si="1">IF(O4&lt;0," ",O4)</f>
        <v>35.206108000000008</v>
      </c>
      <c r="S4">
        <f t="shared" ref="S4:S67" si="2">3.14159*((F4/2)^2)</f>
        <v>8.0928143797499992</v>
      </c>
      <c r="T4">
        <f>MAX(S4:S995)</f>
        <v>31.569523750999998</v>
      </c>
    </row>
    <row r="5" spans="1:20">
      <c r="A5" s="5">
        <v>42502</v>
      </c>
      <c r="B5" t="s">
        <v>55</v>
      </c>
      <c r="C5">
        <v>36</v>
      </c>
      <c r="D5" t="s">
        <v>61</v>
      </c>
      <c r="F5" s="6">
        <v>1.7</v>
      </c>
      <c r="J5">
        <f>53+68+107+142+163+180+190</f>
        <v>903</v>
      </c>
      <c r="K5">
        <v>7</v>
      </c>
      <c r="L5">
        <v>190</v>
      </c>
      <c r="N5" t="str">
        <f t="shared" si="0"/>
        <v>NA</v>
      </c>
      <c r="O5">
        <f>IF(AND(OR(D5="S. acutus",D5="S. californicus",D5="S. tabernaemontani"),G5=0),E5*[1]Sheet1!$D$7+[1]Sheet1!$L$7,IF(AND(OR(D5="S. acutus",D5="S. tabernaemontani"),G5&gt;0),E5*[1]Sheet1!$D$8+N5*[1]Sheet1!$E$8,IF(AND(D5="S. californicus",G5&gt;0),E5*[1]Sheet1!$D$9+N5*[1]Sheet1!$E$9,IF(D5="S. maritimus",F5*[1]Sheet1!$C$10+E5*[1]Sheet1!$D$10+G5*[1]Sheet1!$F$10+[1]Sheet1!$L$10,IF(D5="S. americanus",F5*[1]Sheet1!$C$6+E5*[1]Sheet1!$D$6+[1]Sheet1!$L$6,IF(AND(OR(D5="T. domingensis",D5="T. latifolia"),E5&gt;0),F5*[1]Sheet1!$C$4+E5*[1]Sheet1!$D$4+H5*[1]Sheet1!$J$4+I5*[1]Sheet1!$K$4+[1]Sheet1!$L$4,IF(AND(OR(D5="T. domingensis",D5="T. latifolia"),J5&gt;0),J5*[1]Sheet1!$G$5+K5*[1]Sheet1!$H$5+L5*[1]Sheet1!$I$5+[1]Sheet1!$L$5,0)))))))</f>
        <v>11.304728000000004</v>
      </c>
      <c r="P5">
        <f t="shared" si="1"/>
        <v>11.304728000000004</v>
      </c>
      <c r="S5">
        <f t="shared" si="2"/>
        <v>2.2697987749999995</v>
      </c>
    </row>
    <row r="6" spans="1:20">
      <c r="A6" s="5">
        <v>42502</v>
      </c>
      <c r="B6" t="s">
        <v>55</v>
      </c>
      <c r="C6">
        <v>36</v>
      </c>
      <c r="D6" t="s">
        <v>61</v>
      </c>
      <c r="F6" s="6">
        <v>1.02</v>
      </c>
      <c r="J6">
        <f>35+43+52+52+67</f>
        <v>249</v>
      </c>
      <c r="K6">
        <v>5</v>
      </c>
      <c r="L6">
        <v>67</v>
      </c>
      <c r="N6" t="str">
        <f t="shared" si="0"/>
        <v>NA</v>
      </c>
      <c r="O6">
        <f>IF(AND(OR(D6="S. acutus",D6="S. californicus",D6="S. tabernaemontani"),G6=0),E6*[1]Sheet1!$D$7+[1]Sheet1!$L$7,IF(AND(OR(D6="S. acutus",D6="S. tabernaemontani"),G6&gt;0),E6*[1]Sheet1!$D$8+N6*[1]Sheet1!$E$8,IF(AND(D6="S. californicus",G6&gt;0),E6*[1]Sheet1!$D$9+N6*[1]Sheet1!$E$9,IF(D6="S. maritimus",F6*[1]Sheet1!$C$10+E6*[1]Sheet1!$D$10+G6*[1]Sheet1!$F$10+[1]Sheet1!$L$10,IF(D6="S. americanus",F6*[1]Sheet1!$C$6+E6*[1]Sheet1!$D$6+[1]Sheet1!$L$6,IF(AND(OR(D6="T. domingensis",D6="T. latifolia"),E6&gt;0),F6*[1]Sheet1!$C$4+E6*[1]Sheet1!$D$4+H6*[1]Sheet1!$J$4+I6*[1]Sheet1!$K$4+[1]Sheet1!$L$4,IF(AND(OR(D6="T. domingensis",D6="T. latifolia"),J6&gt;0),J6*[1]Sheet1!$G$5+K6*[1]Sheet1!$H$5+L6*[1]Sheet1!$I$5+[1]Sheet1!$L$5,0)))))))</f>
        <v>1.0867989999999992</v>
      </c>
      <c r="P6">
        <f t="shared" si="1"/>
        <v>1.0867989999999992</v>
      </c>
      <c r="S6">
        <f t="shared" si="2"/>
        <v>0.817127559</v>
      </c>
    </row>
    <row r="7" spans="1:20">
      <c r="A7" s="5">
        <v>42502</v>
      </c>
      <c r="B7" t="s">
        <v>55</v>
      </c>
      <c r="C7">
        <v>36</v>
      </c>
      <c r="D7" t="s">
        <v>61</v>
      </c>
      <c r="F7" s="6">
        <v>2.1</v>
      </c>
      <c r="J7">
        <f>83+85+125+163+179+135</f>
        <v>770</v>
      </c>
      <c r="K7">
        <v>6</v>
      </c>
      <c r="L7">
        <v>179</v>
      </c>
      <c r="N7" t="str">
        <f t="shared" si="0"/>
        <v>NA</v>
      </c>
      <c r="O7">
        <f>IF(AND(OR(D7="S. acutus",D7="S. californicus",D7="S. tabernaemontani"),G7=0),E7*[1]Sheet1!$D$7+[1]Sheet1!$L$7,IF(AND(OR(D7="S. acutus",D7="S. tabernaemontani"),G7&gt;0),E7*[1]Sheet1!$D$8+N7*[1]Sheet1!$E$8,IF(AND(D7="S. californicus",G7&gt;0),E7*[1]Sheet1!$D$9+N7*[1]Sheet1!$E$9,IF(D7="S. maritimus",F7*[1]Sheet1!$C$10+E7*[1]Sheet1!$D$10+G7*[1]Sheet1!$F$10+[1]Sheet1!$L$10,IF(D7="S. americanus",F7*[1]Sheet1!$C$6+E7*[1]Sheet1!$D$6+[1]Sheet1!$L$6,IF(AND(OR(D7="T. domingensis",D7="T. latifolia"),E7&gt;0),F7*[1]Sheet1!$C$4+E7*[1]Sheet1!$D$4+H7*[1]Sheet1!$J$4+I7*[1]Sheet1!$K$4+[1]Sheet1!$L$4,IF(AND(OR(D7="T. domingensis",D7="T. latifolia"),J7&gt;0),J7*[1]Sheet1!$G$5+K7*[1]Sheet1!$H$5+L7*[1]Sheet1!$I$5+[1]Sheet1!$L$5,0)))))))</f>
        <v>9.1713609999999974</v>
      </c>
      <c r="P7">
        <f t="shared" si="1"/>
        <v>9.1713609999999974</v>
      </c>
      <c r="S7">
        <f t="shared" si="2"/>
        <v>3.4636029750000001</v>
      </c>
    </row>
    <row r="8" spans="1:20">
      <c r="A8" s="5">
        <v>42502</v>
      </c>
      <c r="B8" t="s">
        <v>55</v>
      </c>
      <c r="C8">
        <v>36</v>
      </c>
      <c r="D8" t="s">
        <v>61</v>
      </c>
      <c r="F8" s="6">
        <v>0.82</v>
      </c>
      <c r="J8">
        <f>25+29+47+92</f>
        <v>193</v>
      </c>
      <c r="K8">
        <v>4</v>
      </c>
      <c r="L8">
        <v>92</v>
      </c>
      <c r="N8" t="str">
        <f t="shared" si="0"/>
        <v>NA</v>
      </c>
      <c r="O8">
        <f>IF(AND(OR(D8="S. acutus",D8="S. californicus",D8="S. tabernaemontani"),G8=0),E8*[1]Sheet1!$D$7+[1]Sheet1!$L$7,IF(AND(OR(D8="S. acutus",D8="S. tabernaemontani"),G8&gt;0),E8*[1]Sheet1!$D$8+N8*[1]Sheet1!$E$8,IF(AND(D8="S. californicus",G8&gt;0),E8*[1]Sheet1!$D$9+N8*[1]Sheet1!$E$9,IF(D8="S. maritimus",F8*[1]Sheet1!$C$10+E8*[1]Sheet1!$D$10+G8*[1]Sheet1!$F$10+[1]Sheet1!$L$10,IF(D8="S. americanus",F8*[1]Sheet1!$C$6+E8*[1]Sheet1!$D$6+[1]Sheet1!$L$6,IF(AND(OR(D8="T. domingensis",D8="T. latifolia"),E8&gt;0),F8*[1]Sheet1!$C$4+E8*[1]Sheet1!$D$4+H8*[1]Sheet1!$J$4+I8*[1]Sheet1!$K$4+[1]Sheet1!$L$4,IF(AND(OR(D8="T. domingensis",D8="T. latifolia"),J8&gt;0),J8*[1]Sheet1!$G$5+K8*[1]Sheet1!$H$5+L8*[1]Sheet1!$I$5+[1]Sheet1!$L$5,0)))))))</f>
        <v>-4.6722530000000049</v>
      </c>
      <c r="P8" t="str">
        <f t="shared" si="1"/>
        <v xml:space="preserve"> </v>
      </c>
      <c r="S8">
        <f t="shared" si="2"/>
        <v>0.52810127899999992</v>
      </c>
    </row>
    <row r="9" spans="1:20">
      <c r="A9" s="5">
        <v>42502</v>
      </c>
      <c r="B9" t="s">
        <v>55</v>
      </c>
      <c r="C9">
        <v>36</v>
      </c>
      <c r="D9" t="s">
        <v>61</v>
      </c>
      <c r="F9" s="6">
        <v>1.58</v>
      </c>
      <c r="J9">
        <f>88+114+117+144+150</f>
        <v>613</v>
      </c>
      <c r="K9">
        <v>5</v>
      </c>
      <c r="L9">
        <v>150</v>
      </c>
      <c r="N9" t="str">
        <f t="shared" si="0"/>
        <v>NA</v>
      </c>
      <c r="O9">
        <f>IF(AND(OR(D9="S. acutus",D9="S. californicus",D9="S. tabernaemontani"),G9=0),E9*[1]Sheet1!$D$7+[1]Sheet1!$L$7,IF(AND(OR(D9="S. acutus",D9="S. tabernaemontani"),G9&gt;0),E9*[1]Sheet1!$D$8+N9*[1]Sheet1!$E$8,IF(AND(D9="S. californicus",G9&gt;0),E9*[1]Sheet1!$D$9+N9*[1]Sheet1!$E$9,IF(D9="S. maritimus",F9*[1]Sheet1!$C$10+E9*[1]Sheet1!$D$10+G9*[1]Sheet1!$F$10+[1]Sheet1!$L$10,IF(D9="S. americanus",F9*[1]Sheet1!$C$6+E9*[1]Sheet1!$D$6+[1]Sheet1!$L$6,IF(AND(OR(D9="T. domingensis",D9="T. latifolia"),E9&gt;0),F9*[1]Sheet1!$C$4+E9*[1]Sheet1!$D$4+H9*[1]Sheet1!$J$4+I9*[1]Sheet1!$K$4+[1]Sheet1!$L$4,IF(AND(OR(D9="T. domingensis",D9="T. latifolia"),J9&gt;0),J9*[1]Sheet1!$G$5+K9*[1]Sheet1!$H$5+L9*[1]Sheet1!$I$5+[1]Sheet1!$L$5,0)))))))</f>
        <v>10.210284000000009</v>
      </c>
      <c r="P9">
        <f t="shared" si="1"/>
        <v>10.210284000000009</v>
      </c>
      <c r="S9">
        <f t="shared" si="2"/>
        <v>1.9606663190000002</v>
      </c>
    </row>
    <row r="10" spans="1:20">
      <c r="A10" s="5">
        <v>42502</v>
      </c>
      <c r="B10" t="s">
        <v>55</v>
      </c>
      <c r="C10">
        <v>36</v>
      </c>
      <c r="D10" t="s">
        <v>61</v>
      </c>
      <c r="F10" s="6">
        <v>1.37</v>
      </c>
      <c r="J10">
        <f>40+64+84+122+132+159</f>
        <v>601</v>
      </c>
      <c r="K10">
        <v>6</v>
      </c>
      <c r="L10">
        <v>159</v>
      </c>
      <c r="N10" t="str">
        <f t="shared" si="0"/>
        <v>NA</v>
      </c>
      <c r="O10">
        <f>IF(AND(OR(D10="S. acutus",D10="S. californicus",D10="S. tabernaemontani"),G10=0),E10*[1]Sheet1!$D$7+[1]Sheet1!$L$7,IF(AND(OR(D10="S. acutus",D10="S. tabernaemontani"),G10&gt;0),E10*[1]Sheet1!$D$8+N10*[1]Sheet1!$E$8,IF(AND(D10="S. californicus",G10&gt;0),E10*[1]Sheet1!$D$9+N10*[1]Sheet1!$E$9,IF(D10="S. maritimus",F10*[1]Sheet1!$C$10+E10*[1]Sheet1!$D$10+G10*[1]Sheet1!$F$10+[1]Sheet1!$L$10,IF(D10="S. americanus",F10*[1]Sheet1!$C$6+E10*[1]Sheet1!$D$6+[1]Sheet1!$L$6,IF(AND(OR(D10="T. domingensis",D10="T. latifolia"),E10&gt;0),F10*[1]Sheet1!$C$4+E10*[1]Sheet1!$D$4+H10*[1]Sheet1!$J$4+I10*[1]Sheet1!$K$4+[1]Sheet1!$L$4,IF(AND(OR(D10="T. domingensis",D10="T. latifolia"),J10&gt;0),J10*[1]Sheet1!$G$5+K10*[1]Sheet1!$H$5+L10*[1]Sheet1!$I$5+[1]Sheet1!$L$5,0)))))))</f>
        <v>-0.64833399999999841</v>
      </c>
      <c r="P10" t="str">
        <f t="shared" si="1"/>
        <v xml:space="preserve"> </v>
      </c>
      <c r="S10">
        <f t="shared" si="2"/>
        <v>1.4741125677500002</v>
      </c>
    </row>
    <row r="11" spans="1:20">
      <c r="A11" s="5">
        <v>42502</v>
      </c>
      <c r="B11" t="s">
        <v>55</v>
      </c>
      <c r="C11">
        <v>36</v>
      </c>
      <c r="D11" t="s">
        <v>61</v>
      </c>
      <c r="F11" s="6">
        <v>0.9</v>
      </c>
      <c r="J11">
        <f>92+123+152+153+176</f>
        <v>696</v>
      </c>
      <c r="K11">
        <v>6</v>
      </c>
      <c r="L11">
        <v>176</v>
      </c>
      <c r="N11" t="str">
        <f t="shared" si="0"/>
        <v>NA</v>
      </c>
      <c r="O11">
        <f>IF(AND(OR(D11="S. acutus",D11="S. californicus",D11="S. tabernaemontani"),G11=0),E11*[1]Sheet1!$D$7+[1]Sheet1!$L$7,IF(AND(OR(D11="S. acutus",D11="S. tabernaemontani"),G11&gt;0),E11*[1]Sheet1!$D$8+N11*[1]Sheet1!$E$8,IF(AND(D11="S. californicus",G11&gt;0),E11*[1]Sheet1!$D$9+N11*[1]Sheet1!$E$9,IF(D11="S. maritimus",F11*[1]Sheet1!$C$10+E11*[1]Sheet1!$D$10+G11*[1]Sheet1!$F$10+[1]Sheet1!$L$10,IF(D11="S. americanus",F11*[1]Sheet1!$C$6+E11*[1]Sheet1!$D$6+[1]Sheet1!$L$6,IF(AND(OR(D11="T. domingensis",D11="T. latifolia"),E11&gt;0),F11*[1]Sheet1!$C$4+E11*[1]Sheet1!$D$4+H11*[1]Sheet1!$J$4+I11*[1]Sheet1!$K$4+[1]Sheet1!$L$4,IF(AND(OR(D11="T. domingensis",D11="T. latifolia"),J11&gt;0),J11*[1]Sheet1!$G$5+K11*[1]Sheet1!$H$5+L11*[1]Sheet1!$I$5+[1]Sheet1!$L$5,0)))))))</f>
        <v>3.1372260000000054</v>
      </c>
      <c r="P11">
        <f t="shared" si="1"/>
        <v>3.1372260000000054</v>
      </c>
      <c r="S11">
        <f t="shared" si="2"/>
        <v>0.636171975</v>
      </c>
    </row>
    <row r="12" spans="1:20">
      <c r="A12" s="5">
        <v>42502</v>
      </c>
      <c r="B12" t="s">
        <v>55</v>
      </c>
      <c r="C12">
        <v>36</v>
      </c>
      <c r="D12" t="s">
        <v>61</v>
      </c>
      <c r="F12" s="6">
        <v>2.21</v>
      </c>
      <c r="J12">
        <f>104+141+162+178+188+201</f>
        <v>974</v>
      </c>
      <c r="K12">
        <v>6</v>
      </c>
      <c r="L12">
        <v>201</v>
      </c>
      <c r="N12" t="str">
        <f t="shared" si="0"/>
        <v>NA</v>
      </c>
      <c r="O12">
        <f>IF(AND(OR(D12="S. acutus",D12="S. californicus",D12="S. tabernaemontani"),G12=0),E12*[1]Sheet1!$D$7+[1]Sheet1!$L$7,IF(AND(OR(D12="S. acutus",D12="S. tabernaemontani"),G12&gt;0),E12*[1]Sheet1!$D$8+N12*[1]Sheet1!$E$8,IF(AND(D12="S. californicus",G12&gt;0),E12*[1]Sheet1!$D$9+N12*[1]Sheet1!$E$9,IF(D12="S. maritimus",F12*[1]Sheet1!$C$10+E12*[1]Sheet1!$D$10+G12*[1]Sheet1!$F$10+[1]Sheet1!$L$10,IF(D12="S. americanus",F12*[1]Sheet1!$C$6+E12*[1]Sheet1!$D$6+[1]Sheet1!$L$6,IF(AND(OR(D12="T. domingensis",D12="T. latifolia"),E12&gt;0),F12*[1]Sheet1!$C$4+E12*[1]Sheet1!$D$4+H12*[1]Sheet1!$J$4+I12*[1]Sheet1!$K$4+[1]Sheet1!$L$4,IF(AND(OR(D12="T. domingensis",D12="T. latifolia"),J12&gt;0),J12*[1]Sheet1!$G$5+K12*[1]Sheet1!$H$5+L12*[1]Sheet1!$I$5+[1]Sheet1!$L$5,0)))))))</f>
        <v>21.66999100000001</v>
      </c>
      <c r="P12">
        <f t="shared" si="1"/>
        <v>21.66999100000001</v>
      </c>
      <c r="S12">
        <f t="shared" si="2"/>
        <v>3.83595992975</v>
      </c>
    </row>
    <row r="13" spans="1:20">
      <c r="A13" s="5">
        <v>42502</v>
      </c>
      <c r="B13" t="s">
        <v>55</v>
      </c>
      <c r="C13">
        <v>36</v>
      </c>
      <c r="D13" t="s">
        <v>61</v>
      </c>
      <c r="F13" s="6">
        <v>3.91</v>
      </c>
      <c r="J13">
        <f>101+139+131+178+208+211</f>
        <v>968</v>
      </c>
      <c r="K13">
        <v>6</v>
      </c>
      <c r="L13">
        <v>211</v>
      </c>
      <c r="N13" t="str">
        <f t="shared" si="0"/>
        <v>NA</v>
      </c>
      <c r="O13">
        <f>IF(AND(OR(D13="S. acutus",D13="S. californicus",D13="S. tabernaemontani"),G13=0),E13*[1]Sheet1!$D$7+[1]Sheet1!$L$7,IF(AND(OR(D13="S. acutus",D13="S. tabernaemontani"),G13&gt;0),E13*[1]Sheet1!$D$8+N13*[1]Sheet1!$E$8,IF(AND(D13="S. californicus",G13&gt;0),E13*[1]Sheet1!$D$9+N13*[1]Sheet1!$E$9,IF(D13="S. maritimus",F13*[1]Sheet1!$C$10+E13*[1]Sheet1!$D$10+G13*[1]Sheet1!$F$10+[1]Sheet1!$L$10,IF(D13="S. americanus",F13*[1]Sheet1!$C$6+E13*[1]Sheet1!$D$6+[1]Sheet1!$L$6,IF(AND(OR(D13="T. domingensis",D13="T. latifolia"),E13&gt;0),F13*[1]Sheet1!$C$4+E13*[1]Sheet1!$D$4+H13*[1]Sheet1!$J$4+I13*[1]Sheet1!$K$4+[1]Sheet1!$L$4,IF(AND(OR(D13="T. domingensis",D13="T. latifolia"),J13&gt;0),J13*[1]Sheet1!$G$5+K13*[1]Sheet1!$H$5+L13*[1]Sheet1!$I$5+[1]Sheet1!$L$5,0)))))))</f>
        <v>18.095011</v>
      </c>
      <c r="P13">
        <f t="shared" si="1"/>
        <v>18.095011</v>
      </c>
      <c r="S13">
        <f t="shared" si="2"/>
        <v>12.007235519750001</v>
      </c>
    </row>
    <row r="14" spans="1:20">
      <c r="A14" s="5">
        <v>42502</v>
      </c>
      <c r="B14" t="s">
        <v>55</v>
      </c>
      <c r="C14">
        <v>36</v>
      </c>
      <c r="D14" t="s">
        <v>61</v>
      </c>
      <c r="F14" s="6">
        <v>1.44</v>
      </c>
      <c r="J14">
        <f>36+73+106+135+142+170</f>
        <v>662</v>
      </c>
      <c r="K14">
        <v>6</v>
      </c>
      <c r="L14">
        <v>170</v>
      </c>
      <c r="N14" t="str">
        <f t="shared" si="0"/>
        <v>NA</v>
      </c>
      <c r="O14">
        <f>IF(AND(OR(D14="S. acutus",D14="S. californicus",D14="S. tabernaemontani"),G14=0),E14*[1]Sheet1!$D$7+[1]Sheet1!$L$7,IF(AND(OR(D14="S. acutus",D14="S. tabernaemontani"),G14&gt;0),E14*[1]Sheet1!$D$8+N14*[1]Sheet1!$E$8,IF(AND(D14="S. californicus",G14&gt;0),E14*[1]Sheet1!$D$9+N14*[1]Sheet1!$E$9,IF(D14="S. maritimus",F14*[1]Sheet1!$C$10+E14*[1]Sheet1!$D$10+G14*[1]Sheet1!$F$10+[1]Sheet1!$L$10,IF(D14="S. americanus",F14*[1]Sheet1!$C$6+E14*[1]Sheet1!$D$6+[1]Sheet1!$L$6,IF(AND(OR(D14="T. domingensis",D14="T. latifolia"),E14&gt;0),F14*[1]Sheet1!$C$4+E14*[1]Sheet1!$D$4+H14*[1]Sheet1!$J$4+I14*[1]Sheet1!$K$4+[1]Sheet1!$L$4,IF(AND(OR(D14="T. domingensis",D14="T. latifolia"),J14&gt;0),J14*[1]Sheet1!$G$5+K14*[1]Sheet1!$H$5+L14*[1]Sheet1!$I$5+[1]Sheet1!$L$5,0)))))))</f>
        <v>1.7570260000000033</v>
      </c>
      <c r="P14">
        <f t="shared" si="1"/>
        <v>1.7570260000000033</v>
      </c>
      <c r="S14">
        <f t="shared" si="2"/>
        <v>1.6286002559999999</v>
      </c>
    </row>
    <row r="15" spans="1:20">
      <c r="A15" s="5">
        <v>42502</v>
      </c>
      <c r="B15" t="s">
        <v>55</v>
      </c>
      <c r="C15">
        <v>36</v>
      </c>
      <c r="D15" t="s">
        <v>61</v>
      </c>
      <c r="F15" s="6">
        <v>0.85</v>
      </c>
      <c r="J15">
        <f>35+75+90+109</f>
        <v>309</v>
      </c>
      <c r="K15">
        <v>4</v>
      </c>
      <c r="L15">
        <v>109</v>
      </c>
      <c r="N15" t="str">
        <f t="shared" si="0"/>
        <v>NA</v>
      </c>
      <c r="O15">
        <f>IF(AND(OR(D15="S. acutus",D15="S. californicus",D15="S. tabernaemontani"),G15=0),E15*[1]Sheet1!$D$7+[1]Sheet1!$L$7,IF(AND(OR(D15="S. acutus",D15="S. tabernaemontani"),G15&gt;0),E15*[1]Sheet1!$D$8+N15*[1]Sheet1!$E$8,IF(AND(D15="S. californicus",G15&gt;0),E15*[1]Sheet1!$D$9+N15*[1]Sheet1!$E$9,IF(D15="S. maritimus",F15*[1]Sheet1!$C$10+E15*[1]Sheet1!$D$10+G15*[1]Sheet1!$F$10+[1]Sheet1!$L$10,IF(D15="S. americanus",F15*[1]Sheet1!$C$6+E15*[1]Sheet1!$D$6+[1]Sheet1!$L$6,IF(AND(OR(D15="T. domingensis",D15="T. latifolia"),E15&gt;0),F15*[1]Sheet1!$C$4+E15*[1]Sheet1!$D$4+H15*[1]Sheet1!$J$4+I15*[1]Sheet1!$K$4+[1]Sheet1!$L$4,IF(AND(OR(D15="T. domingensis",D15="T. latifolia"),J15&gt;0),J15*[1]Sheet1!$G$5+K15*[1]Sheet1!$H$5+L15*[1]Sheet1!$I$5+[1]Sheet1!$L$5,0)))))))</f>
        <v>1.0821620000000003</v>
      </c>
      <c r="P15">
        <f t="shared" si="1"/>
        <v>1.0821620000000003</v>
      </c>
      <c r="S15">
        <f t="shared" si="2"/>
        <v>0.56744969374999987</v>
      </c>
    </row>
    <row r="16" spans="1:20">
      <c r="A16" s="5">
        <v>42502</v>
      </c>
      <c r="B16" t="s">
        <v>55</v>
      </c>
      <c r="C16">
        <v>36</v>
      </c>
      <c r="D16" t="s">
        <v>61</v>
      </c>
      <c r="F16" s="6">
        <v>1.41</v>
      </c>
      <c r="J16">
        <f>58+73+101+132+139+165+173</f>
        <v>841</v>
      </c>
      <c r="K16">
        <v>7</v>
      </c>
      <c r="L16">
        <v>173</v>
      </c>
      <c r="N16" t="str">
        <f t="shared" si="0"/>
        <v>NA</v>
      </c>
      <c r="O16">
        <f>IF(AND(OR(D16="S. acutus",D16="S. californicus",D16="S. tabernaemontani"),G16=0),E16*[1]Sheet1!$D$7+[1]Sheet1!$L$7,IF(AND(OR(D16="S. acutus",D16="S. tabernaemontani"),G16&gt;0),E16*[1]Sheet1!$D$8+N16*[1]Sheet1!$E$8,IF(AND(D16="S. californicus",G16&gt;0),E16*[1]Sheet1!$D$9+N16*[1]Sheet1!$E$9,IF(D16="S. maritimus",F16*[1]Sheet1!$C$10+E16*[1]Sheet1!$D$10+G16*[1]Sheet1!$F$10+[1]Sheet1!$L$10,IF(D16="S. americanus",F16*[1]Sheet1!$C$6+E16*[1]Sheet1!$D$6+[1]Sheet1!$L$6,IF(AND(OR(D16="T. domingensis",D16="T. latifolia"),E16&gt;0),F16*[1]Sheet1!$C$4+E16*[1]Sheet1!$D$4+H16*[1]Sheet1!$J$4+I16*[1]Sheet1!$K$4+[1]Sheet1!$L$4,IF(AND(OR(D16="T. domingensis",D16="T. latifolia"),J16&gt;0),J16*[1]Sheet1!$G$5+K16*[1]Sheet1!$H$5+L16*[1]Sheet1!$I$5+[1]Sheet1!$L$5,0)))))))</f>
        <v>10.613083000000003</v>
      </c>
      <c r="P16">
        <f t="shared" si="1"/>
        <v>10.613083000000003</v>
      </c>
      <c r="S16">
        <f t="shared" si="2"/>
        <v>1.5614487697499997</v>
      </c>
    </row>
    <row r="17" spans="1:19">
      <c r="A17" s="5">
        <v>42502</v>
      </c>
      <c r="B17" t="s">
        <v>55</v>
      </c>
      <c r="C17">
        <v>36</v>
      </c>
      <c r="D17" t="s">
        <v>61</v>
      </c>
      <c r="F17" s="6">
        <v>1.37</v>
      </c>
      <c r="J17">
        <f>99+103+140+141+169</f>
        <v>652</v>
      </c>
      <c r="K17">
        <v>5</v>
      </c>
      <c r="L17">
        <v>169</v>
      </c>
      <c r="N17" t="str">
        <f t="shared" si="0"/>
        <v>NA</v>
      </c>
      <c r="O17">
        <f>IF(AND(OR(D17="S. acutus",D17="S. californicus",D17="S. tabernaemontani"),G17=0),E17*[1]Sheet1!$D$7+[1]Sheet1!$L$7,IF(AND(OR(D17="S. acutus",D17="S. tabernaemontani"),G17&gt;0),E17*[1]Sheet1!$D$8+N17*[1]Sheet1!$E$8,IF(AND(D17="S. californicus",G17&gt;0),E17*[1]Sheet1!$D$9+N17*[1]Sheet1!$E$9,IF(D17="S. maritimus",F17*[1]Sheet1!$C$10+E17*[1]Sheet1!$D$10+G17*[1]Sheet1!$F$10+[1]Sheet1!$L$10,IF(D17="S. americanus",F17*[1]Sheet1!$C$6+E17*[1]Sheet1!$D$6+[1]Sheet1!$L$6,IF(AND(OR(D17="T. domingensis",D17="T. latifolia"),E17&gt;0),F17*[1]Sheet1!$C$4+E17*[1]Sheet1!$D$4+H17*[1]Sheet1!$J$4+I17*[1]Sheet1!$K$4+[1]Sheet1!$L$4,IF(AND(OR(D17="T. domingensis",D17="T. latifolia"),J17&gt;0),J17*[1]Sheet1!$G$5+K17*[1]Sheet1!$H$5+L17*[1]Sheet1!$I$5+[1]Sheet1!$L$5,0)))))))</f>
        <v>8.1430740000000057</v>
      </c>
      <c r="P17">
        <f t="shared" si="1"/>
        <v>8.1430740000000057</v>
      </c>
      <c r="S17">
        <f t="shared" si="2"/>
        <v>1.4741125677500002</v>
      </c>
    </row>
    <row r="18" spans="1:19">
      <c r="A18" s="5">
        <v>42502</v>
      </c>
      <c r="B18" t="s">
        <v>55</v>
      </c>
      <c r="C18">
        <v>36</v>
      </c>
      <c r="D18" t="s">
        <v>61</v>
      </c>
      <c r="F18" s="6">
        <v>1.55</v>
      </c>
      <c r="J18">
        <f>93+122+143+180+181+206</f>
        <v>925</v>
      </c>
      <c r="K18">
        <v>6</v>
      </c>
      <c r="L18">
        <v>206</v>
      </c>
      <c r="N18" t="str">
        <f t="shared" si="0"/>
        <v>NA</v>
      </c>
      <c r="O18">
        <f>IF(AND(OR(D18="S. acutus",D18="S. californicus",D18="S. tabernaemontani"),G18=0),E18*[1]Sheet1!$D$7+[1]Sheet1!$L$7,IF(AND(OR(D18="S. acutus",D18="S. tabernaemontani"),G18&gt;0),E18*[1]Sheet1!$D$8+N18*[1]Sheet1!$E$8,IF(AND(D18="S. californicus",G18&gt;0),E18*[1]Sheet1!$D$9+N18*[1]Sheet1!$E$9,IF(D18="S. maritimus",F18*[1]Sheet1!$C$10+E18*[1]Sheet1!$D$10+G18*[1]Sheet1!$F$10+[1]Sheet1!$L$10,IF(D18="S. americanus",F18*[1]Sheet1!$C$6+E18*[1]Sheet1!$D$6+[1]Sheet1!$L$6,IF(AND(OR(D18="T. domingensis",D18="T. latifolia"),E18&gt;0),F18*[1]Sheet1!$C$4+E18*[1]Sheet1!$D$4+H18*[1]Sheet1!$J$4+I18*[1]Sheet1!$K$4+[1]Sheet1!$L$4,IF(AND(OR(D18="T. domingensis",D18="T. latifolia"),J18&gt;0),J18*[1]Sheet1!$G$5+K18*[1]Sheet1!$H$5+L18*[1]Sheet1!$I$5+[1]Sheet1!$L$5,0)))))))</f>
        <v>15.569771000000003</v>
      </c>
      <c r="P18">
        <f t="shared" si="1"/>
        <v>15.569771000000003</v>
      </c>
      <c r="S18">
        <f t="shared" si="2"/>
        <v>1.8869174937500002</v>
      </c>
    </row>
    <row r="19" spans="1:19">
      <c r="A19" s="5">
        <v>42502</v>
      </c>
      <c r="B19" t="s">
        <v>55</v>
      </c>
      <c r="C19">
        <v>36</v>
      </c>
      <c r="D19" t="s">
        <v>61</v>
      </c>
      <c r="F19" s="6">
        <v>1.5</v>
      </c>
      <c r="J19">
        <f>64+82+105+113+134</f>
        <v>498</v>
      </c>
      <c r="K19">
        <v>5</v>
      </c>
      <c r="L19">
        <v>134</v>
      </c>
      <c r="N19" t="str">
        <f t="shared" si="0"/>
        <v>NA</v>
      </c>
      <c r="O19">
        <f>IF(AND(OR(D19="S. acutus",D19="S. californicus",D19="S. tabernaemontani"),G19=0),E19*[1]Sheet1!$D$7+[1]Sheet1!$L$7,IF(AND(OR(D19="S. acutus",D19="S. tabernaemontani"),G19&gt;0),E19*[1]Sheet1!$D$8+N19*[1]Sheet1!$E$8,IF(AND(D19="S. californicus",G19&gt;0),E19*[1]Sheet1!$D$9+N19*[1]Sheet1!$E$9,IF(D19="S. maritimus",F19*[1]Sheet1!$C$10+E19*[1]Sheet1!$D$10+G19*[1]Sheet1!$F$10+[1]Sheet1!$L$10,IF(D19="S. americanus",F19*[1]Sheet1!$C$6+E19*[1]Sheet1!$D$6+[1]Sheet1!$L$6,IF(AND(OR(D19="T. domingensis",D19="T. latifolia"),E19&gt;0),F19*[1]Sheet1!$C$4+E19*[1]Sheet1!$D$4+H19*[1]Sheet1!$J$4+I19*[1]Sheet1!$K$4+[1]Sheet1!$L$4,IF(AND(OR(D19="T. domingensis",D19="T. latifolia"),J19&gt;0),J19*[1]Sheet1!$G$5+K19*[1]Sheet1!$H$5+L19*[1]Sheet1!$I$5+[1]Sheet1!$L$5,0)))))))</f>
        <v>4.2483789999999999</v>
      </c>
      <c r="P19">
        <f t="shared" si="1"/>
        <v>4.2483789999999999</v>
      </c>
      <c r="S19">
        <f t="shared" si="2"/>
        <v>1.767144375</v>
      </c>
    </row>
    <row r="20" spans="1:19">
      <c r="A20" s="5">
        <v>42502</v>
      </c>
      <c r="B20" t="s">
        <v>55</v>
      </c>
      <c r="C20">
        <v>36</v>
      </c>
      <c r="D20" t="s">
        <v>61</v>
      </c>
      <c r="F20" s="6">
        <v>1.35</v>
      </c>
      <c r="J20">
        <f>59+102+103+135+148</f>
        <v>547</v>
      </c>
      <c r="K20">
        <v>5</v>
      </c>
      <c r="L20">
        <v>148</v>
      </c>
      <c r="N20" t="str">
        <f t="shared" si="0"/>
        <v>NA</v>
      </c>
      <c r="O20">
        <f>IF(AND(OR(D20="S. acutus",D20="S. californicus",D20="S. tabernaemontani"),G20=0),E20*[1]Sheet1!$D$7+[1]Sheet1!$L$7,IF(AND(OR(D20="S. acutus",D20="S. tabernaemontani"),G20&gt;0),E20*[1]Sheet1!$D$8+N20*[1]Sheet1!$E$8,IF(AND(D20="S. californicus",G20&gt;0),E20*[1]Sheet1!$D$9+N20*[1]Sheet1!$E$9,IF(D20="S. maritimus",F20*[1]Sheet1!$C$10+E20*[1]Sheet1!$D$10+G20*[1]Sheet1!$F$10+[1]Sheet1!$L$10,IF(D20="S. americanus",F20*[1]Sheet1!$C$6+E20*[1]Sheet1!$D$6+[1]Sheet1!$L$6,IF(AND(OR(D20="T. domingensis",D20="T. latifolia"),E20&gt;0),F20*[1]Sheet1!$C$4+E20*[1]Sheet1!$D$4+H20*[1]Sheet1!$J$4+I20*[1]Sheet1!$K$4+[1]Sheet1!$L$4,IF(AND(OR(D20="T. domingensis",D20="T. latifolia"),J20&gt;0),J20*[1]Sheet1!$G$5+K20*[1]Sheet1!$H$5+L20*[1]Sheet1!$I$5+[1]Sheet1!$L$5,0)))))))</f>
        <v>4.6249439999999993</v>
      </c>
      <c r="P20">
        <f t="shared" si="1"/>
        <v>4.6249439999999993</v>
      </c>
      <c r="S20">
        <f t="shared" si="2"/>
        <v>1.4313869437500002</v>
      </c>
    </row>
    <row r="21" spans="1:19">
      <c r="A21" s="5">
        <v>42502</v>
      </c>
      <c r="B21" t="s">
        <v>55</v>
      </c>
      <c r="C21">
        <v>36</v>
      </c>
      <c r="D21" t="s">
        <v>61</v>
      </c>
      <c r="F21" s="6">
        <v>1.8</v>
      </c>
      <c r="J21">
        <f>68+113+161+164+200+205</f>
        <v>911</v>
      </c>
      <c r="K21">
        <v>6</v>
      </c>
      <c r="L21">
        <v>205</v>
      </c>
      <c r="N21" t="str">
        <f t="shared" si="0"/>
        <v>NA</v>
      </c>
      <c r="O21">
        <f>IF(AND(OR(D21="S. acutus",D21="S. californicus",D21="S. tabernaemontani"),G21=0),E21*[1]Sheet1!$D$7+[1]Sheet1!$L$7,IF(AND(OR(D21="S. acutus",D21="S. tabernaemontani"),G21&gt;0),E21*[1]Sheet1!$D$8+N21*[1]Sheet1!$E$8,IF(AND(D21="S. californicus",G21&gt;0),E21*[1]Sheet1!$D$9+N21*[1]Sheet1!$E$9,IF(D21="S. maritimus",F21*[1]Sheet1!$C$10+E21*[1]Sheet1!$D$10+G21*[1]Sheet1!$F$10+[1]Sheet1!$L$10,IF(D21="S. americanus",F21*[1]Sheet1!$C$6+E21*[1]Sheet1!$D$6+[1]Sheet1!$L$6,IF(AND(OR(D21="T. domingensis",D21="T. latifolia"),E21&gt;0),F21*[1]Sheet1!$C$4+E21*[1]Sheet1!$D$4+H21*[1]Sheet1!$J$4+I21*[1]Sheet1!$K$4+[1]Sheet1!$L$4,IF(AND(OR(D21="T. domingensis",D21="T. latifolia"),J21&gt;0),J21*[1]Sheet1!$G$5+K21*[1]Sheet1!$H$5+L21*[1]Sheet1!$I$5+[1]Sheet1!$L$5,0)))))))</f>
        <v>14.558446000000011</v>
      </c>
      <c r="P21">
        <f t="shared" si="1"/>
        <v>14.558446000000011</v>
      </c>
      <c r="S21">
        <f t="shared" si="2"/>
        <v>2.5446879</v>
      </c>
    </row>
    <row r="22" spans="1:19">
      <c r="A22" s="5">
        <v>42502</v>
      </c>
      <c r="B22" t="s">
        <v>55</v>
      </c>
      <c r="C22">
        <v>36</v>
      </c>
      <c r="D22" t="s">
        <v>61</v>
      </c>
      <c r="F22" s="6">
        <v>1.37</v>
      </c>
      <c r="J22">
        <f>93+118+122+144</f>
        <v>477</v>
      </c>
      <c r="K22">
        <v>4</v>
      </c>
      <c r="L22">
        <v>144</v>
      </c>
      <c r="N22" t="str">
        <f t="shared" si="0"/>
        <v>NA</v>
      </c>
      <c r="O22">
        <f>IF(AND(OR(D22="S. acutus",D22="S. californicus",D22="S. tabernaemontani"),G22=0),E22*[1]Sheet1!$D$7+[1]Sheet1!$L$7,IF(AND(OR(D22="S. acutus",D22="S. tabernaemontani"),G22&gt;0),E22*[1]Sheet1!$D$8+N22*[1]Sheet1!$E$8,IF(AND(D22="S. californicus",G22&gt;0),E22*[1]Sheet1!$D$9+N22*[1]Sheet1!$E$9,IF(D22="S. maritimus",F22*[1]Sheet1!$C$10+E22*[1]Sheet1!$D$10+G22*[1]Sheet1!$F$10+[1]Sheet1!$L$10,IF(D22="S. americanus",F22*[1]Sheet1!$C$6+E22*[1]Sheet1!$D$6+[1]Sheet1!$L$6,IF(AND(OR(D22="T. domingensis",D22="T. latifolia"),E22&gt;0),F22*[1]Sheet1!$C$4+E22*[1]Sheet1!$D$4+H22*[1]Sheet1!$J$4+I22*[1]Sheet1!$K$4+[1]Sheet1!$L$4,IF(AND(OR(D22="T. domingensis",D22="T. latifolia"),J22&gt;0),J22*[1]Sheet1!$G$5+K22*[1]Sheet1!$H$5+L22*[1]Sheet1!$I$5+[1]Sheet1!$L$5,0)))))))</f>
        <v>6.289427000000007</v>
      </c>
      <c r="P22">
        <f t="shared" si="1"/>
        <v>6.289427000000007</v>
      </c>
      <c r="S22">
        <f t="shared" si="2"/>
        <v>1.4741125677500002</v>
      </c>
    </row>
    <row r="23" spans="1:19">
      <c r="A23" s="5">
        <v>42502</v>
      </c>
      <c r="B23" t="s">
        <v>55</v>
      </c>
      <c r="C23">
        <v>36</v>
      </c>
      <c r="D23" t="s">
        <v>61</v>
      </c>
      <c r="F23" s="6">
        <v>1.1000000000000001</v>
      </c>
      <c r="J23">
        <f>54+89+94</f>
        <v>237</v>
      </c>
      <c r="K23">
        <v>3</v>
      </c>
      <c r="L23">
        <v>94</v>
      </c>
      <c r="N23" t="str">
        <f t="shared" si="0"/>
        <v>NA</v>
      </c>
      <c r="O23">
        <f>IF(AND(OR(D23="S. acutus",D23="S. californicus",D23="S. tabernaemontani"),G23=0),E23*[1]Sheet1!$D$7+[1]Sheet1!$L$7,IF(AND(OR(D23="S. acutus",D23="S. tabernaemontani"),G23&gt;0),E23*[1]Sheet1!$D$8+N23*[1]Sheet1!$E$8,IF(AND(D23="S. californicus",G23&gt;0),E23*[1]Sheet1!$D$9+N23*[1]Sheet1!$E$9,IF(D23="S. maritimus",F23*[1]Sheet1!$C$10+E23*[1]Sheet1!$D$10+G23*[1]Sheet1!$F$10+[1]Sheet1!$L$10,IF(D23="S. americanus",F23*[1]Sheet1!$C$6+E23*[1]Sheet1!$D$6+[1]Sheet1!$L$6,IF(AND(OR(D23="T. domingensis",D23="T. latifolia"),E23&gt;0),F23*[1]Sheet1!$C$4+E23*[1]Sheet1!$D$4+H23*[1]Sheet1!$J$4+I23*[1]Sheet1!$K$4+[1]Sheet1!$L$4,IF(AND(OR(D23="T. domingensis",D23="T. latifolia"),J23&gt;0),J23*[1]Sheet1!$G$5+K23*[1]Sheet1!$H$5+L23*[1]Sheet1!$I$5+[1]Sheet1!$L$5,0)))))))</f>
        <v>5.8728299999999969</v>
      </c>
      <c r="P23">
        <f t="shared" si="1"/>
        <v>5.8728299999999969</v>
      </c>
      <c r="S23">
        <f t="shared" si="2"/>
        <v>0.95033097500000008</v>
      </c>
    </row>
    <row r="24" spans="1:19">
      <c r="A24" s="5">
        <v>42502</v>
      </c>
      <c r="B24" t="s">
        <v>55</v>
      </c>
      <c r="C24">
        <v>36</v>
      </c>
      <c r="D24" t="s">
        <v>61</v>
      </c>
      <c r="F24" s="6">
        <v>1.17</v>
      </c>
      <c r="J24">
        <f>46+83+97+131+136</f>
        <v>493</v>
      </c>
      <c r="K24">
        <v>5</v>
      </c>
      <c r="L24">
        <v>136</v>
      </c>
      <c r="N24" t="str">
        <f t="shared" si="0"/>
        <v>NA</v>
      </c>
      <c r="O24">
        <f>IF(AND(OR(D24="S. acutus",D24="S. californicus",D24="S. tabernaemontani"),G24=0),E24*[1]Sheet1!$D$7+[1]Sheet1!$L$7,IF(AND(OR(D24="S. acutus",D24="S. tabernaemontani"),G24&gt;0),E24*[1]Sheet1!$D$8+N24*[1]Sheet1!$E$8,IF(AND(D24="S. californicus",G24&gt;0),E24*[1]Sheet1!$D$9+N24*[1]Sheet1!$E$9,IF(D24="S. maritimus",F24*[1]Sheet1!$C$10+E24*[1]Sheet1!$D$10+G24*[1]Sheet1!$F$10+[1]Sheet1!$L$10,IF(D24="S. americanus",F24*[1]Sheet1!$C$6+E24*[1]Sheet1!$D$6+[1]Sheet1!$L$6,IF(AND(OR(D24="T. domingensis",D24="T. latifolia"),E24&gt;0),F24*[1]Sheet1!$C$4+E24*[1]Sheet1!$D$4+H24*[1]Sheet1!$J$4+I24*[1]Sheet1!$K$4+[1]Sheet1!$L$4,IF(AND(OR(D24="T. domingensis",D24="T. latifolia"),J24&gt;0),J24*[1]Sheet1!$G$5+K24*[1]Sheet1!$H$5+L24*[1]Sheet1!$I$5+[1]Sheet1!$L$5,0)))))))</f>
        <v>3.1771140000000031</v>
      </c>
      <c r="P24">
        <f t="shared" si="1"/>
        <v>3.1771140000000031</v>
      </c>
      <c r="S24">
        <f t="shared" si="2"/>
        <v>1.0751306377499998</v>
      </c>
    </row>
    <row r="25" spans="1:19">
      <c r="A25" s="5">
        <v>42502</v>
      </c>
      <c r="B25" t="s">
        <v>55</v>
      </c>
      <c r="C25">
        <v>36</v>
      </c>
      <c r="D25" t="s">
        <v>61</v>
      </c>
      <c r="F25" s="6">
        <v>1.68</v>
      </c>
      <c r="J25">
        <f>54+80+114+149+154+176</f>
        <v>727</v>
      </c>
      <c r="K25">
        <v>6</v>
      </c>
      <c r="L25">
        <v>176</v>
      </c>
      <c r="N25" t="str">
        <f t="shared" si="0"/>
        <v>NA</v>
      </c>
      <c r="O25">
        <f>IF(AND(OR(D25="S. acutus",D25="S. californicus",D25="S. tabernaemontani"),G25=0),E25*[1]Sheet1!$D$7+[1]Sheet1!$L$7,IF(AND(OR(D25="S. acutus",D25="S. tabernaemontani"),G25&gt;0),E25*[1]Sheet1!$D$8+N25*[1]Sheet1!$E$8,IF(AND(D25="S. californicus",G25&gt;0),E25*[1]Sheet1!$D$9+N25*[1]Sheet1!$E$9,IF(D25="S. maritimus",F25*[1]Sheet1!$C$10+E25*[1]Sheet1!$D$10+G25*[1]Sheet1!$F$10+[1]Sheet1!$L$10,IF(D25="S. americanus",F25*[1]Sheet1!$C$6+E25*[1]Sheet1!$D$6+[1]Sheet1!$L$6,IF(AND(OR(D25="T. domingensis",D25="T. latifolia"),E25&gt;0),F25*[1]Sheet1!$C$4+E25*[1]Sheet1!$D$4+H25*[1]Sheet1!$J$4+I25*[1]Sheet1!$K$4+[1]Sheet1!$L$4,IF(AND(OR(D25="T. domingensis",D25="T. latifolia"),J25&gt;0),J25*[1]Sheet1!$G$5+K25*[1]Sheet1!$H$5+L25*[1]Sheet1!$I$5+[1]Sheet1!$L$5,0)))))))</f>
        <v>6.0436309999999978</v>
      </c>
      <c r="P25">
        <f t="shared" si="1"/>
        <v>6.0436309999999978</v>
      </c>
      <c r="S25">
        <f t="shared" si="2"/>
        <v>2.2167059039999994</v>
      </c>
    </row>
    <row r="26" spans="1:19">
      <c r="A26" s="5">
        <v>42502</v>
      </c>
      <c r="B26" t="s">
        <v>55</v>
      </c>
      <c r="C26">
        <v>36</v>
      </c>
      <c r="D26" t="s">
        <v>61</v>
      </c>
      <c r="F26" s="6">
        <v>0.7</v>
      </c>
      <c r="J26">
        <f>24+24+42+91</f>
        <v>181</v>
      </c>
      <c r="K26">
        <v>4</v>
      </c>
      <c r="L26">
        <v>91</v>
      </c>
      <c r="N26" t="str">
        <f t="shared" si="0"/>
        <v>NA</v>
      </c>
      <c r="O26">
        <f>IF(AND(OR(D26="S. acutus",D26="S. californicus",D26="S. tabernaemontani"),G26=0),E26*[1]Sheet1!$D$7+[1]Sheet1!$L$7,IF(AND(OR(D26="S. acutus",D26="S. tabernaemontani"),G26&gt;0),E26*[1]Sheet1!$D$8+N26*[1]Sheet1!$E$8,IF(AND(D26="S. californicus",G26&gt;0),E26*[1]Sheet1!$D$9+N26*[1]Sheet1!$E$9,IF(D26="S. maritimus",F26*[1]Sheet1!$C$10+E26*[1]Sheet1!$D$10+G26*[1]Sheet1!$F$10+[1]Sheet1!$L$10,IF(D26="S. americanus",F26*[1]Sheet1!$C$6+E26*[1]Sheet1!$D$6+[1]Sheet1!$L$6,IF(AND(OR(D26="T. domingensis",D26="T. latifolia"),E26&gt;0),F26*[1]Sheet1!$C$4+E26*[1]Sheet1!$D$4+H26*[1]Sheet1!$J$4+I26*[1]Sheet1!$K$4+[1]Sheet1!$L$4,IF(AND(OR(D26="T. domingensis",D26="T. latifolia"),J26&gt;0),J26*[1]Sheet1!$G$5+K26*[1]Sheet1!$H$5+L26*[1]Sheet1!$I$5+[1]Sheet1!$L$5,0)))))))</f>
        <v>-5.4960680000000011</v>
      </c>
      <c r="P26" t="str">
        <f t="shared" si="1"/>
        <v xml:space="preserve"> </v>
      </c>
      <c r="S26">
        <f t="shared" si="2"/>
        <v>0.38484477499999992</v>
      </c>
    </row>
    <row r="27" spans="1:19">
      <c r="A27" s="5">
        <v>42502</v>
      </c>
      <c r="B27" t="s">
        <v>55</v>
      </c>
      <c r="C27">
        <v>36</v>
      </c>
      <c r="D27" t="s">
        <v>61</v>
      </c>
      <c r="F27" s="6">
        <v>1.1499999999999999</v>
      </c>
      <c r="J27">
        <f>70+105</f>
        <v>175</v>
      </c>
      <c r="K27">
        <v>2</v>
      </c>
      <c r="L27">
        <v>105</v>
      </c>
      <c r="N27" t="str">
        <f t="shared" si="0"/>
        <v>NA</v>
      </c>
      <c r="O27">
        <f>IF(AND(OR(D27="S. acutus",D27="S. californicus",D27="S. tabernaemontani"),G27=0),E27*[1]Sheet1!$D$7+[1]Sheet1!$L$7,IF(AND(OR(D27="S. acutus",D27="S. tabernaemontani"),G27&gt;0),E27*[1]Sheet1!$D$8+N27*[1]Sheet1!$E$8,IF(AND(D27="S. californicus",G27&gt;0),E27*[1]Sheet1!$D$9+N27*[1]Sheet1!$E$9,IF(D27="S. maritimus",F27*[1]Sheet1!$C$10+E27*[1]Sheet1!$D$10+G27*[1]Sheet1!$F$10+[1]Sheet1!$L$10,IF(D27="S. americanus",F27*[1]Sheet1!$C$6+E27*[1]Sheet1!$D$6+[1]Sheet1!$L$6,IF(AND(OR(D27="T. domingensis",D27="T. latifolia"),E27&gt;0),F27*[1]Sheet1!$C$4+E27*[1]Sheet1!$D$4+H27*[1]Sheet1!$J$4+I27*[1]Sheet1!$K$4+[1]Sheet1!$L$4,IF(AND(OR(D27="T. domingensis",D27="T. latifolia"),J27&gt;0),J27*[1]Sheet1!$G$5+K27*[1]Sheet1!$H$5+L27*[1]Sheet1!$I$5+[1]Sheet1!$L$5,0)))))))</f>
        <v>3.7686780000000013</v>
      </c>
      <c r="P27">
        <f t="shared" si="1"/>
        <v>3.7686780000000013</v>
      </c>
      <c r="S27">
        <f t="shared" si="2"/>
        <v>1.0386881937499999</v>
      </c>
    </row>
    <row r="28" spans="1:19">
      <c r="A28" s="5">
        <v>42502</v>
      </c>
      <c r="B28" t="s">
        <v>55</v>
      </c>
      <c r="C28">
        <v>36</v>
      </c>
      <c r="D28" t="s">
        <v>61</v>
      </c>
      <c r="F28" s="6">
        <v>1.45</v>
      </c>
      <c r="J28">
        <f>90+118</f>
        <v>208</v>
      </c>
      <c r="K28">
        <f>2</f>
        <v>2</v>
      </c>
      <c r="L28">
        <v>118</v>
      </c>
      <c r="N28" t="str">
        <f t="shared" si="0"/>
        <v>NA</v>
      </c>
      <c r="O28">
        <f>IF(AND(OR(D28="S. acutus",D28="S. californicus",D28="S. tabernaemontani"),G28=0),E28*[1]Sheet1!$D$7+[1]Sheet1!$L$7,IF(AND(OR(D28="S. acutus",D28="S. tabernaemontani"),G28&gt;0),E28*[1]Sheet1!$D$8+N28*[1]Sheet1!$E$8,IF(AND(D28="S. californicus",G28&gt;0),E28*[1]Sheet1!$D$9+N28*[1]Sheet1!$E$9,IF(D28="S. maritimus",F28*[1]Sheet1!$C$10+E28*[1]Sheet1!$D$10+G28*[1]Sheet1!$F$10+[1]Sheet1!$L$10,IF(D28="S. americanus",F28*[1]Sheet1!$C$6+E28*[1]Sheet1!$D$6+[1]Sheet1!$L$6,IF(AND(OR(D28="T. domingensis",D28="T. latifolia"),E28&gt;0),F28*[1]Sheet1!$C$4+E28*[1]Sheet1!$D$4+H28*[1]Sheet1!$J$4+I28*[1]Sheet1!$K$4+[1]Sheet1!$L$4,IF(AND(OR(D28="T. domingensis",D28="T. latifolia"),J28&gt;0),J28*[1]Sheet1!$G$5+K28*[1]Sheet1!$H$5+L28*[1]Sheet1!$I$5+[1]Sheet1!$L$5,0)))))))</f>
        <v>2.9464079999999981</v>
      </c>
      <c r="P28">
        <f t="shared" si="1"/>
        <v>2.9464079999999981</v>
      </c>
      <c r="S28">
        <f t="shared" si="2"/>
        <v>1.6512982437499999</v>
      </c>
    </row>
    <row r="29" spans="1:19">
      <c r="A29" s="5">
        <v>42502</v>
      </c>
      <c r="B29" t="s">
        <v>55</v>
      </c>
      <c r="C29">
        <v>36</v>
      </c>
      <c r="D29" t="s">
        <v>61</v>
      </c>
      <c r="F29" s="6">
        <v>0.67</v>
      </c>
      <c r="J29">
        <f>33+36+36</f>
        <v>105</v>
      </c>
      <c r="K29">
        <v>3</v>
      </c>
      <c r="L29">
        <v>36</v>
      </c>
      <c r="N29" t="str">
        <f t="shared" si="0"/>
        <v>NA</v>
      </c>
      <c r="O29">
        <f>IF(AND(OR(D29="S. acutus",D29="S. californicus",D29="S. tabernaemontani"),G29=0),E29*[1]Sheet1!$D$7+[1]Sheet1!$L$7,IF(AND(OR(D29="S. acutus",D29="S. tabernaemontani"),G29&gt;0),E29*[1]Sheet1!$D$8+N29*[1]Sheet1!$E$8,IF(AND(D29="S. californicus",G29&gt;0),E29*[1]Sheet1!$D$9+N29*[1]Sheet1!$E$9,IF(D29="S. maritimus",F29*[1]Sheet1!$C$10+E29*[1]Sheet1!$D$10+G29*[1]Sheet1!$F$10+[1]Sheet1!$L$10,IF(D29="S. americanus",F29*[1]Sheet1!$C$6+E29*[1]Sheet1!$D$6+[1]Sheet1!$L$6,IF(AND(OR(D29="T. domingensis",D29="T. latifolia"),E29&gt;0),F29*[1]Sheet1!$C$4+E29*[1]Sheet1!$D$4+H29*[1]Sheet1!$J$4+I29*[1]Sheet1!$K$4+[1]Sheet1!$L$4,IF(AND(OR(D29="T. domingensis",D29="T. latifolia"),J29&gt;0),J29*[1]Sheet1!$G$5+K29*[1]Sheet1!$H$5+L29*[1]Sheet1!$I$5+[1]Sheet1!$L$5,0)))))))</f>
        <v>10.969379999999997</v>
      </c>
      <c r="P29">
        <f t="shared" si="1"/>
        <v>10.969379999999997</v>
      </c>
      <c r="S29">
        <f t="shared" si="2"/>
        <v>0.35256493775000003</v>
      </c>
    </row>
    <row r="30" spans="1:19">
      <c r="A30" s="5">
        <v>42502</v>
      </c>
      <c r="B30" t="s">
        <v>55</v>
      </c>
      <c r="C30">
        <v>36</v>
      </c>
      <c r="D30" t="s">
        <v>61</v>
      </c>
      <c r="F30" s="6">
        <v>1.35</v>
      </c>
      <c r="J30">
        <f>81+114+141+133+149+159</f>
        <v>777</v>
      </c>
      <c r="K30">
        <v>6</v>
      </c>
      <c r="L30">
        <v>159</v>
      </c>
      <c r="N30" t="str">
        <f t="shared" si="0"/>
        <v>NA</v>
      </c>
      <c r="O30">
        <f>IF(AND(OR(D30="S. acutus",D30="S. californicus",D30="S. tabernaemontani"),G30=0),E30*[1]Sheet1!$D$7+[1]Sheet1!$L$7,IF(AND(OR(D30="S. acutus",D30="S. tabernaemontani"),G30&gt;0),E30*[1]Sheet1!$D$8+N30*[1]Sheet1!$E$8,IF(AND(D30="S. californicus",G30&gt;0),E30*[1]Sheet1!$D$9+N30*[1]Sheet1!$E$9,IF(D30="S. maritimus",F30*[1]Sheet1!$C$10+E30*[1]Sheet1!$D$10+G30*[1]Sheet1!$F$10+[1]Sheet1!$L$10,IF(D30="S. americanus",F30*[1]Sheet1!$C$6+E30*[1]Sheet1!$D$6+[1]Sheet1!$L$6,IF(AND(OR(D30="T. domingensis",D30="T. latifolia"),E30&gt;0),F30*[1]Sheet1!$C$4+E30*[1]Sheet1!$D$4+H30*[1]Sheet1!$J$4+I30*[1]Sheet1!$K$4+[1]Sheet1!$L$4,IF(AND(OR(D30="T. domingensis",D30="T. latifolia"),J30&gt;0),J30*[1]Sheet1!$G$5+K30*[1]Sheet1!$H$5+L30*[1]Sheet1!$I$5+[1]Sheet1!$L$5,0)))))))</f>
        <v>15.852545999999997</v>
      </c>
      <c r="P30">
        <f t="shared" si="1"/>
        <v>15.852545999999997</v>
      </c>
      <c r="S30">
        <f t="shared" si="2"/>
        <v>1.4313869437500002</v>
      </c>
    </row>
    <row r="31" spans="1:19">
      <c r="A31" s="5">
        <v>42502</v>
      </c>
      <c r="B31" t="s">
        <v>55</v>
      </c>
      <c r="C31">
        <v>36</v>
      </c>
      <c r="D31" t="s">
        <v>61</v>
      </c>
      <c r="F31" s="6">
        <v>2.84</v>
      </c>
      <c r="J31">
        <f>62+66+122+126+179+182</f>
        <v>737</v>
      </c>
      <c r="K31">
        <v>6</v>
      </c>
      <c r="L31">
        <v>182</v>
      </c>
      <c r="N31" t="str">
        <f t="shared" si="0"/>
        <v>NA</v>
      </c>
      <c r="O31">
        <f>IF(AND(OR(D31="S. acutus",D31="S. californicus",D31="S. tabernaemontani"),G31=0),E31*[1]Sheet1!$D$7+[1]Sheet1!$L$7,IF(AND(OR(D31="S. acutus",D31="S. tabernaemontani"),G31&gt;0),E31*[1]Sheet1!$D$8+N31*[1]Sheet1!$E$8,IF(AND(D31="S. californicus",G31&gt;0),E31*[1]Sheet1!$D$9+N31*[1]Sheet1!$E$9,IF(D31="S. maritimus",F31*[1]Sheet1!$C$10+E31*[1]Sheet1!$D$10+G31*[1]Sheet1!$F$10+[1]Sheet1!$L$10,IF(D31="S. americanus",F31*[1]Sheet1!$C$6+E31*[1]Sheet1!$D$6+[1]Sheet1!$L$6,IF(AND(OR(D31="T. domingensis",D31="T. latifolia"),E31&gt;0),F31*[1]Sheet1!$C$4+E31*[1]Sheet1!$D$4+H31*[1]Sheet1!$J$4+I31*[1]Sheet1!$K$4+[1]Sheet1!$L$4,IF(AND(OR(D31="T. domingensis",D31="T. latifolia"),J31&gt;0),J31*[1]Sheet1!$G$5+K31*[1]Sheet1!$H$5+L31*[1]Sheet1!$I$5+[1]Sheet1!$L$5,0)))))))</f>
        <v>5.1737110000000044</v>
      </c>
      <c r="P31">
        <f t="shared" si="1"/>
        <v>5.1737110000000044</v>
      </c>
      <c r="S31">
        <f t="shared" si="2"/>
        <v>6.3347020759999992</v>
      </c>
    </row>
    <row r="32" spans="1:19">
      <c r="A32" s="5">
        <v>42502</v>
      </c>
      <c r="B32" t="s">
        <v>55</v>
      </c>
      <c r="C32">
        <v>36</v>
      </c>
      <c r="D32" t="s">
        <v>61</v>
      </c>
      <c r="F32" s="6">
        <v>0.73</v>
      </c>
      <c r="J32">
        <f>21+44+64+65</f>
        <v>194</v>
      </c>
      <c r="K32">
        <v>4</v>
      </c>
      <c r="L32">
        <v>65</v>
      </c>
      <c r="N32" t="str">
        <f t="shared" si="0"/>
        <v>NA</v>
      </c>
      <c r="O32">
        <f>IF(AND(OR(D32="S. acutus",D32="S. californicus",D32="S. tabernaemontani"),G32=0),E32*[1]Sheet1!$D$7+[1]Sheet1!$L$7,IF(AND(OR(D32="S. acutus",D32="S. tabernaemontani"),G32&gt;0),E32*[1]Sheet1!$D$8+N32*[1]Sheet1!$E$8,IF(AND(D32="S. californicus",G32&gt;0),E32*[1]Sheet1!$D$9+N32*[1]Sheet1!$E$9,IF(D32="S. maritimus",F32*[1]Sheet1!$C$10+E32*[1]Sheet1!$D$10+G32*[1]Sheet1!$F$10+[1]Sheet1!$L$10,IF(D32="S. americanus",F32*[1]Sheet1!$C$6+E32*[1]Sheet1!$D$6+[1]Sheet1!$L$6,IF(AND(OR(D32="T. domingensis",D32="T. latifolia"),E32&gt;0),F32*[1]Sheet1!$C$4+E32*[1]Sheet1!$D$4+H32*[1]Sheet1!$J$4+I32*[1]Sheet1!$K$4+[1]Sheet1!$L$4,IF(AND(OR(D32="T. domingensis",D32="T. latifolia"),J32&gt;0),J32*[1]Sheet1!$G$5+K32*[1]Sheet1!$H$5+L32*[1]Sheet1!$I$5+[1]Sheet1!$L$5,0)))))))</f>
        <v>3.5551169999999992</v>
      </c>
      <c r="P32">
        <f t="shared" si="1"/>
        <v>3.5551169999999992</v>
      </c>
      <c r="S32">
        <f t="shared" si="2"/>
        <v>0.41853832774999994</v>
      </c>
    </row>
    <row r="33" spans="1:19">
      <c r="A33" s="5">
        <v>42502</v>
      </c>
      <c r="B33" t="s">
        <v>55</v>
      </c>
      <c r="C33">
        <v>36</v>
      </c>
      <c r="D33" t="s">
        <v>61</v>
      </c>
      <c r="F33" s="6">
        <v>1.52</v>
      </c>
      <c r="J33">
        <f>111+116+151+153+188+193</f>
        <v>912</v>
      </c>
      <c r="K33">
        <v>6</v>
      </c>
      <c r="L33">
        <v>193</v>
      </c>
      <c r="N33" t="str">
        <f t="shared" si="0"/>
        <v>NA</v>
      </c>
      <c r="O33">
        <f>IF(AND(OR(D33="S. acutus",D33="S. californicus",D33="S. tabernaemontani"),G33=0),E33*[1]Sheet1!$D$7+[1]Sheet1!$L$7,IF(AND(OR(D33="S. acutus",D33="S. tabernaemontani"),G33&gt;0),E33*[1]Sheet1!$D$8+N33*[1]Sheet1!$E$8,IF(AND(D33="S. californicus",G33&gt;0),E33*[1]Sheet1!$D$9+N33*[1]Sheet1!$E$9,IF(D33="S. maritimus",F33*[1]Sheet1!$C$10+E33*[1]Sheet1!$D$10+G33*[1]Sheet1!$F$10+[1]Sheet1!$L$10,IF(D33="S. americanus",F33*[1]Sheet1!$C$6+E33*[1]Sheet1!$D$6+[1]Sheet1!$L$6,IF(AND(OR(D33="T. domingensis",D33="T. latifolia"),E33&gt;0),F33*[1]Sheet1!$C$4+E33*[1]Sheet1!$D$4+H33*[1]Sheet1!$J$4+I33*[1]Sheet1!$K$4+[1]Sheet1!$L$4,IF(AND(OR(D33="T. domingensis",D33="T. latifolia"),J33&gt;0),J33*[1]Sheet1!$G$5+K33*[1]Sheet1!$H$5+L33*[1]Sheet1!$I$5+[1]Sheet1!$L$5,0)))))))</f>
        <v>18.267140999999995</v>
      </c>
      <c r="P33">
        <f t="shared" si="1"/>
        <v>18.267140999999995</v>
      </c>
      <c r="S33">
        <f t="shared" si="2"/>
        <v>1.8145823839999999</v>
      </c>
    </row>
    <row r="34" spans="1:19">
      <c r="A34" s="5">
        <v>42502</v>
      </c>
      <c r="B34" t="s">
        <v>55</v>
      </c>
      <c r="C34">
        <v>36</v>
      </c>
      <c r="D34" t="s">
        <v>61</v>
      </c>
      <c r="F34" s="6">
        <v>1.34</v>
      </c>
      <c r="J34">
        <f>114+117+151+163+179</f>
        <v>724</v>
      </c>
      <c r="K34">
        <v>5</v>
      </c>
      <c r="L34">
        <v>79</v>
      </c>
      <c r="N34" t="str">
        <f t="shared" si="0"/>
        <v>NA</v>
      </c>
      <c r="O34">
        <f>IF(AND(OR(D34="S. acutus",D34="S. californicus",D34="S. tabernaemontani"),G34=0),E34*[1]Sheet1!$D$7+[1]Sheet1!$L$7,IF(AND(OR(D34="S. acutus",D34="S. tabernaemontani"),G34&gt;0),E34*[1]Sheet1!$D$8+N34*[1]Sheet1!$E$8,IF(AND(D34="S. californicus",G34&gt;0),E34*[1]Sheet1!$D$9+N34*[1]Sheet1!$E$9,IF(D34="S. maritimus",F34*[1]Sheet1!$C$10+E34*[1]Sheet1!$D$10+G34*[1]Sheet1!$F$10+[1]Sheet1!$L$10,IF(D34="S. americanus",F34*[1]Sheet1!$C$6+E34*[1]Sheet1!$D$6+[1]Sheet1!$L$6,IF(AND(OR(D34="T. domingensis",D34="T. latifolia"),E34&gt;0),F34*[1]Sheet1!$C$4+E34*[1]Sheet1!$D$4+H34*[1]Sheet1!$J$4+I34*[1]Sheet1!$K$4+[1]Sheet1!$L$4,IF(AND(OR(D34="T. domingensis",D34="T. latifolia"),J34&gt;0),J34*[1]Sheet1!$G$5+K34*[1]Sheet1!$H$5+L34*[1]Sheet1!$I$5+[1]Sheet1!$L$5,0)))))))</f>
        <v>42.005483999999996</v>
      </c>
      <c r="P34">
        <f t="shared" si="1"/>
        <v>42.005483999999996</v>
      </c>
      <c r="S34">
        <f t="shared" si="2"/>
        <v>1.4102597510000001</v>
      </c>
    </row>
    <row r="35" spans="1:19">
      <c r="A35" s="5">
        <v>42502</v>
      </c>
      <c r="B35" t="s">
        <v>55</v>
      </c>
      <c r="C35">
        <v>36</v>
      </c>
      <c r="D35" t="s">
        <v>61</v>
      </c>
      <c r="F35" s="6">
        <v>0.85</v>
      </c>
      <c r="J35">
        <f>53+79+110</f>
        <v>242</v>
      </c>
      <c r="K35">
        <v>3</v>
      </c>
      <c r="L35">
        <v>110</v>
      </c>
      <c r="N35" t="str">
        <f t="shared" si="0"/>
        <v>NA</v>
      </c>
      <c r="O35">
        <f>IF(AND(OR(D35="S. acutus",D35="S. californicus",D35="S. tabernaemontani"),G35=0),E35*[1]Sheet1!$D$7+[1]Sheet1!$L$7,IF(AND(OR(D35="S. acutus",D35="S. tabernaemontani"),G35&gt;0),E35*[1]Sheet1!$D$8+N35*[1]Sheet1!$E$8,IF(AND(D35="S. californicus",G35&gt;0),E35*[1]Sheet1!$D$9+N35*[1]Sheet1!$E$9,IF(D35="S. maritimus",F35*[1]Sheet1!$C$10+E35*[1]Sheet1!$D$10+G35*[1]Sheet1!$F$10+[1]Sheet1!$L$10,IF(D35="S. americanus",F35*[1]Sheet1!$C$6+E35*[1]Sheet1!$D$6+[1]Sheet1!$L$6,IF(AND(OR(D35="T. domingensis",D35="T. latifolia"),E35&gt;0),F35*[1]Sheet1!$C$4+E35*[1]Sheet1!$D$4+H35*[1]Sheet1!$J$4+I35*[1]Sheet1!$K$4+[1]Sheet1!$L$4,IF(AND(OR(D35="T. domingensis",D35="T. latifolia"),J35&gt;0),J35*[1]Sheet1!$G$5+K35*[1]Sheet1!$H$5+L35*[1]Sheet1!$I$5+[1]Sheet1!$L$5,0)))))))</f>
        <v>1.521684999999998</v>
      </c>
      <c r="P35">
        <f t="shared" si="1"/>
        <v>1.521684999999998</v>
      </c>
      <c r="S35">
        <f t="shared" si="2"/>
        <v>0.56744969374999987</v>
      </c>
    </row>
    <row r="36" spans="1:19">
      <c r="A36" s="5">
        <v>42502</v>
      </c>
      <c r="B36" t="s">
        <v>55</v>
      </c>
      <c r="C36">
        <v>36</v>
      </c>
      <c r="D36" t="s">
        <v>61</v>
      </c>
      <c r="F36" s="6">
        <v>2.31</v>
      </c>
      <c r="J36">
        <f>98+123+142+156+182+199+211</f>
        <v>1111</v>
      </c>
      <c r="K36">
        <v>7</v>
      </c>
      <c r="L36">
        <v>211</v>
      </c>
      <c r="N36" t="str">
        <f t="shared" si="0"/>
        <v>NA</v>
      </c>
      <c r="O36">
        <f>IF(AND(OR(D36="S. acutus",D36="S. californicus",D36="S. tabernaemontani"),G36=0),E36*[1]Sheet1!$D$7+[1]Sheet1!$L$7,IF(AND(OR(D36="S. acutus",D36="S. tabernaemontani"),G36&gt;0),E36*[1]Sheet1!$D$8+N36*[1]Sheet1!$E$8,IF(AND(D36="S. californicus",G36&gt;0),E36*[1]Sheet1!$D$9+N36*[1]Sheet1!$E$9,IF(D36="S. maritimus",F36*[1]Sheet1!$C$10+E36*[1]Sheet1!$D$10+G36*[1]Sheet1!$F$10+[1]Sheet1!$L$10,IF(D36="S. americanus",F36*[1]Sheet1!$C$6+E36*[1]Sheet1!$D$6+[1]Sheet1!$L$6,IF(AND(OR(D36="T. domingensis",D36="T. latifolia"),E36&gt;0),F36*[1]Sheet1!$C$4+E36*[1]Sheet1!$D$4+H36*[1]Sheet1!$J$4+I36*[1]Sheet1!$K$4+[1]Sheet1!$L$4,IF(AND(OR(D36="T. domingensis",D36="T. latifolia"),J36&gt;0),J36*[1]Sheet1!$G$5+K36*[1]Sheet1!$H$5+L36*[1]Sheet1!$I$5+[1]Sheet1!$L$5,0)))))))</f>
        <v>24.479623000000004</v>
      </c>
      <c r="P36">
        <f t="shared" si="1"/>
        <v>24.479623000000004</v>
      </c>
      <c r="S36">
        <f t="shared" si="2"/>
        <v>4.1909595997500002</v>
      </c>
    </row>
    <row r="37" spans="1:19">
      <c r="A37" s="5">
        <v>42502</v>
      </c>
      <c r="B37" t="s">
        <v>55</v>
      </c>
      <c r="C37">
        <v>36</v>
      </c>
      <c r="D37" t="s">
        <v>61</v>
      </c>
      <c r="F37" s="6">
        <v>0.74</v>
      </c>
      <c r="J37">
        <f>35+47+72+87</f>
        <v>241</v>
      </c>
      <c r="K37">
        <v>4</v>
      </c>
      <c r="L37">
        <v>87</v>
      </c>
      <c r="N37" t="str">
        <f t="shared" si="0"/>
        <v>NA</v>
      </c>
      <c r="O37">
        <f>IF(AND(OR(D37="S. acutus",D37="S. californicus",D37="S. tabernaemontani"),G37=0),E37*[1]Sheet1!$D$7+[1]Sheet1!$L$7,IF(AND(OR(D37="S. acutus",D37="S. tabernaemontani"),G37&gt;0),E37*[1]Sheet1!$D$8+N37*[1]Sheet1!$E$8,IF(AND(D37="S. californicus",G37&gt;0),E37*[1]Sheet1!$D$9+N37*[1]Sheet1!$E$9,IF(D37="S. maritimus",F37*[1]Sheet1!$C$10+E37*[1]Sheet1!$D$10+G37*[1]Sheet1!$F$10+[1]Sheet1!$L$10,IF(D37="S. americanus",F37*[1]Sheet1!$C$6+E37*[1]Sheet1!$D$6+[1]Sheet1!$L$6,IF(AND(OR(D37="T. domingensis",D37="T. latifolia"),E37&gt;0),F37*[1]Sheet1!$C$4+E37*[1]Sheet1!$D$4+H37*[1]Sheet1!$J$4+I37*[1]Sheet1!$K$4+[1]Sheet1!$L$4,IF(AND(OR(D37="T. domingensis",D37="T. latifolia"),J37&gt;0),J37*[1]Sheet1!$G$5+K37*[1]Sheet1!$H$5+L37*[1]Sheet1!$I$5+[1]Sheet1!$L$5,0)))))))</f>
        <v>1.3342120000000008</v>
      </c>
      <c r="P37">
        <f t="shared" si="1"/>
        <v>1.3342120000000008</v>
      </c>
      <c r="S37">
        <f t="shared" si="2"/>
        <v>0.43008367099999995</v>
      </c>
    </row>
    <row r="38" spans="1:19">
      <c r="A38" s="5">
        <v>42502</v>
      </c>
      <c r="B38" t="s">
        <v>55</v>
      </c>
      <c r="C38">
        <v>20</v>
      </c>
      <c r="D38" t="s">
        <v>63</v>
      </c>
      <c r="E38">
        <v>368</v>
      </c>
      <c r="F38" s="6">
        <v>1.54</v>
      </c>
      <c r="G38">
        <v>4</v>
      </c>
      <c r="N38">
        <f t="shared" si="0"/>
        <v>228.48490854933328</v>
      </c>
      <c r="O38">
        <f>IF(AND(OR(D38="S. acutus",D38="S. californicus",D38="S. tabernaemontani"),G38=0),E38*[1]Sheet1!$D$7+[1]Sheet1!$L$7,IF(AND(OR(D38="S. acutus",D38="S. tabernaemontani"),G38&gt;0),E38*[1]Sheet1!$D$8+N38*[1]Sheet1!$E$8,IF(AND(D38="S. californicus",G38&gt;0),E38*[1]Sheet1!$D$9+N38*[1]Sheet1!$E$9,IF(D38="S. maritimus",F38*[1]Sheet1!$C$10+E38*[1]Sheet1!$D$10+G38*[1]Sheet1!$F$10+[1]Sheet1!$L$10,IF(D38="S. americanus",F38*[1]Sheet1!$C$6+E38*[1]Sheet1!$D$6+[1]Sheet1!$L$6,IF(AND(OR(D38="T. domingensis",D38="T. latifolia"),E38&gt;0),F38*[1]Sheet1!$C$4+E38*[1]Sheet1!$D$4+H38*[1]Sheet1!$J$4+I38*[1]Sheet1!$K$4+[1]Sheet1!$L$4,IF(AND(OR(D38="T. domingensis",D38="T. latifolia"),J38&gt;0),J38*[1]Sheet1!$G$5+K38*[1]Sheet1!$H$5+L38*[1]Sheet1!$I$5+[1]Sheet1!$L$5,0)))))))</f>
        <v>21.528032491706227</v>
      </c>
      <c r="P38">
        <f t="shared" si="1"/>
        <v>21.528032491706227</v>
      </c>
      <c r="S38">
        <f t="shared" si="2"/>
        <v>1.8626487109999998</v>
      </c>
    </row>
    <row r="39" spans="1:19">
      <c r="A39" s="5">
        <v>42502</v>
      </c>
      <c r="B39" t="s">
        <v>55</v>
      </c>
      <c r="C39">
        <v>20</v>
      </c>
      <c r="D39" t="s">
        <v>63</v>
      </c>
      <c r="E39">
        <v>271</v>
      </c>
      <c r="F39" s="6">
        <v>1.6</v>
      </c>
      <c r="G39">
        <v>5</v>
      </c>
      <c r="N39">
        <f t="shared" si="0"/>
        <v>181.62578986666668</v>
      </c>
      <c r="O39">
        <f>IF(AND(OR(D39="S. acutus",D39="S. californicus",D39="S. tabernaemontani"),G39=0),E39*[1]Sheet1!$D$7+[1]Sheet1!$L$7,IF(AND(OR(D39="S. acutus",D39="S. tabernaemontani"),G39&gt;0),E39*[1]Sheet1!$D$8+N39*[1]Sheet1!$E$8,IF(AND(D39="S. californicus",G39&gt;0),E39*[1]Sheet1!$D$9+N39*[1]Sheet1!$E$9,IF(D39="S. maritimus",F39*[1]Sheet1!$C$10+E39*[1]Sheet1!$D$10+G39*[1]Sheet1!$F$10+[1]Sheet1!$L$10,IF(D39="S. americanus",F39*[1]Sheet1!$C$6+E39*[1]Sheet1!$D$6+[1]Sheet1!$L$6,IF(AND(OR(D39="T. domingensis",D39="T. latifolia"),E39&gt;0),F39*[1]Sheet1!$C$4+E39*[1]Sheet1!$D$4+H39*[1]Sheet1!$J$4+I39*[1]Sheet1!$K$4+[1]Sheet1!$L$4,IF(AND(OR(D39="T. domingensis",D39="T. latifolia"),J39&gt;0),J39*[1]Sheet1!$G$5+K39*[1]Sheet1!$H$5+L39*[1]Sheet1!$I$5+[1]Sheet1!$L$5,0)))))))</f>
        <v>16.283937996917548</v>
      </c>
      <c r="P39">
        <f t="shared" si="1"/>
        <v>16.283937996917548</v>
      </c>
      <c r="S39">
        <f t="shared" si="2"/>
        <v>2.0106176000000002</v>
      </c>
    </row>
    <row r="40" spans="1:19">
      <c r="A40" s="5">
        <v>42502</v>
      </c>
      <c r="B40" t="s">
        <v>55</v>
      </c>
      <c r="C40">
        <v>20</v>
      </c>
      <c r="D40" t="s">
        <v>61</v>
      </c>
      <c r="F40" s="6">
        <v>3.22</v>
      </c>
      <c r="J40">
        <f>131+150+190+213+23+238+260+265+273+276</f>
        <v>2019</v>
      </c>
      <c r="K40">
        <v>10</v>
      </c>
      <c r="L40">
        <v>276</v>
      </c>
      <c r="N40" t="str">
        <f t="shared" si="0"/>
        <v>NA</v>
      </c>
      <c r="O40">
        <f>IF(AND(OR(D40="S. acutus",D40="S. californicus",D40="S. tabernaemontani"),G40=0),E40*[1]Sheet1!$D$7+[1]Sheet1!$L$7,IF(AND(OR(D40="S. acutus",D40="S. tabernaemontani"),G40&gt;0),E40*[1]Sheet1!$D$8+N40*[1]Sheet1!$E$8,IF(AND(D40="S. californicus",G40&gt;0),E40*[1]Sheet1!$D$9+N40*[1]Sheet1!$E$9,IF(D40="S. maritimus",F40*[1]Sheet1!$C$10+E40*[1]Sheet1!$D$10+G40*[1]Sheet1!$F$10+[1]Sheet1!$L$10,IF(D40="S. americanus",F40*[1]Sheet1!$C$6+E40*[1]Sheet1!$D$6+[1]Sheet1!$L$6,IF(AND(OR(D40="T. domingensis",D40="T. latifolia"),E40&gt;0),F40*[1]Sheet1!$C$4+E40*[1]Sheet1!$D$4+H40*[1]Sheet1!$J$4+I40*[1]Sheet1!$K$4+[1]Sheet1!$L$4,IF(AND(OR(D40="T. domingensis",D40="T. latifolia"),J40&gt;0),J40*[1]Sheet1!$G$5+K40*[1]Sheet1!$H$5+L40*[1]Sheet1!$I$5+[1]Sheet1!$L$5,0)))))))</f>
        <v>68.961179000000016</v>
      </c>
      <c r="P40">
        <f t="shared" si="1"/>
        <v>68.961179000000016</v>
      </c>
      <c r="S40">
        <f t="shared" si="2"/>
        <v>8.1433154390000002</v>
      </c>
    </row>
    <row r="41" spans="1:19">
      <c r="A41" s="5">
        <v>42502</v>
      </c>
      <c r="B41" t="s">
        <v>55</v>
      </c>
      <c r="C41">
        <v>20</v>
      </c>
      <c r="D41" t="s">
        <v>61</v>
      </c>
      <c r="F41" s="6">
        <v>2.2400000000000002</v>
      </c>
      <c r="J41">
        <f>135+169+175+202+207</f>
        <v>888</v>
      </c>
      <c r="K41">
        <v>5</v>
      </c>
      <c r="L41">
        <v>207</v>
      </c>
      <c r="N41" t="str">
        <f t="shared" si="0"/>
        <v>NA</v>
      </c>
      <c r="O41">
        <f>IF(AND(OR(D41="S. acutus",D41="S. californicus",D41="S. tabernaemontani"),G41=0),E41*[1]Sheet1!$D$7+[1]Sheet1!$L$7,IF(AND(OR(D41="S. acutus",D41="S. tabernaemontani"),G41&gt;0),E41*[1]Sheet1!$D$8+N41*[1]Sheet1!$E$8,IF(AND(D41="S. californicus",G41&gt;0),E41*[1]Sheet1!$D$9+N41*[1]Sheet1!$E$9,IF(D41="S. maritimus",F41*[1]Sheet1!$C$10+E41*[1]Sheet1!$D$10+G41*[1]Sheet1!$F$10+[1]Sheet1!$L$10,IF(D41="S. americanus",F41*[1]Sheet1!$C$6+E41*[1]Sheet1!$D$6+[1]Sheet1!$L$6,IF(AND(OR(D41="T. domingensis",D41="T. latifolia"),E41&gt;0),F41*[1]Sheet1!$C$4+E41*[1]Sheet1!$D$4+H41*[1]Sheet1!$J$4+I41*[1]Sheet1!$K$4+[1]Sheet1!$L$4,IF(AND(OR(D41="T. domingensis",D41="T. latifolia"),J41&gt;0),J41*[1]Sheet1!$G$5+K41*[1]Sheet1!$H$5+L41*[1]Sheet1!$I$5+[1]Sheet1!$L$5,0)))))))</f>
        <v>18.821944000000002</v>
      </c>
      <c r="P41">
        <f t="shared" si="1"/>
        <v>18.821944000000002</v>
      </c>
      <c r="S41">
        <f t="shared" si="2"/>
        <v>3.9408104960000006</v>
      </c>
    </row>
    <row r="42" spans="1:19">
      <c r="A42" s="5">
        <v>42502</v>
      </c>
      <c r="B42" t="s">
        <v>55</v>
      </c>
      <c r="C42">
        <v>20</v>
      </c>
      <c r="D42" t="s">
        <v>61</v>
      </c>
      <c r="F42" s="6">
        <v>2.5299999999999998</v>
      </c>
      <c r="J42">
        <f>104+123+132+162+166+183</f>
        <v>870</v>
      </c>
      <c r="K42">
        <v>6</v>
      </c>
      <c r="L42">
        <v>183</v>
      </c>
      <c r="N42" t="str">
        <f t="shared" si="0"/>
        <v>NA</v>
      </c>
      <c r="O42">
        <f>IF(AND(OR(D42="S. acutus",D42="S. californicus",D42="S. tabernaemontani"),G42=0),E42*[1]Sheet1!$D$7+[1]Sheet1!$L$7,IF(AND(OR(D42="S. acutus",D42="S. tabernaemontani"),G42&gt;0),E42*[1]Sheet1!$D$8+N42*[1]Sheet1!$E$8,IF(AND(D42="S. californicus",G42&gt;0),E42*[1]Sheet1!$D$9+N42*[1]Sheet1!$E$9,IF(D42="S. maritimus",F42*[1]Sheet1!$C$10+E42*[1]Sheet1!$D$10+G42*[1]Sheet1!$F$10+[1]Sheet1!$L$10,IF(D42="S. americanus",F42*[1]Sheet1!$C$6+E42*[1]Sheet1!$D$6+[1]Sheet1!$L$6,IF(AND(OR(D42="T. domingensis",D42="T. latifolia"),E42&gt;0),F42*[1]Sheet1!$C$4+E42*[1]Sheet1!$D$4+H42*[1]Sheet1!$J$4+I42*[1]Sheet1!$K$4+[1]Sheet1!$L$4,IF(AND(OR(D42="T. domingensis",D42="T. latifolia"),J42&gt;0),J42*[1]Sheet1!$G$5+K42*[1]Sheet1!$H$5+L42*[1]Sheet1!$I$5+[1]Sheet1!$L$5,0)))))))</f>
        <v>17.341881000000001</v>
      </c>
      <c r="P42">
        <f t="shared" si="1"/>
        <v>17.341881000000001</v>
      </c>
      <c r="S42">
        <f t="shared" si="2"/>
        <v>5.0272508577499995</v>
      </c>
    </row>
    <row r="43" spans="1:19">
      <c r="A43" s="5">
        <v>42502</v>
      </c>
      <c r="B43" t="s">
        <v>55</v>
      </c>
      <c r="C43">
        <v>20</v>
      </c>
      <c r="D43" t="s">
        <v>61</v>
      </c>
      <c r="F43" s="6">
        <v>1.51</v>
      </c>
      <c r="J43">
        <f>100+126+146+192+201+230</f>
        <v>995</v>
      </c>
      <c r="K43">
        <v>6</v>
      </c>
      <c r="L43">
        <v>230</v>
      </c>
      <c r="N43" t="str">
        <f t="shared" si="0"/>
        <v>NA</v>
      </c>
      <c r="O43">
        <f>IF(AND(OR(D43="S. acutus",D43="S. californicus",D43="S. tabernaemontani"),G43=0),E43*[1]Sheet1!$D$7+[1]Sheet1!$L$7,IF(AND(OR(D43="S. acutus",D43="S. tabernaemontani"),G43&gt;0),E43*[1]Sheet1!$D$8+N43*[1]Sheet1!$E$8,IF(AND(D43="S. californicus",G43&gt;0),E43*[1]Sheet1!$D$9+N43*[1]Sheet1!$E$9,IF(D43="S. maritimus",F43*[1]Sheet1!$C$10+E43*[1]Sheet1!$D$10+G43*[1]Sheet1!$F$10+[1]Sheet1!$L$10,IF(D43="S. americanus",F43*[1]Sheet1!$C$6+E43*[1]Sheet1!$D$6+[1]Sheet1!$L$6,IF(AND(OR(D43="T. domingensis",D43="T. latifolia"),E43&gt;0),F43*[1]Sheet1!$C$4+E43*[1]Sheet1!$D$4+H43*[1]Sheet1!$J$4+I43*[1]Sheet1!$K$4+[1]Sheet1!$L$4,IF(AND(OR(D43="T. domingensis",D43="T. latifolia"),J43&gt;0),J43*[1]Sheet1!$G$5+K43*[1]Sheet1!$H$5+L43*[1]Sheet1!$I$5+[1]Sheet1!$L$5,0)))))))</f>
        <v>14.902740999999999</v>
      </c>
      <c r="P43">
        <f t="shared" si="1"/>
        <v>14.902740999999999</v>
      </c>
      <c r="S43">
        <f t="shared" si="2"/>
        <v>1.7907848397499999</v>
      </c>
    </row>
    <row r="44" spans="1:19">
      <c r="A44" s="5">
        <v>42502</v>
      </c>
      <c r="B44" t="s">
        <v>55</v>
      </c>
      <c r="C44">
        <v>20</v>
      </c>
      <c r="D44" t="s">
        <v>61</v>
      </c>
      <c r="F44" s="6">
        <v>1.62</v>
      </c>
      <c r="J44">
        <f>127+149+154+189+195</f>
        <v>814</v>
      </c>
      <c r="K44">
        <v>5</v>
      </c>
      <c r="L44">
        <v>194</v>
      </c>
      <c r="N44" t="str">
        <f t="shared" si="0"/>
        <v>NA</v>
      </c>
      <c r="O44">
        <f>IF(AND(OR(D44="S. acutus",D44="S. californicus",D44="S. tabernaemontani"),G44=0),E44*[1]Sheet1!$D$7+[1]Sheet1!$L$7,IF(AND(OR(D44="S. acutus",D44="S. tabernaemontani"),G44&gt;0),E44*[1]Sheet1!$D$8+N44*[1]Sheet1!$E$8,IF(AND(D44="S. californicus",G44&gt;0),E44*[1]Sheet1!$D$9+N44*[1]Sheet1!$E$9,IF(D44="S. maritimus",F44*[1]Sheet1!$C$10+E44*[1]Sheet1!$D$10+G44*[1]Sheet1!$F$10+[1]Sheet1!$L$10,IF(D44="S. americanus",F44*[1]Sheet1!$C$6+E44*[1]Sheet1!$D$6+[1]Sheet1!$L$6,IF(AND(OR(D44="T. domingensis",D44="T. latifolia"),E44&gt;0),F44*[1]Sheet1!$C$4+E44*[1]Sheet1!$D$4+H44*[1]Sheet1!$J$4+I44*[1]Sheet1!$K$4+[1]Sheet1!$L$4,IF(AND(OR(D44="T. domingensis",D44="T. latifolia"),J44&gt;0),J44*[1]Sheet1!$G$5+K44*[1]Sheet1!$H$5+L44*[1]Sheet1!$I$5+[1]Sheet1!$L$5,0)))))))</f>
        <v>15.800258999999997</v>
      </c>
      <c r="P44">
        <f t="shared" si="1"/>
        <v>15.800258999999997</v>
      </c>
      <c r="S44">
        <f t="shared" si="2"/>
        <v>2.0611971990000004</v>
      </c>
    </row>
    <row r="45" spans="1:19">
      <c r="A45" s="5">
        <v>42502</v>
      </c>
      <c r="B45" t="s">
        <v>55</v>
      </c>
      <c r="C45">
        <v>20</v>
      </c>
      <c r="D45" t="s">
        <v>61</v>
      </c>
      <c r="F45" s="6">
        <v>2.17</v>
      </c>
      <c r="J45">
        <f>90+145+145+187+198+226+232</f>
        <v>1223</v>
      </c>
      <c r="K45">
        <v>7</v>
      </c>
      <c r="L45">
        <v>232</v>
      </c>
      <c r="N45" t="str">
        <f t="shared" si="0"/>
        <v>NA</v>
      </c>
      <c r="O45">
        <f>IF(AND(OR(D45="S. acutus",D45="S. californicus",D45="S. tabernaemontani"),G45=0),E45*[1]Sheet1!$D$7+[1]Sheet1!$L$7,IF(AND(OR(D45="S. acutus",D45="S. tabernaemontani"),G45&gt;0),E45*[1]Sheet1!$D$8+N45*[1]Sheet1!$E$8,IF(AND(D45="S. californicus",G45&gt;0),E45*[1]Sheet1!$D$9+N45*[1]Sheet1!$E$9,IF(D45="S. maritimus",F45*[1]Sheet1!$C$10+E45*[1]Sheet1!$D$10+G45*[1]Sheet1!$F$10+[1]Sheet1!$L$10,IF(D45="S. americanus",F45*[1]Sheet1!$C$6+E45*[1]Sheet1!$D$6+[1]Sheet1!$L$6,IF(AND(OR(D45="T. domingensis",D45="T. latifolia"),E45&gt;0),F45*[1]Sheet1!$C$4+E45*[1]Sheet1!$D$4+H45*[1]Sheet1!$J$4+I45*[1]Sheet1!$K$4+[1]Sheet1!$L$4,IF(AND(OR(D45="T. domingensis",D45="T. latifolia"),J45&gt;0),J45*[1]Sheet1!$G$5+K45*[1]Sheet1!$H$5+L45*[1]Sheet1!$I$5+[1]Sheet1!$L$5,0)))))))</f>
        <v>28.654038000000007</v>
      </c>
      <c r="P45">
        <f t="shared" si="1"/>
        <v>28.654038000000007</v>
      </c>
      <c r="S45">
        <f t="shared" si="2"/>
        <v>3.6983582877499996</v>
      </c>
    </row>
    <row r="46" spans="1:19">
      <c r="A46" s="5">
        <v>42502</v>
      </c>
      <c r="B46" t="s">
        <v>55</v>
      </c>
      <c r="C46">
        <v>20</v>
      </c>
      <c r="D46" t="s">
        <v>61</v>
      </c>
      <c r="F46" s="6">
        <v>1.55</v>
      </c>
      <c r="J46">
        <f>59+92+113+127+172+173+194</f>
        <v>930</v>
      </c>
      <c r="K46">
        <v>7</v>
      </c>
      <c r="L46">
        <v>194</v>
      </c>
      <c r="N46" t="str">
        <f t="shared" si="0"/>
        <v>NA</v>
      </c>
      <c r="O46">
        <f>IF(AND(OR(D46="S. acutus",D46="S. californicus",D46="S. tabernaemontani"),G46=0),E46*[1]Sheet1!$D$7+[1]Sheet1!$L$7,IF(AND(OR(D46="S. acutus",D46="S. tabernaemontani"),G46&gt;0),E46*[1]Sheet1!$D$8+N46*[1]Sheet1!$E$8,IF(AND(D46="S. californicus",G46&gt;0),E46*[1]Sheet1!$D$9+N46*[1]Sheet1!$E$9,IF(D46="S. maritimus",F46*[1]Sheet1!$C$10+E46*[1]Sheet1!$D$10+G46*[1]Sheet1!$F$10+[1]Sheet1!$L$10,IF(D46="S. americanus",F46*[1]Sheet1!$C$6+E46*[1]Sheet1!$D$6+[1]Sheet1!$L$6,IF(AND(OR(D46="T. domingensis",D46="T. latifolia"),E46&gt;0),F46*[1]Sheet1!$C$4+E46*[1]Sheet1!$D$4+H46*[1]Sheet1!$J$4+I46*[1]Sheet1!$K$4+[1]Sheet1!$L$4,IF(AND(OR(D46="T. domingensis",D46="T. latifolia"),J46&gt;0),J46*[1]Sheet1!$G$5+K46*[1]Sheet1!$H$5+L46*[1]Sheet1!$I$5+[1]Sheet1!$L$5,0)))))))</f>
        <v>12.631132999999998</v>
      </c>
      <c r="P46">
        <f t="shared" si="1"/>
        <v>12.631132999999998</v>
      </c>
      <c r="S46">
        <f t="shared" si="2"/>
        <v>1.8869174937500002</v>
      </c>
    </row>
    <row r="47" spans="1:19">
      <c r="A47" s="5">
        <v>42502</v>
      </c>
      <c r="B47" t="s">
        <v>55</v>
      </c>
      <c r="C47">
        <v>20</v>
      </c>
      <c r="D47" t="s">
        <v>61</v>
      </c>
      <c r="F47" s="6">
        <v>1.36</v>
      </c>
      <c r="J47">
        <f>168+130+138+163</f>
        <v>599</v>
      </c>
      <c r="K47">
        <v>4</v>
      </c>
      <c r="L47">
        <v>168</v>
      </c>
      <c r="N47" t="str">
        <f t="shared" si="0"/>
        <v>NA</v>
      </c>
      <c r="O47">
        <f>IF(AND(OR(D47="S. acutus",D47="S. californicus",D47="S. tabernaemontani"),G47=0),E47*[1]Sheet1!$D$7+[1]Sheet1!$L$7,IF(AND(OR(D47="S. acutus",D47="S. tabernaemontani"),G47&gt;0),E47*[1]Sheet1!$D$8+N47*[1]Sheet1!$E$8,IF(AND(D47="S. californicus",G47&gt;0),E47*[1]Sheet1!$D$9+N47*[1]Sheet1!$E$9,IF(D47="S. maritimus",F47*[1]Sheet1!$C$10+E47*[1]Sheet1!$D$10+G47*[1]Sheet1!$F$10+[1]Sheet1!$L$10,IF(D47="S. americanus",F47*[1]Sheet1!$C$6+E47*[1]Sheet1!$D$6+[1]Sheet1!$L$6,IF(AND(OR(D47="T. domingensis",D47="T. latifolia"),E47&gt;0),F47*[1]Sheet1!$C$4+E47*[1]Sheet1!$D$4+H47*[1]Sheet1!$J$4+I47*[1]Sheet1!$K$4+[1]Sheet1!$L$4,IF(AND(OR(D47="T. domingensis",D47="T. latifolia"),J47&gt;0),J47*[1]Sheet1!$G$5+K47*[1]Sheet1!$H$5+L47*[1]Sheet1!$I$5+[1]Sheet1!$L$5,0)))))))</f>
        <v>10.497657000000007</v>
      </c>
      <c r="P47">
        <f t="shared" si="1"/>
        <v>10.497657000000007</v>
      </c>
      <c r="S47">
        <f t="shared" si="2"/>
        <v>1.4526712160000002</v>
      </c>
    </row>
    <row r="48" spans="1:19">
      <c r="A48" s="5">
        <v>42502</v>
      </c>
      <c r="B48" t="s">
        <v>55</v>
      </c>
      <c r="C48">
        <v>20</v>
      </c>
      <c r="D48" t="s">
        <v>61</v>
      </c>
      <c r="F48" s="6">
        <v>1.4</v>
      </c>
      <c r="J48">
        <f>80+82+129+130+162+177+190</f>
        <v>950</v>
      </c>
      <c r="K48">
        <v>7</v>
      </c>
      <c r="L48">
        <v>190</v>
      </c>
      <c r="N48" t="str">
        <f t="shared" si="0"/>
        <v>NA</v>
      </c>
      <c r="O48">
        <f>IF(AND(OR(D48="S. acutus",D48="S. californicus",D48="S. tabernaemontani"),G48=0),E48*[1]Sheet1!$D$7+[1]Sheet1!$L$7,IF(AND(OR(D48="S. acutus",D48="S. tabernaemontani"),G48&gt;0),E48*[1]Sheet1!$D$8+N48*[1]Sheet1!$E$8,IF(AND(D48="S. californicus",G48&gt;0),E48*[1]Sheet1!$D$9+N48*[1]Sheet1!$E$9,IF(D48="S. maritimus",F48*[1]Sheet1!$C$10+E48*[1]Sheet1!$D$10+G48*[1]Sheet1!$F$10+[1]Sheet1!$L$10,IF(D48="S. americanus",F48*[1]Sheet1!$C$6+E48*[1]Sheet1!$D$6+[1]Sheet1!$L$6,IF(AND(OR(D48="T. domingensis",D48="T. latifolia"),E48&gt;0),F48*[1]Sheet1!$C$4+E48*[1]Sheet1!$D$4+H48*[1]Sheet1!$J$4+I48*[1]Sheet1!$K$4+[1]Sheet1!$L$4,IF(AND(OR(D48="T. domingensis",D48="T. latifolia"),J48&gt;0),J48*[1]Sheet1!$G$5+K48*[1]Sheet1!$H$5+L48*[1]Sheet1!$I$5+[1]Sheet1!$L$5,0)))))))</f>
        <v>15.711213000000008</v>
      </c>
      <c r="P48">
        <f t="shared" si="1"/>
        <v>15.711213000000008</v>
      </c>
      <c r="S48">
        <f t="shared" si="2"/>
        <v>1.5393790999999997</v>
      </c>
    </row>
    <row r="49" spans="1:19">
      <c r="A49" s="5">
        <v>42502</v>
      </c>
      <c r="B49" t="s">
        <v>55</v>
      </c>
      <c r="C49">
        <v>20</v>
      </c>
      <c r="D49" t="s">
        <v>61</v>
      </c>
      <c r="F49" s="6">
        <v>2.57</v>
      </c>
      <c r="J49">
        <f>162+174+207+242+262+275+282+294</f>
        <v>1898</v>
      </c>
      <c r="K49">
        <v>8</v>
      </c>
      <c r="L49">
        <v>294</v>
      </c>
      <c r="N49" t="str">
        <f t="shared" si="0"/>
        <v>NA</v>
      </c>
      <c r="O49">
        <f>IF(AND(OR(D49="S. acutus",D49="S. californicus",D49="S. tabernaemontani"),G49=0),E49*[1]Sheet1!$D$7+[1]Sheet1!$L$7,IF(AND(OR(D49="S. acutus",D49="S. tabernaemontani"),G49&gt;0),E49*[1]Sheet1!$D$8+N49*[1]Sheet1!$E$8,IF(AND(D49="S. californicus",G49&gt;0),E49*[1]Sheet1!$D$9+N49*[1]Sheet1!$E$9,IF(D49="S. maritimus",F49*[1]Sheet1!$C$10+E49*[1]Sheet1!$D$10+G49*[1]Sheet1!$F$10+[1]Sheet1!$L$10,IF(D49="S. americanus",F49*[1]Sheet1!$C$6+E49*[1]Sheet1!$D$6+[1]Sheet1!$L$6,IF(AND(OR(D49="T. domingensis",D49="T. latifolia"),E49&gt;0),F49*[1]Sheet1!$C$4+E49*[1]Sheet1!$D$4+H49*[1]Sheet1!$J$4+I49*[1]Sheet1!$K$4+[1]Sheet1!$L$4,IF(AND(OR(D49="T. domingensis",D49="T. latifolia"),J49&gt;0),J49*[1]Sheet1!$G$5+K49*[1]Sheet1!$H$5+L49*[1]Sheet1!$I$5+[1]Sheet1!$L$5,0)))))))</f>
        <v>66.239120000000014</v>
      </c>
      <c r="P49">
        <f t="shared" si="1"/>
        <v>66.239120000000014</v>
      </c>
      <c r="S49">
        <f t="shared" si="2"/>
        <v>5.1874719477499989</v>
      </c>
    </row>
    <row r="50" spans="1:19">
      <c r="A50" s="5">
        <v>42502</v>
      </c>
      <c r="B50" t="s">
        <v>55</v>
      </c>
      <c r="C50">
        <v>20</v>
      </c>
      <c r="D50" t="s">
        <v>61</v>
      </c>
      <c r="F50" s="6">
        <v>1.1299999999999999</v>
      </c>
      <c r="J50">
        <f>21+55+59+87+94</f>
        <v>316</v>
      </c>
      <c r="K50">
        <v>5</v>
      </c>
      <c r="L50">
        <v>94</v>
      </c>
      <c r="N50" t="str">
        <f t="shared" si="0"/>
        <v>NA</v>
      </c>
      <c r="O50">
        <f>IF(AND(OR(D50="S. acutus",D50="S. californicus",D50="S. tabernaemontani"),G50=0),E50*[1]Sheet1!$D$7+[1]Sheet1!$L$7,IF(AND(OR(D50="S. acutus",D50="S. tabernaemontani"),G50&gt;0),E50*[1]Sheet1!$D$8+N50*[1]Sheet1!$E$8,IF(AND(D50="S. californicus",G50&gt;0),E50*[1]Sheet1!$D$9+N50*[1]Sheet1!$E$9,IF(D50="S. maritimus",F50*[1]Sheet1!$C$10+E50*[1]Sheet1!$D$10+G50*[1]Sheet1!$F$10+[1]Sheet1!$L$10,IF(D50="S. americanus",F50*[1]Sheet1!$C$6+E50*[1]Sheet1!$D$6+[1]Sheet1!$L$6,IF(AND(OR(D50="T. domingensis",D50="T. latifolia"),E50&gt;0),F50*[1]Sheet1!$C$4+E50*[1]Sheet1!$D$4+H50*[1]Sheet1!$J$4+I50*[1]Sheet1!$K$4+[1]Sheet1!$L$4,IF(AND(OR(D50="T. domingensis",D50="T. latifolia"),J50&gt;0),J50*[1]Sheet1!$G$5+K50*[1]Sheet1!$H$5+L50*[1]Sheet1!$I$5+[1]Sheet1!$L$5,0)))))))</f>
        <v>-0.76523099999999999</v>
      </c>
      <c r="P50" t="str">
        <f t="shared" si="1"/>
        <v xml:space="preserve"> </v>
      </c>
      <c r="S50">
        <f t="shared" si="2"/>
        <v>1.0028740677499997</v>
      </c>
    </row>
    <row r="51" spans="1:19">
      <c r="A51" s="5">
        <v>42502</v>
      </c>
      <c r="B51" t="s">
        <v>55</v>
      </c>
      <c r="C51">
        <v>20</v>
      </c>
      <c r="D51" t="s">
        <v>61</v>
      </c>
      <c r="F51" s="6">
        <v>1.04</v>
      </c>
      <c r="J51">
        <f>77+87+106+110+143</f>
        <v>523</v>
      </c>
      <c r="K51">
        <v>5</v>
      </c>
      <c r="L51">
        <v>143</v>
      </c>
      <c r="N51" t="str">
        <f t="shared" si="0"/>
        <v>NA</v>
      </c>
      <c r="O51">
        <f>IF(AND(OR(D51="S. acutus",D51="S. californicus",D51="S. tabernaemontani"),G51=0),E51*[1]Sheet1!$D$7+[1]Sheet1!$L$7,IF(AND(OR(D51="S. acutus",D51="S. tabernaemontani"),G51&gt;0),E51*[1]Sheet1!$D$8+N51*[1]Sheet1!$E$8,IF(AND(D51="S. californicus",G51&gt;0),E51*[1]Sheet1!$D$9+N51*[1]Sheet1!$E$9,IF(D51="S. maritimus",F51*[1]Sheet1!$C$10+E51*[1]Sheet1!$D$10+G51*[1]Sheet1!$F$10+[1]Sheet1!$L$10,IF(D51="S. americanus",F51*[1]Sheet1!$C$6+E51*[1]Sheet1!$D$6+[1]Sheet1!$L$6,IF(AND(OR(D51="T. domingensis",D51="T. latifolia"),E51&gt;0),F51*[1]Sheet1!$C$4+E51*[1]Sheet1!$D$4+H51*[1]Sheet1!$J$4+I51*[1]Sheet1!$K$4+[1]Sheet1!$L$4,IF(AND(OR(D51="T. domingensis",D51="T. latifolia"),J51&gt;0),J51*[1]Sheet1!$G$5+K51*[1]Sheet1!$H$5+L51*[1]Sheet1!$I$5+[1]Sheet1!$L$5,0)))))))</f>
        <v>3.8810490000000044</v>
      </c>
      <c r="P51">
        <f t="shared" si="1"/>
        <v>3.8810490000000044</v>
      </c>
      <c r="S51">
        <f t="shared" si="2"/>
        <v>0.84948593600000011</v>
      </c>
    </row>
    <row r="52" spans="1:19">
      <c r="A52" s="5">
        <v>42502</v>
      </c>
      <c r="B52" t="s">
        <v>55</v>
      </c>
      <c r="C52">
        <v>20</v>
      </c>
      <c r="D52" t="s">
        <v>61</v>
      </c>
      <c r="F52" s="6">
        <v>0.59</v>
      </c>
      <c r="J52">
        <f>87+110</f>
        <v>197</v>
      </c>
      <c r="K52">
        <v>2</v>
      </c>
      <c r="L52">
        <v>110</v>
      </c>
      <c r="N52" t="str">
        <f t="shared" si="0"/>
        <v>NA</v>
      </c>
      <c r="O52">
        <f>IF(AND(OR(D52="S. acutus",D52="S. californicus",D52="S. tabernaemontani"),G52=0),E52*[1]Sheet1!$D$7+[1]Sheet1!$L$7,IF(AND(OR(D52="S. acutus",D52="S. tabernaemontani"),G52&gt;0),E52*[1]Sheet1!$D$8+N52*[1]Sheet1!$E$8,IF(AND(D52="S. californicus",G52&gt;0),E52*[1]Sheet1!$D$9+N52*[1]Sheet1!$E$9,IF(D52="S. maritimus",F52*[1]Sheet1!$C$10+E52*[1]Sheet1!$D$10+G52*[1]Sheet1!$F$10+[1]Sheet1!$L$10,IF(D52="S. americanus",F52*[1]Sheet1!$C$6+E52*[1]Sheet1!$D$6+[1]Sheet1!$L$6,IF(AND(OR(D52="T. domingensis",D52="T. latifolia"),E52&gt;0),F52*[1]Sheet1!$C$4+E52*[1]Sheet1!$D$4+H52*[1]Sheet1!$J$4+I52*[1]Sheet1!$K$4+[1]Sheet1!$L$4,IF(AND(OR(D52="T. domingensis",D52="T. latifolia"),J52&gt;0),J52*[1]Sheet1!$G$5+K52*[1]Sheet1!$H$5+L52*[1]Sheet1!$I$5+[1]Sheet1!$L$5,0)))))))</f>
        <v>4.3250630000000001</v>
      </c>
      <c r="P52">
        <f t="shared" si="1"/>
        <v>4.3250630000000001</v>
      </c>
      <c r="S52">
        <f t="shared" si="2"/>
        <v>0.27339686974999994</v>
      </c>
    </row>
    <row r="53" spans="1:19">
      <c r="A53" s="5">
        <v>42502</v>
      </c>
      <c r="B53" t="s">
        <v>55</v>
      </c>
      <c r="C53">
        <v>12</v>
      </c>
      <c r="D53" t="s">
        <v>63</v>
      </c>
      <c r="E53">
        <v>107</v>
      </c>
      <c r="F53" s="6">
        <v>1.06</v>
      </c>
      <c r="G53">
        <v>3</v>
      </c>
      <c r="N53">
        <f t="shared" si="0"/>
        <v>31.474857172333337</v>
      </c>
      <c r="O53">
        <f>IF(AND(OR(D53="S. acutus",D53="S. californicus",D53="S. tabernaemontani"),G53=0),E53*[1]Sheet1!$D$7+[1]Sheet1!$L$7,IF(AND(OR(D53="S. acutus",D53="S. tabernaemontani"),G53&gt;0),E53*[1]Sheet1!$D$8+N53*[1]Sheet1!$E$8,IF(AND(D53="S. californicus",G53&gt;0),E53*[1]Sheet1!$D$9+N53*[1]Sheet1!$E$9,IF(D53="S. maritimus",F53*[1]Sheet1!$C$10+E53*[1]Sheet1!$D$10+G53*[1]Sheet1!$F$10+[1]Sheet1!$L$10,IF(D53="S. americanus",F53*[1]Sheet1!$C$6+E53*[1]Sheet1!$D$6+[1]Sheet1!$L$6,IF(AND(OR(D53="T. domingensis",D53="T. latifolia"),E53&gt;0),F53*[1]Sheet1!$C$4+E53*[1]Sheet1!$D$4+H53*[1]Sheet1!$J$4+I53*[1]Sheet1!$K$4+[1]Sheet1!$L$4,IF(AND(OR(D53="T. domingensis",D53="T. latifolia"),J53&gt;0),J53*[1]Sheet1!$G$5+K53*[1]Sheet1!$H$5+L53*[1]Sheet1!$I$5+[1]Sheet1!$L$5,0)))))))</f>
        <v>5.1337784283205883</v>
      </c>
      <c r="P53">
        <f t="shared" si="1"/>
        <v>5.1337784283205883</v>
      </c>
      <c r="S53">
        <f t="shared" si="2"/>
        <v>0.88247263100000006</v>
      </c>
    </row>
    <row r="54" spans="1:19">
      <c r="A54" s="5">
        <v>42502</v>
      </c>
      <c r="B54" t="s">
        <v>55</v>
      </c>
      <c r="C54">
        <v>12</v>
      </c>
      <c r="D54" t="s">
        <v>63</v>
      </c>
      <c r="E54">
        <v>198</v>
      </c>
      <c r="F54" s="6">
        <v>1.69</v>
      </c>
      <c r="G54">
        <v>3</v>
      </c>
      <c r="N54">
        <f t="shared" si="0"/>
        <v>148.04947078349997</v>
      </c>
      <c r="O54">
        <f>IF(AND(OR(D54="S. acutus",D54="S. californicus",D54="S. tabernaemontani"),G54=0),E54*[1]Sheet1!$D$7+[1]Sheet1!$L$7,IF(AND(OR(D54="S. acutus",D54="S. tabernaemontani"),G54&gt;0),E54*[1]Sheet1!$D$8+N54*[1]Sheet1!$E$8,IF(AND(D54="S. californicus",G54&gt;0),E54*[1]Sheet1!$D$9+N54*[1]Sheet1!$E$9,IF(D54="S. maritimus",F54*[1]Sheet1!$C$10+E54*[1]Sheet1!$D$10+G54*[1]Sheet1!$F$10+[1]Sheet1!$L$10,IF(D54="S. americanus",F54*[1]Sheet1!$C$6+E54*[1]Sheet1!$D$6+[1]Sheet1!$L$6,IF(AND(OR(D54="T. domingensis",D54="T. latifolia"),E54&gt;0),F54*[1]Sheet1!$C$4+E54*[1]Sheet1!$D$4+H54*[1]Sheet1!$J$4+I54*[1]Sheet1!$K$4+[1]Sheet1!$L$4,IF(AND(OR(D54="T. domingensis",D54="T. latifolia"),J54&gt;0),J54*[1]Sheet1!$G$5+K54*[1]Sheet1!$H$5+L54*[1]Sheet1!$I$5+[1]Sheet1!$L$5,0)))))))</f>
        <v>12.391732003752406</v>
      </c>
      <c r="P54">
        <f t="shared" si="1"/>
        <v>12.391732003752406</v>
      </c>
      <c r="S54">
        <f t="shared" si="2"/>
        <v>2.2431737997499996</v>
      </c>
    </row>
    <row r="55" spans="1:19">
      <c r="A55" s="5">
        <v>42502</v>
      </c>
      <c r="B55" t="s">
        <v>55</v>
      </c>
      <c r="C55">
        <v>12</v>
      </c>
      <c r="D55" t="s">
        <v>63</v>
      </c>
      <c r="E55">
        <v>199</v>
      </c>
      <c r="F55" s="6">
        <v>1.36</v>
      </c>
      <c r="G55">
        <v>3</v>
      </c>
      <c r="N55">
        <f t="shared" si="0"/>
        <v>96.360523994666664</v>
      </c>
      <c r="O55">
        <f>IF(AND(OR(D55="S. acutus",D55="S. californicus",D55="S. tabernaemontani"),G55=0),E55*[1]Sheet1!$D$7+[1]Sheet1!$L$7,IF(AND(OR(D55="S. acutus",D55="S. tabernaemontani"),G55&gt;0),E55*[1]Sheet1!$D$8+N55*[1]Sheet1!$E$8,IF(AND(D55="S. californicus",G55&gt;0),E55*[1]Sheet1!$D$9+N55*[1]Sheet1!$E$9,IF(D55="S. maritimus",F55*[1]Sheet1!$C$10+E55*[1]Sheet1!$D$10+G55*[1]Sheet1!$F$10+[1]Sheet1!$L$10,IF(D55="S. americanus",F55*[1]Sheet1!$C$6+E55*[1]Sheet1!$D$6+[1]Sheet1!$L$6,IF(AND(OR(D55="T. domingensis",D55="T. latifolia"),E55&gt;0),F55*[1]Sheet1!$C$4+E55*[1]Sheet1!$D$4+H55*[1]Sheet1!$J$4+I55*[1]Sheet1!$K$4+[1]Sheet1!$L$4,IF(AND(OR(D55="T. domingensis",D55="T. latifolia"),J55&gt;0),J55*[1]Sheet1!$G$5+K55*[1]Sheet1!$H$5+L55*[1]Sheet1!$I$5+[1]Sheet1!$L$5,0)))))))</f>
        <v>10.765808497099862</v>
      </c>
      <c r="P55">
        <f t="shared" si="1"/>
        <v>10.765808497099862</v>
      </c>
      <c r="S55">
        <f t="shared" si="2"/>
        <v>1.4526712160000002</v>
      </c>
    </row>
    <row r="56" spans="1:19">
      <c r="A56" s="5">
        <v>42502</v>
      </c>
      <c r="B56" t="s">
        <v>55</v>
      </c>
      <c r="C56">
        <v>12</v>
      </c>
      <c r="D56" t="s">
        <v>63</v>
      </c>
      <c r="E56">
        <v>113</v>
      </c>
      <c r="F56" s="6">
        <v>0.93</v>
      </c>
      <c r="G56">
        <v>3</v>
      </c>
      <c r="N56">
        <f t="shared" si="0"/>
        <v>25.586601215250003</v>
      </c>
      <c r="O56">
        <f>IF(AND(OR(D56="S. acutus",D56="S. californicus",D56="S. tabernaemontani"),G56=0),E56*[1]Sheet1!$D$7+[1]Sheet1!$L$7,IF(AND(OR(D56="S. acutus",D56="S. tabernaemontani"),G56&gt;0),E56*[1]Sheet1!$D$8+N56*[1]Sheet1!$E$8,IF(AND(D56="S. californicus",G56&gt;0),E56*[1]Sheet1!$D$9+N56*[1]Sheet1!$E$9,IF(D56="S. maritimus",F56*[1]Sheet1!$C$10+E56*[1]Sheet1!$D$10+G56*[1]Sheet1!$F$10+[1]Sheet1!$L$10,IF(D56="S. americanus",F56*[1]Sheet1!$C$6+E56*[1]Sheet1!$D$6+[1]Sheet1!$L$6,IF(AND(OR(D56="T. domingensis",D56="T. latifolia"),E56&gt;0),F56*[1]Sheet1!$C$4+E56*[1]Sheet1!$D$4+H56*[1]Sheet1!$J$4+I56*[1]Sheet1!$K$4+[1]Sheet1!$L$4,IF(AND(OR(D56="T. domingensis",D56="T. latifolia"),J56&gt;0),J56*[1]Sheet1!$G$5+K56*[1]Sheet1!$H$5+L56*[1]Sheet1!$I$5+[1]Sheet1!$L$5,0)))))))</f>
        <v>5.175213887072144</v>
      </c>
      <c r="P56">
        <f t="shared" si="1"/>
        <v>5.175213887072144</v>
      </c>
      <c r="S56">
        <f t="shared" si="2"/>
        <v>0.67929029775000005</v>
      </c>
    </row>
    <row r="57" spans="1:19">
      <c r="A57" s="5">
        <v>42502</v>
      </c>
      <c r="B57" t="s">
        <v>55</v>
      </c>
      <c r="C57">
        <v>12</v>
      </c>
      <c r="D57" t="s">
        <v>63</v>
      </c>
      <c r="E57">
        <v>46</v>
      </c>
      <c r="F57" s="6">
        <v>0.82</v>
      </c>
      <c r="N57">
        <f t="shared" si="0"/>
        <v>8.0975529446666652</v>
      </c>
      <c r="O57">
        <f>IF(AND(OR(D57="S. acutus",D57="S. californicus",D57="S. tabernaemontani"),G57=0),E57*[1]Sheet1!$D$7+[1]Sheet1!$L$7,IF(AND(OR(D57="S. acutus",D57="S. tabernaemontani"),G57&gt;0),E57*[1]Sheet1!$D$8+N57*[1]Sheet1!$E$8,IF(AND(D57="S. californicus",G57&gt;0),E57*[1]Sheet1!$D$9+N57*[1]Sheet1!$E$9,IF(D57="S. maritimus",F57*[1]Sheet1!$C$10+E57*[1]Sheet1!$D$10+G57*[1]Sheet1!$F$10+[1]Sheet1!$L$10,IF(D57="S. americanus",F57*[1]Sheet1!$C$6+E57*[1]Sheet1!$D$6+[1]Sheet1!$L$6,IF(AND(OR(D57="T. domingensis",D57="T. latifolia"),E57&gt;0),F57*[1]Sheet1!$C$4+E57*[1]Sheet1!$D$4+H57*[1]Sheet1!$J$4+I57*[1]Sheet1!$K$4+[1]Sheet1!$L$4,IF(AND(OR(D57="T. domingensis",D57="T. latifolia"),J57&gt;0),J57*[1]Sheet1!$G$5+K57*[1]Sheet1!$H$5+L57*[1]Sheet1!$I$5+[1]Sheet1!$L$5,0)))))))</f>
        <v>-1.365767</v>
      </c>
      <c r="P57" t="str">
        <f t="shared" si="1"/>
        <v xml:space="preserve"> </v>
      </c>
      <c r="S57">
        <f t="shared" si="2"/>
        <v>0.52810127899999992</v>
      </c>
    </row>
    <row r="58" spans="1:19">
      <c r="A58" s="5">
        <v>42502</v>
      </c>
      <c r="B58" t="s">
        <v>55</v>
      </c>
      <c r="C58">
        <v>12</v>
      </c>
      <c r="D58" t="s">
        <v>63</v>
      </c>
      <c r="E58">
        <v>87</v>
      </c>
      <c r="F58" s="6">
        <v>0.25</v>
      </c>
      <c r="N58">
        <f t="shared" si="0"/>
        <v>1.4235329687499998</v>
      </c>
      <c r="O58">
        <f>IF(AND(OR(D58="S. acutus",D58="S. californicus",D58="S. tabernaemontani"),G58=0),E58*[1]Sheet1!$D$7+[1]Sheet1!$L$7,IF(AND(OR(D58="S. acutus",D58="S. tabernaemontani"),G58&gt;0),E58*[1]Sheet1!$D$8+N58*[1]Sheet1!$E$8,IF(AND(D58="S. californicus",G58&gt;0),E58*[1]Sheet1!$D$9+N58*[1]Sheet1!$E$9,IF(D58="S. maritimus",F58*[1]Sheet1!$C$10+E58*[1]Sheet1!$D$10+G58*[1]Sheet1!$F$10+[1]Sheet1!$L$10,IF(D58="S. americanus",F58*[1]Sheet1!$C$6+E58*[1]Sheet1!$D$6+[1]Sheet1!$L$6,IF(AND(OR(D58="T. domingensis",D58="T. latifolia"),E58&gt;0),F58*[1]Sheet1!$C$4+E58*[1]Sheet1!$D$4+H58*[1]Sheet1!$J$4+I58*[1]Sheet1!$K$4+[1]Sheet1!$L$4,IF(AND(OR(D58="T. domingensis",D58="T. latifolia"),J58&gt;0),J58*[1]Sheet1!$G$5+K58*[1]Sheet1!$H$5+L58*[1]Sheet1!$I$5+[1]Sheet1!$L$5,0)))))))</f>
        <v>1.5085380000000006</v>
      </c>
      <c r="P58">
        <f t="shared" si="1"/>
        <v>1.5085380000000006</v>
      </c>
      <c r="S58">
        <f t="shared" si="2"/>
        <v>4.9087343749999998E-2</v>
      </c>
    </row>
    <row r="59" spans="1:19">
      <c r="A59" s="5">
        <v>42502</v>
      </c>
      <c r="B59" t="s">
        <v>55</v>
      </c>
      <c r="C59">
        <v>12</v>
      </c>
      <c r="D59" t="s">
        <v>63</v>
      </c>
      <c r="E59">
        <v>210</v>
      </c>
      <c r="F59" s="6">
        <v>1.46</v>
      </c>
      <c r="G59">
        <v>3</v>
      </c>
      <c r="N59">
        <f t="shared" si="0"/>
        <v>117.19073176999997</v>
      </c>
      <c r="O59">
        <f>IF(AND(OR(D59="S. acutus",D59="S. californicus",D59="S. tabernaemontani"),G59=0),E59*[1]Sheet1!$D$7+[1]Sheet1!$L$7,IF(AND(OR(D59="S. acutus",D59="S. tabernaemontani"),G59&gt;0),E59*[1]Sheet1!$D$8+N59*[1]Sheet1!$E$8,IF(AND(D59="S. californicus",G59&gt;0),E59*[1]Sheet1!$D$9+N59*[1]Sheet1!$E$9,IF(D59="S. maritimus",F59*[1]Sheet1!$C$10+E59*[1]Sheet1!$D$10+G59*[1]Sheet1!$F$10+[1]Sheet1!$L$10,IF(D59="S. americanus",F59*[1]Sheet1!$C$6+E59*[1]Sheet1!$D$6+[1]Sheet1!$L$6,IF(AND(OR(D59="T. domingensis",D59="T. latifolia"),E59&gt;0),F59*[1]Sheet1!$C$4+E59*[1]Sheet1!$D$4+H59*[1]Sheet1!$J$4+I59*[1]Sheet1!$K$4+[1]Sheet1!$L$4,IF(AND(OR(D59="T. domingensis",D59="T. latifolia"),J59&gt;0),J59*[1]Sheet1!$G$5+K59*[1]Sheet1!$H$5+L59*[1]Sheet1!$I$5+[1]Sheet1!$L$5,0)))))))</f>
        <v>11.860138034652593</v>
      </c>
      <c r="P59">
        <f t="shared" si="1"/>
        <v>11.860138034652593</v>
      </c>
      <c r="S59">
        <f t="shared" si="2"/>
        <v>1.6741533109999998</v>
      </c>
    </row>
    <row r="60" spans="1:19">
      <c r="A60" s="5">
        <v>42502</v>
      </c>
      <c r="B60" t="s">
        <v>55</v>
      </c>
      <c r="C60">
        <v>12</v>
      </c>
      <c r="D60" t="s">
        <v>63</v>
      </c>
      <c r="E60">
        <v>142</v>
      </c>
      <c r="F60" s="6">
        <v>1.1000000000000001</v>
      </c>
      <c r="N60">
        <f t="shared" si="0"/>
        <v>44.98233281666667</v>
      </c>
      <c r="O60">
        <f>IF(AND(OR(D60="S. acutus",D60="S. californicus",D60="S. tabernaemontani"),G60=0),E60*[1]Sheet1!$D$7+[1]Sheet1!$L$7,IF(AND(OR(D60="S. acutus",D60="S. tabernaemontani"),G60&gt;0),E60*[1]Sheet1!$D$8+N60*[1]Sheet1!$E$8,IF(AND(D60="S. californicus",G60&gt;0),E60*[1]Sheet1!$D$9+N60*[1]Sheet1!$E$9,IF(D60="S. maritimus",F60*[1]Sheet1!$C$10+E60*[1]Sheet1!$D$10+G60*[1]Sheet1!$F$10+[1]Sheet1!$L$10,IF(D60="S. americanus",F60*[1]Sheet1!$C$6+E60*[1]Sheet1!$D$6+[1]Sheet1!$L$6,IF(AND(OR(D60="T. domingensis",D60="T. latifolia"),E60&gt;0),F60*[1]Sheet1!$C$4+E60*[1]Sheet1!$D$4+H60*[1]Sheet1!$J$4+I60*[1]Sheet1!$K$4+[1]Sheet1!$L$4,IF(AND(OR(D60="T. domingensis",D60="T. latifolia"),J60&gt;0),J60*[1]Sheet1!$G$5+K60*[1]Sheet1!$H$5+L60*[1]Sheet1!$I$5+[1]Sheet1!$L$5,0)))))))</f>
        <v>5.3643130000000001</v>
      </c>
      <c r="P60">
        <f t="shared" si="1"/>
        <v>5.3643130000000001</v>
      </c>
      <c r="S60">
        <f t="shared" si="2"/>
        <v>0.95033097500000008</v>
      </c>
    </row>
    <row r="61" spans="1:19">
      <c r="A61" s="5">
        <v>42502</v>
      </c>
      <c r="B61" t="s">
        <v>55</v>
      </c>
      <c r="C61">
        <v>12</v>
      </c>
      <c r="D61" t="s">
        <v>63</v>
      </c>
      <c r="E61">
        <v>215</v>
      </c>
      <c r="F61" s="6">
        <v>1.48</v>
      </c>
      <c r="G61">
        <v>3</v>
      </c>
      <c r="N61">
        <f t="shared" si="0"/>
        <v>123.29065235333331</v>
      </c>
      <c r="O61">
        <f>IF(AND(OR(D61="S. acutus",D61="S. californicus",D61="S. tabernaemontani"),G61=0),E61*[1]Sheet1!$D$7+[1]Sheet1!$L$7,IF(AND(OR(D61="S. acutus",D61="S. tabernaemontani"),G61&gt;0),E61*[1]Sheet1!$D$8+N61*[1]Sheet1!$E$8,IF(AND(D61="S. californicus",G61&gt;0),E61*[1]Sheet1!$D$9+N61*[1]Sheet1!$E$9,IF(D61="S. maritimus",F61*[1]Sheet1!$C$10+E61*[1]Sheet1!$D$10+G61*[1]Sheet1!$F$10+[1]Sheet1!$L$10,IF(D61="S. americanus",F61*[1]Sheet1!$C$6+E61*[1]Sheet1!$D$6+[1]Sheet1!$L$6,IF(AND(OR(D61="T. domingensis",D61="T. latifolia"),E61&gt;0),F61*[1]Sheet1!$C$4+E61*[1]Sheet1!$D$4+H61*[1]Sheet1!$J$4+I61*[1]Sheet1!$K$4+[1]Sheet1!$L$4,IF(AND(OR(D61="T. domingensis",D61="T. latifolia"),J61&gt;0),J61*[1]Sheet1!$G$5+K61*[1]Sheet1!$H$5+L61*[1]Sheet1!$I$5+[1]Sheet1!$L$5,0)))))))</f>
        <v>12.249096467364451</v>
      </c>
      <c r="P61">
        <f t="shared" si="1"/>
        <v>12.249096467364451</v>
      </c>
      <c r="S61">
        <f t="shared" si="2"/>
        <v>1.7203346839999998</v>
      </c>
    </row>
    <row r="62" spans="1:19">
      <c r="A62" s="5">
        <v>42502</v>
      </c>
      <c r="B62" t="s">
        <v>55</v>
      </c>
      <c r="C62">
        <v>12</v>
      </c>
      <c r="D62" t="s">
        <v>63</v>
      </c>
      <c r="E62">
        <v>106</v>
      </c>
      <c r="F62" s="6">
        <v>0.65</v>
      </c>
      <c r="N62">
        <f t="shared" si="0"/>
        <v>11.724675679166667</v>
      </c>
      <c r="O62">
        <f>IF(AND(OR(D62="S. acutus",D62="S. californicus",D62="S. tabernaemontani"),G62=0),E62*[1]Sheet1!$D$7+[1]Sheet1!$L$7,IF(AND(OR(D62="S. acutus",D62="S. tabernaemontani"),G62&gt;0),E62*[1]Sheet1!$D$8+N62*[1]Sheet1!$E$8,IF(AND(D62="S. californicus",G62&gt;0),E62*[1]Sheet1!$D$9+N62*[1]Sheet1!$E$9,IF(D62="S. maritimus",F62*[1]Sheet1!$C$10+E62*[1]Sheet1!$D$10+G62*[1]Sheet1!$F$10+[1]Sheet1!$L$10,IF(D62="S. americanus",F62*[1]Sheet1!$C$6+E62*[1]Sheet1!$D$6+[1]Sheet1!$L$6,IF(AND(OR(D62="T. domingensis",D62="T. latifolia"),E62&gt;0),F62*[1]Sheet1!$C$4+E62*[1]Sheet1!$D$4+H62*[1]Sheet1!$J$4+I62*[1]Sheet1!$K$4+[1]Sheet1!$L$4,IF(AND(OR(D62="T. domingensis",D62="T. latifolia"),J62&gt;0),J62*[1]Sheet1!$G$5+K62*[1]Sheet1!$H$5+L62*[1]Sheet1!$I$5+[1]Sheet1!$L$5,0)))))))</f>
        <v>2.8405330000000006</v>
      </c>
      <c r="P62">
        <f t="shared" si="1"/>
        <v>2.8405330000000006</v>
      </c>
      <c r="S62">
        <f t="shared" si="2"/>
        <v>0.33183044375000004</v>
      </c>
    </row>
    <row r="63" spans="1:19">
      <c r="A63" s="5">
        <v>42502</v>
      </c>
      <c r="B63" t="s">
        <v>55</v>
      </c>
      <c r="C63">
        <v>12</v>
      </c>
      <c r="D63" t="s">
        <v>63</v>
      </c>
      <c r="E63">
        <v>189</v>
      </c>
      <c r="F63" s="6">
        <v>1.31</v>
      </c>
      <c r="N63">
        <f t="shared" si="0"/>
        <v>84.912700934249997</v>
      </c>
      <c r="O63">
        <f>IF(AND(OR(D63="S. acutus",D63="S. californicus",D63="S. tabernaemontani"),G63=0),E63*[1]Sheet1!$D$7+[1]Sheet1!$L$7,IF(AND(OR(D63="S. acutus",D63="S. tabernaemontani"),G63&gt;0),E63*[1]Sheet1!$D$8+N63*[1]Sheet1!$E$8,IF(AND(D63="S. californicus",G63&gt;0),E63*[1]Sheet1!$D$9+N63*[1]Sheet1!$E$9,IF(D63="S. maritimus",F63*[1]Sheet1!$C$10+E63*[1]Sheet1!$D$10+G63*[1]Sheet1!$F$10+[1]Sheet1!$L$10,IF(D63="S. americanus",F63*[1]Sheet1!$C$6+E63*[1]Sheet1!$D$6+[1]Sheet1!$L$6,IF(AND(OR(D63="T. domingensis",D63="T. latifolia"),E63&gt;0),F63*[1]Sheet1!$C$4+E63*[1]Sheet1!$D$4+H63*[1]Sheet1!$J$4+I63*[1]Sheet1!$K$4+[1]Sheet1!$L$4,IF(AND(OR(D63="T. domingensis",D63="T. latifolia"),J63&gt;0),J63*[1]Sheet1!$G$5+K63*[1]Sheet1!$H$5+L63*[1]Sheet1!$I$5+[1]Sheet1!$L$5,0)))))))</f>
        <v>8.6592480000000016</v>
      </c>
      <c r="P63">
        <f t="shared" si="1"/>
        <v>8.6592480000000016</v>
      </c>
      <c r="S63">
        <f t="shared" si="2"/>
        <v>1.34782064975</v>
      </c>
    </row>
    <row r="64" spans="1:19">
      <c r="A64" s="5">
        <v>42502</v>
      </c>
      <c r="B64" t="s">
        <v>55</v>
      </c>
      <c r="C64">
        <v>12</v>
      </c>
      <c r="D64" t="s">
        <v>61</v>
      </c>
      <c r="F64" s="6">
        <v>3.86</v>
      </c>
      <c r="J64">
        <f>99+115+120+130+158+161+180+189+205+208</f>
        <v>1565</v>
      </c>
      <c r="K64">
        <v>10</v>
      </c>
      <c r="L64">
        <v>208</v>
      </c>
      <c r="N64" t="str">
        <f t="shared" si="0"/>
        <v>NA</v>
      </c>
      <c r="O64">
        <f>IF(AND(OR(D64="S. acutus",D64="S. californicus",D64="S. tabernaemontani"),G64=0),E64*[1]Sheet1!$D$7+[1]Sheet1!$L$7,IF(AND(OR(D64="S. acutus",D64="S. tabernaemontani"),G64&gt;0),E64*[1]Sheet1!$D$8+N64*[1]Sheet1!$E$8,IF(AND(D64="S. californicus",G64&gt;0),E64*[1]Sheet1!$D$9+N64*[1]Sheet1!$E$9,IF(D64="S. maritimus",F64*[1]Sheet1!$C$10+E64*[1]Sheet1!$D$10+G64*[1]Sheet1!$F$10+[1]Sheet1!$L$10,IF(D64="S. americanus",F64*[1]Sheet1!$C$6+E64*[1]Sheet1!$D$6+[1]Sheet1!$L$6,IF(AND(OR(D64="T. domingensis",D64="T. latifolia"),E64&gt;0),F64*[1]Sheet1!$C$4+E64*[1]Sheet1!$D$4+H64*[1]Sheet1!$J$4+I64*[1]Sheet1!$K$4+[1]Sheet1!$L$4,IF(AND(OR(D64="T. domingensis",D64="T. latifolia"),J64&gt;0),J64*[1]Sheet1!$G$5+K64*[1]Sheet1!$H$5+L64*[1]Sheet1!$I$5+[1]Sheet1!$L$5,0)))))))</f>
        <v>46.881069000000004</v>
      </c>
      <c r="P64">
        <f t="shared" si="1"/>
        <v>46.881069000000004</v>
      </c>
      <c r="S64">
        <f t="shared" si="2"/>
        <v>11.702108591</v>
      </c>
    </row>
    <row r="65" spans="1:19">
      <c r="A65" s="5">
        <v>42502</v>
      </c>
      <c r="B65" t="s">
        <v>55</v>
      </c>
      <c r="C65">
        <v>12</v>
      </c>
      <c r="D65" t="s">
        <v>61</v>
      </c>
      <c r="F65" s="6">
        <v>4.12</v>
      </c>
      <c r="J65">
        <f>92+103+116+144+192+200+232</f>
        <v>1079</v>
      </c>
      <c r="K65">
        <v>7</v>
      </c>
      <c r="L65">
        <v>232</v>
      </c>
      <c r="N65" t="str">
        <f t="shared" si="0"/>
        <v>NA</v>
      </c>
      <c r="O65">
        <f>IF(AND(OR(D65="S. acutus",D65="S. californicus",D65="S. tabernaemontani"),G65=0),E65*[1]Sheet1!$D$7+[1]Sheet1!$L$7,IF(AND(OR(D65="S. acutus",D65="S. tabernaemontani"),G65&gt;0),E65*[1]Sheet1!$D$8+N65*[1]Sheet1!$E$8,IF(AND(D65="S. californicus",G65&gt;0),E65*[1]Sheet1!$D$9+N65*[1]Sheet1!$E$9,IF(D65="S. maritimus",F65*[1]Sheet1!$C$10+E65*[1]Sheet1!$D$10+G65*[1]Sheet1!$F$10+[1]Sheet1!$L$10,IF(D65="S. americanus",F65*[1]Sheet1!$C$6+E65*[1]Sheet1!$D$6+[1]Sheet1!$L$6,IF(AND(OR(D65="T. domingensis",D65="T. latifolia"),E65&gt;0),F65*[1]Sheet1!$C$4+E65*[1]Sheet1!$D$4+H65*[1]Sheet1!$J$4+I65*[1]Sheet1!$K$4+[1]Sheet1!$L$4,IF(AND(OR(D65="T. domingensis",D65="T. latifolia"),J65&gt;0),J65*[1]Sheet1!$G$5+K65*[1]Sheet1!$H$5+L65*[1]Sheet1!$I$5+[1]Sheet1!$L$5,0)))))))</f>
        <v>15.153318000000006</v>
      </c>
      <c r="P65">
        <f t="shared" si="1"/>
        <v>15.153318000000006</v>
      </c>
      <c r="S65">
        <f t="shared" si="2"/>
        <v>13.331651323999999</v>
      </c>
    </row>
    <row r="66" spans="1:19">
      <c r="A66" s="5">
        <v>42502</v>
      </c>
      <c r="B66" t="s">
        <v>55</v>
      </c>
      <c r="C66">
        <v>12</v>
      </c>
      <c r="D66" t="s">
        <v>61</v>
      </c>
      <c r="F66" s="6">
        <v>1.28</v>
      </c>
      <c r="J66">
        <f>128+169</f>
        <v>297</v>
      </c>
      <c r="K66">
        <v>2</v>
      </c>
      <c r="L66">
        <v>169</v>
      </c>
      <c r="N66" t="str">
        <f t="shared" si="0"/>
        <v>NA</v>
      </c>
      <c r="O66">
        <f>IF(AND(OR(D66="S. acutus",D66="S. californicus",D66="S. tabernaemontani"),G66=0),E66*[1]Sheet1!$D$7+[1]Sheet1!$L$7,IF(AND(OR(D66="S. acutus",D66="S. tabernaemontani"),G66&gt;0),E66*[1]Sheet1!$D$8+N66*[1]Sheet1!$E$8,IF(AND(D66="S. californicus",G66&gt;0),E66*[1]Sheet1!$D$9+N66*[1]Sheet1!$E$9,IF(D66="S. maritimus",F66*[1]Sheet1!$C$10+E66*[1]Sheet1!$D$10+G66*[1]Sheet1!$F$10+[1]Sheet1!$L$10,IF(D66="S. americanus",F66*[1]Sheet1!$C$6+E66*[1]Sheet1!$D$6+[1]Sheet1!$L$6,IF(AND(OR(D66="T. domingensis",D66="T. latifolia"),E66&gt;0),F66*[1]Sheet1!$C$4+E66*[1]Sheet1!$D$4+H66*[1]Sheet1!$J$4+I66*[1]Sheet1!$K$4+[1]Sheet1!$L$4,IF(AND(OR(D66="T. domingensis",D66="T. latifolia"),J66&gt;0),J66*[1]Sheet1!$G$5+K66*[1]Sheet1!$H$5+L66*[1]Sheet1!$I$5+[1]Sheet1!$L$5,0)))))))</f>
        <v>-4.072891999999996</v>
      </c>
      <c r="P66" t="str">
        <f t="shared" si="1"/>
        <v xml:space="preserve"> </v>
      </c>
      <c r="S66">
        <f t="shared" si="2"/>
        <v>1.286795264</v>
      </c>
    </row>
    <row r="67" spans="1:19">
      <c r="A67" s="5">
        <v>42502</v>
      </c>
      <c r="B67" t="s">
        <v>55</v>
      </c>
      <c r="C67">
        <v>12</v>
      </c>
      <c r="D67" t="s">
        <v>61</v>
      </c>
      <c r="F67" s="6">
        <v>1.53</v>
      </c>
      <c r="J67">
        <f>57+65+100+107+130+129</f>
        <v>588</v>
      </c>
      <c r="K67">
        <v>6</v>
      </c>
      <c r="L67">
        <v>129</v>
      </c>
      <c r="N67" t="str">
        <f t="shared" si="0"/>
        <v>NA</v>
      </c>
      <c r="O67">
        <f>IF(AND(OR(D67="S. acutus",D67="S. californicus",D67="S. tabernaemontani"),G67=0),E67*[1]Sheet1!$D$7+[1]Sheet1!$L$7,IF(AND(OR(D67="S. acutus",D67="S. tabernaemontani"),G67&gt;0),E67*[1]Sheet1!$D$8+N67*[1]Sheet1!$E$8,IF(AND(D67="S. californicus",G67&gt;0),E67*[1]Sheet1!$D$9+N67*[1]Sheet1!$E$9,IF(D67="S. maritimus",F67*[1]Sheet1!$C$10+E67*[1]Sheet1!$D$10+G67*[1]Sheet1!$F$10+[1]Sheet1!$L$10,IF(D67="S. americanus",F67*[1]Sheet1!$C$6+E67*[1]Sheet1!$D$6+[1]Sheet1!$L$6,IF(AND(OR(D67="T. domingensis",D67="T. latifolia"),E67&gt;0),F67*[1]Sheet1!$C$4+E67*[1]Sheet1!$D$4+H67*[1]Sheet1!$J$4+I67*[1]Sheet1!$K$4+[1]Sheet1!$L$4,IF(AND(OR(D67="T. domingensis",D67="T. latifolia"),J67&gt;0),J67*[1]Sheet1!$G$5+K67*[1]Sheet1!$H$5+L67*[1]Sheet1!$I$5+[1]Sheet1!$L$5,0)))))))</f>
        <v>7.1702009999999987</v>
      </c>
      <c r="P67">
        <f t="shared" si="1"/>
        <v>7.1702009999999987</v>
      </c>
      <c r="S67">
        <f t="shared" si="2"/>
        <v>1.8385370077499998</v>
      </c>
    </row>
    <row r="68" spans="1:19">
      <c r="A68" s="5">
        <v>42502</v>
      </c>
      <c r="B68" t="s">
        <v>55</v>
      </c>
      <c r="C68">
        <v>12</v>
      </c>
      <c r="D68" t="s">
        <v>61</v>
      </c>
      <c r="F68" s="6">
        <v>1.39</v>
      </c>
      <c r="J68">
        <f>40+65+73</f>
        <v>178</v>
      </c>
      <c r="K68">
        <v>3</v>
      </c>
      <c r="L68">
        <v>73</v>
      </c>
      <c r="N68" t="str">
        <f t="shared" ref="N68:N131" si="3">IF(OR(D68="S. acutus", D68="S. tabernaemontani", D68="S. californicus"),(1/3)*(3.14159)*((F68/2)^2)*E68,"NA")</f>
        <v>NA</v>
      </c>
      <c r="O68">
        <f>IF(AND(OR(D68="S. acutus",D68="S. californicus",D68="S. tabernaemontani"),G68=0),E68*[1]Sheet1!$D$7+[1]Sheet1!$L$7,IF(AND(OR(D68="S. acutus",D68="S. tabernaemontani"),G68&gt;0),E68*[1]Sheet1!$D$8+N68*[1]Sheet1!$E$8,IF(AND(D68="S. californicus",G68&gt;0),E68*[1]Sheet1!$D$9+N68*[1]Sheet1!$E$9,IF(D68="S. maritimus",F68*[1]Sheet1!$C$10+E68*[1]Sheet1!$D$10+G68*[1]Sheet1!$F$10+[1]Sheet1!$L$10,IF(D68="S. americanus",F68*[1]Sheet1!$C$6+E68*[1]Sheet1!$D$6+[1]Sheet1!$L$6,IF(AND(OR(D68="T. domingensis",D68="T. latifolia"),E68&gt;0),F68*[1]Sheet1!$C$4+E68*[1]Sheet1!$D$4+H68*[1]Sheet1!$J$4+I68*[1]Sheet1!$K$4+[1]Sheet1!$L$4,IF(AND(OR(D68="T. domingensis",D68="T. latifolia"),J68&gt;0),J68*[1]Sheet1!$G$5+K68*[1]Sheet1!$H$5+L68*[1]Sheet1!$I$5+[1]Sheet1!$L$5,0)))))))</f>
        <v>6.6674299999999995</v>
      </c>
      <c r="P68">
        <f t="shared" ref="P68:P131" si="4">IF(O68&lt;0," ",O68)</f>
        <v>6.6674299999999995</v>
      </c>
      <c r="S68">
        <f t="shared" ref="S68:S131" si="5">3.14159*((F68/2)^2)</f>
        <v>1.5174665097499997</v>
      </c>
    </row>
    <row r="69" spans="1:19">
      <c r="A69" s="5">
        <v>42502</v>
      </c>
      <c r="B69" t="s">
        <v>55</v>
      </c>
      <c r="C69">
        <v>12</v>
      </c>
      <c r="D69" t="s">
        <v>61</v>
      </c>
      <c r="F69">
        <f>0.49</f>
        <v>0.49</v>
      </c>
      <c r="J69">
        <f>9+21+21</f>
        <v>51</v>
      </c>
      <c r="K69">
        <v>3</v>
      </c>
      <c r="L69">
        <v>21</v>
      </c>
      <c r="N69" t="str">
        <f t="shared" si="3"/>
        <v>NA</v>
      </c>
      <c r="O69">
        <f>IF(AND(OR(D69="S. acutus",D69="S. californicus",D69="S. tabernaemontani"),G69=0),E69*[1]Sheet1!$D$7+[1]Sheet1!$L$7,IF(AND(OR(D69="S. acutus",D69="S. tabernaemontani"),G69&gt;0),E69*[1]Sheet1!$D$8+N69*[1]Sheet1!$E$8,IF(AND(D69="S. californicus",G69&gt;0),E69*[1]Sheet1!$D$9+N69*[1]Sheet1!$E$9,IF(D69="S. maritimus",F69*[1]Sheet1!$C$10+E69*[1]Sheet1!$D$10+G69*[1]Sheet1!$F$10+[1]Sheet1!$L$10,IF(D69="S. americanus",F69*[1]Sheet1!$C$6+E69*[1]Sheet1!$D$6+[1]Sheet1!$L$6,IF(AND(OR(D69="T. domingensis",D69="T. latifolia"),E69&gt;0),F69*[1]Sheet1!$C$4+E69*[1]Sheet1!$D$4+H69*[1]Sheet1!$J$4+I69*[1]Sheet1!$K$4+[1]Sheet1!$L$4,IF(AND(OR(D69="T. domingensis",D69="T. latifolia"),J69&gt;0),J69*[1]Sheet1!$G$5+K69*[1]Sheet1!$H$5+L69*[1]Sheet1!$I$5+[1]Sheet1!$L$5,0)))))))</f>
        <v>10.425284999999995</v>
      </c>
      <c r="P69">
        <f t="shared" si="4"/>
        <v>10.425284999999995</v>
      </c>
      <c r="S69">
        <f t="shared" si="5"/>
        <v>0.18857393974999997</v>
      </c>
    </row>
    <row r="70" spans="1:19">
      <c r="A70" s="5">
        <v>42502</v>
      </c>
      <c r="B70" t="s">
        <v>55</v>
      </c>
      <c r="C70">
        <v>12</v>
      </c>
      <c r="D70" t="s">
        <v>61</v>
      </c>
      <c r="F70" s="6">
        <v>2.82</v>
      </c>
      <c r="J70">
        <f>40+90+101+120+136+142+152</f>
        <v>781</v>
      </c>
      <c r="K70">
        <v>7</v>
      </c>
      <c r="L70">
        <v>152</v>
      </c>
      <c r="N70" t="str">
        <f t="shared" si="3"/>
        <v>NA</v>
      </c>
      <c r="O70">
        <f>IF(AND(OR(D70="S. acutus",D70="S. californicus",D70="S. tabernaemontani"),G70=0),E70*[1]Sheet1!$D$7+[1]Sheet1!$L$7,IF(AND(OR(D70="S. acutus",D70="S. tabernaemontani"),G70&gt;0),E70*[1]Sheet1!$D$8+N70*[1]Sheet1!$E$8,IF(AND(D70="S. californicus",G70&gt;0),E70*[1]Sheet1!$D$9+N70*[1]Sheet1!$E$9,IF(D70="S. maritimus",F70*[1]Sheet1!$C$10+E70*[1]Sheet1!$D$10+G70*[1]Sheet1!$F$10+[1]Sheet1!$L$10,IF(D70="S. americanus",F70*[1]Sheet1!$C$6+E70*[1]Sheet1!$D$6+[1]Sheet1!$L$6,IF(AND(OR(D70="T. domingensis",D70="T. latifolia"),E70&gt;0),F70*[1]Sheet1!$C$4+E70*[1]Sheet1!$D$4+H70*[1]Sheet1!$J$4+I70*[1]Sheet1!$K$4+[1]Sheet1!$L$4,IF(AND(OR(D70="T. domingensis",D70="T. latifolia"),J70&gt;0),J70*[1]Sheet1!$G$5+K70*[1]Sheet1!$H$5+L70*[1]Sheet1!$I$5+[1]Sheet1!$L$5,0)))))))</f>
        <v>11.313928000000004</v>
      </c>
      <c r="P70">
        <f t="shared" si="4"/>
        <v>11.313928000000004</v>
      </c>
      <c r="S70">
        <f t="shared" si="5"/>
        <v>6.2457950789999988</v>
      </c>
    </row>
    <row r="71" spans="1:19">
      <c r="A71" s="5">
        <v>42502</v>
      </c>
      <c r="B71" t="s">
        <v>55</v>
      </c>
      <c r="C71">
        <v>7</v>
      </c>
      <c r="D71" t="s">
        <v>61</v>
      </c>
      <c r="M71" t="s">
        <v>67</v>
      </c>
      <c r="N71" t="str">
        <f t="shared" si="3"/>
        <v>NA</v>
      </c>
      <c r="O71">
        <f>IF(AND(OR(D71="S. acutus",D71="S. californicus",D71="S. tabernaemontani"),G71=0),E71*[1]Sheet1!$D$7+[1]Sheet1!$L$7,IF(AND(OR(D71="S. acutus",D71="S. tabernaemontani"),G71&gt;0),E71*[1]Sheet1!$D$8+N71*[1]Sheet1!$E$8,IF(AND(D71="S. californicus",G71&gt;0),E71*[1]Sheet1!$D$9+N71*[1]Sheet1!$E$9,IF(D71="S. maritimus",F71*[1]Sheet1!$C$10+E71*[1]Sheet1!$D$10+G71*[1]Sheet1!$F$10+[1]Sheet1!$L$10,IF(D71="S. americanus",F71*[1]Sheet1!$C$6+E71*[1]Sheet1!$D$6+[1]Sheet1!$L$6,IF(AND(OR(D71="T. domingensis",D71="T. latifolia"),E71&gt;0),F71*[1]Sheet1!$C$4+E71*[1]Sheet1!$D$4+H71*[1]Sheet1!$J$4+I71*[1]Sheet1!$K$4+[1]Sheet1!$L$4,IF(AND(OR(D71="T. domingensis",D71="T. latifolia"),J71&gt;0),J71*[1]Sheet1!$G$5+K71*[1]Sheet1!$H$5+L71*[1]Sheet1!$I$5+[1]Sheet1!$L$5,0)))))))</f>
        <v>0</v>
      </c>
      <c r="P71">
        <f t="shared" si="4"/>
        <v>0</v>
      </c>
      <c r="S71">
        <f t="shared" si="5"/>
        <v>0</v>
      </c>
    </row>
    <row r="72" spans="1:19">
      <c r="A72" s="5">
        <v>42502</v>
      </c>
      <c r="B72" t="s">
        <v>55</v>
      </c>
      <c r="C72">
        <v>1</v>
      </c>
      <c r="D72" t="s">
        <v>61</v>
      </c>
      <c r="F72" s="6">
        <v>1.9</v>
      </c>
      <c r="J72">
        <f>47+58+95+102+102</f>
        <v>404</v>
      </c>
      <c r="K72">
        <v>5</v>
      </c>
      <c r="L72">
        <v>102</v>
      </c>
      <c r="N72" t="str">
        <f t="shared" si="3"/>
        <v>NA</v>
      </c>
      <c r="O72">
        <f>IF(AND(OR(D72="S. acutus",D72="S. californicus",D72="S. tabernaemontani"),G72=0),E72*[1]Sheet1!$D$7+[1]Sheet1!$L$7,IF(AND(OR(D72="S. acutus",D72="S. tabernaemontani"),G72&gt;0),E72*[1]Sheet1!$D$8+N72*[1]Sheet1!$E$8,IF(AND(D72="S. californicus",G72&gt;0),E72*[1]Sheet1!$D$9+N72*[1]Sheet1!$E$9,IF(D72="S. maritimus",F72*[1]Sheet1!$C$10+E72*[1]Sheet1!$D$10+G72*[1]Sheet1!$F$10+[1]Sheet1!$L$10,IF(D72="S. americanus",F72*[1]Sheet1!$C$6+E72*[1]Sheet1!$D$6+[1]Sheet1!$L$6,IF(AND(OR(D72="T. domingensis",D72="T. latifolia"),E72&gt;0),F72*[1]Sheet1!$C$4+E72*[1]Sheet1!$D$4+H72*[1]Sheet1!$J$4+I72*[1]Sheet1!$K$4+[1]Sheet1!$L$4,IF(AND(OR(D72="T. domingensis",D72="T. latifolia"),J72&gt;0),J72*[1]Sheet1!$G$5+K72*[1]Sheet1!$H$5+L72*[1]Sheet1!$I$5+[1]Sheet1!$L$5,0)))))))</f>
        <v>5.075249000000003</v>
      </c>
      <c r="P72">
        <f t="shared" si="4"/>
        <v>5.075249000000003</v>
      </c>
      <c r="S72">
        <f t="shared" si="5"/>
        <v>2.835284975</v>
      </c>
    </row>
    <row r="73" spans="1:19">
      <c r="A73" s="5">
        <v>42502</v>
      </c>
      <c r="B73" t="s">
        <v>55</v>
      </c>
      <c r="C73">
        <v>1</v>
      </c>
      <c r="D73" t="s">
        <v>61</v>
      </c>
      <c r="F73">
        <v>2.64</v>
      </c>
      <c r="J73">
        <f>109+141+153+173+182+198</f>
        <v>956</v>
      </c>
      <c r="K73">
        <v>6</v>
      </c>
      <c r="L73">
        <v>198</v>
      </c>
      <c r="N73" t="str">
        <f t="shared" si="3"/>
        <v>NA</v>
      </c>
      <c r="O73">
        <f>IF(AND(OR(D73="S. acutus",D73="S. californicus",D73="S. tabernaemontani"),G73=0),E73*[1]Sheet1!$D$7+[1]Sheet1!$L$7,IF(AND(OR(D73="S. acutus",D73="S. tabernaemontani"),G73&gt;0),E73*[1]Sheet1!$D$8+N73*[1]Sheet1!$E$8,IF(AND(D73="S. californicus",G73&gt;0),E73*[1]Sheet1!$D$9+N73*[1]Sheet1!$E$9,IF(D73="S. maritimus",F73*[1]Sheet1!$C$10+E73*[1]Sheet1!$D$10+G73*[1]Sheet1!$F$10+[1]Sheet1!$L$10,IF(D73="S. americanus",F73*[1]Sheet1!$C$6+E73*[1]Sheet1!$D$6+[1]Sheet1!$L$6,IF(AND(OR(D73="T. domingensis",D73="T. latifolia"),E73&gt;0),F73*[1]Sheet1!$C$4+E73*[1]Sheet1!$D$4+H73*[1]Sheet1!$J$4+I73*[1]Sheet1!$K$4+[1]Sheet1!$L$4,IF(AND(OR(D73="T. domingensis",D73="T. latifolia"),J73&gt;0),J73*[1]Sheet1!$G$5+K73*[1]Sheet1!$H$5+L73*[1]Sheet1!$I$5+[1]Sheet1!$L$5,0)))))))</f>
        <v>20.886136000000008</v>
      </c>
      <c r="P73">
        <f t="shared" si="4"/>
        <v>20.886136000000008</v>
      </c>
      <c r="S73">
        <f t="shared" si="5"/>
        <v>5.4739064160000002</v>
      </c>
    </row>
    <row r="74" spans="1:19">
      <c r="A74" s="5">
        <v>42502</v>
      </c>
      <c r="B74" t="s">
        <v>55</v>
      </c>
      <c r="C74">
        <v>1</v>
      </c>
      <c r="D74" t="s">
        <v>61</v>
      </c>
      <c r="F74" s="6">
        <v>0.7</v>
      </c>
      <c r="J74">
        <f>16+20+22</f>
        <v>58</v>
      </c>
      <c r="K74">
        <v>3</v>
      </c>
      <c r="L74">
        <v>22</v>
      </c>
      <c r="N74" t="str">
        <f t="shared" si="3"/>
        <v>NA</v>
      </c>
      <c r="O74">
        <f>IF(AND(OR(D74="S. acutus",D74="S. californicus",D74="S. tabernaemontani"),G74=0),E74*[1]Sheet1!$D$7+[1]Sheet1!$L$7,IF(AND(OR(D74="S. acutus",D74="S. tabernaemontani"),G74&gt;0),E74*[1]Sheet1!$D$8+N74*[1]Sheet1!$E$8,IF(AND(D74="S. californicus",G74&gt;0),E74*[1]Sheet1!$D$9+N74*[1]Sheet1!$E$9,IF(D74="S. maritimus",F74*[1]Sheet1!$C$10+E74*[1]Sheet1!$D$10+G74*[1]Sheet1!$F$10+[1]Sheet1!$L$10,IF(D74="S. americanus",F74*[1]Sheet1!$C$6+E74*[1]Sheet1!$D$6+[1]Sheet1!$L$6,IF(AND(OR(D74="T. domingensis",D74="T. latifolia"),E74&gt;0),F74*[1]Sheet1!$C$4+E74*[1]Sheet1!$D$4+H74*[1]Sheet1!$J$4+I74*[1]Sheet1!$K$4+[1]Sheet1!$L$4,IF(AND(OR(D74="T. domingensis",D74="T. latifolia"),J74&gt;0),J74*[1]Sheet1!$G$5+K74*[1]Sheet1!$H$5+L74*[1]Sheet1!$I$5+[1]Sheet1!$L$5,0)))))))</f>
        <v>10.780324999999998</v>
      </c>
      <c r="P74">
        <f t="shared" si="4"/>
        <v>10.780324999999998</v>
      </c>
      <c r="S74">
        <f t="shared" si="5"/>
        <v>0.38484477499999992</v>
      </c>
    </row>
    <row r="75" spans="1:19">
      <c r="A75" s="5">
        <v>42502</v>
      </c>
      <c r="B75" t="s">
        <v>55</v>
      </c>
      <c r="C75">
        <v>1</v>
      </c>
      <c r="D75" t="s">
        <v>61</v>
      </c>
      <c r="F75">
        <v>1.87</v>
      </c>
      <c r="J75">
        <f>71+77+104+138+156</f>
        <v>546</v>
      </c>
      <c r="K75">
        <v>5</v>
      </c>
      <c r="L75">
        <v>156</v>
      </c>
      <c r="N75" t="str">
        <f t="shared" si="3"/>
        <v>NA</v>
      </c>
      <c r="O75">
        <f>IF(AND(OR(D75="S. acutus",D75="S. californicus",D75="S. tabernaemontani"),G75=0),E75*[1]Sheet1!$D$7+[1]Sheet1!$L$7,IF(AND(OR(D75="S. acutus",D75="S. tabernaemontani"),G75&gt;0),E75*[1]Sheet1!$D$8+N75*[1]Sheet1!$E$8,IF(AND(D75="S. californicus",G75&gt;0),E75*[1]Sheet1!$D$9+N75*[1]Sheet1!$E$9,IF(D75="S. maritimus",F75*[1]Sheet1!$C$10+E75*[1]Sheet1!$D$10+G75*[1]Sheet1!$F$10+[1]Sheet1!$L$10,IF(D75="S. americanus",F75*[1]Sheet1!$C$6+E75*[1]Sheet1!$D$6+[1]Sheet1!$L$6,IF(AND(OR(D75="T. domingensis",D75="T. latifolia"),E75&gt;0),F75*[1]Sheet1!$C$4+E75*[1]Sheet1!$D$4+H75*[1]Sheet1!$J$4+I75*[1]Sheet1!$K$4+[1]Sheet1!$L$4,IF(AND(OR(D75="T. domingensis",D75="T. latifolia"),J75&gt;0),J75*[1]Sheet1!$G$5+K75*[1]Sheet1!$H$5+L75*[1]Sheet1!$I$5+[1]Sheet1!$L$5,0)))))))</f>
        <v>2.1212289999999996</v>
      </c>
      <c r="P75">
        <f t="shared" si="4"/>
        <v>2.1212289999999996</v>
      </c>
      <c r="S75">
        <f t="shared" si="5"/>
        <v>2.7464565177500004</v>
      </c>
    </row>
    <row r="76" spans="1:19">
      <c r="A76" s="5">
        <v>42502</v>
      </c>
      <c r="B76" t="s">
        <v>55</v>
      </c>
      <c r="C76">
        <v>1</v>
      </c>
      <c r="D76" t="s">
        <v>61</v>
      </c>
      <c r="F76" s="6">
        <v>2.8</v>
      </c>
      <c r="J76">
        <f>74+106+138+153+183+190</f>
        <v>844</v>
      </c>
      <c r="K76">
        <v>6</v>
      </c>
      <c r="L76">
        <v>190</v>
      </c>
      <c r="N76" t="str">
        <f t="shared" si="3"/>
        <v>NA</v>
      </c>
      <c r="O76">
        <f>IF(AND(OR(D76="S. acutus",D76="S. californicus",D76="S. tabernaemontani"),G76=0),E76*[1]Sheet1!$D$7+[1]Sheet1!$L$7,IF(AND(OR(D76="S. acutus",D76="S. tabernaemontani"),G76&gt;0),E76*[1]Sheet1!$D$8+N76*[1]Sheet1!$E$8,IF(AND(D76="S. californicus",G76&gt;0),E76*[1]Sheet1!$D$9+N76*[1]Sheet1!$E$9,IF(D76="S. maritimus",F76*[1]Sheet1!$C$10+E76*[1]Sheet1!$D$10+G76*[1]Sheet1!$F$10+[1]Sheet1!$L$10,IF(D76="S. americanus",F76*[1]Sheet1!$C$6+E76*[1]Sheet1!$D$6+[1]Sheet1!$L$6,IF(AND(OR(D76="T. domingensis",D76="T. latifolia"),E76&gt;0),F76*[1]Sheet1!$C$4+E76*[1]Sheet1!$D$4+H76*[1]Sheet1!$J$4+I76*[1]Sheet1!$K$4+[1]Sheet1!$L$4,IF(AND(OR(D76="T. domingensis",D76="T. latifolia"),J76&gt;0),J76*[1]Sheet1!$G$5+K76*[1]Sheet1!$H$5+L76*[1]Sheet1!$I$5+[1]Sheet1!$L$5,0)))))))</f>
        <v>12.795536000000006</v>
      </c>
      <c r="P76">
        <f t="shared" si="4"/>
        <v>12.795536000000006</v>
      </c>
      <c r="S76">
        <f t="shared" si="5"/>
        <v>6.1575163999999987</v>
      </c>
    </row>
    <row r="77" spans="1:19">
      <c r="A77" s="5">
        <v>42502</v>
      </c>
      <c r="B77" t="s">
        <v>55</v>
      </c>
      <c r="C77">
        <v>1</v>
      </c>
      <c r="D77" t="s">
        <v>61</v>
      </c>
      <c r="F77">
        <v>0.69</v>
      </c>
      <c r="J77">
        <f>21+25+27</f>
        <v>73</v>
      </c>
      <c r="K77">
        <v>3</v>
      </c>
      <c r="L77">
        <v>27</v>
      </c>
      <c r="N77" t="str">
        <f t="shared" si="3"/>
        <v>NA</v>
      </c>
      <c r="O77">
        <f>IF(AND(OR(D77="S. acutus",D77="S. californicus",D77="S. tabernaemontani"),G77=0),E77*[1]Sheet1!$D$7+[1]Sheet1!$L$7,IF(AND(OR(D77="S. acutus",D77="S. tabernaemontani"),G77&gt;0),E77*[1]Sheet1!$D$8+N77*[1]Sheet1!$E$8,IF(AND(D77="S. californicus",G77&gt;0),E77*[1]Sheet1!$D$9+N77*[1]Sheet1!$E$9,IF(D77="S. maritimus",F77*[1]Sheet1!$C$10+E77*[1]Sheet1!$D$10+G77*[1]Sheet1!$F$10+[1]Sheet1!$L$10,IF(D77="S. americanus",F77*[1]Sheet1!$C$6+E77*[1]Sheet1!$D$6+[1]Sheet1!$L$6,IF(AND(OR(D77="T. domingensis",D77="T. latifolia"),E77&gt;0),F77*[1]Sheet1!$C$4+E77*[1]Sheet1!$D$4+H77*[1]Sheet1!$J$4+I77*[1]Sheet1!$K$4+[1]Sheet1!$L$4,IF(AND(OR(D77="T. domingensis",D77="T. latifolia"),J77&gt;0),J77*[1]Sheet1!$G$5+K77*[1]Sheet1!$H$5+L77*[1]Sheet1!$I$5+[1]Sheet1!$L$5,0)))))))</f>
        <v>10.680425</v>
      </c>
      <c r="P77">
        <f t="shared" si="4"/>
        <v>10.680425</v>
      </c>
      <c r="S77">
        <f t="shared" si="5"/>
        <v>0.37392774974999993</v>
      </c>
    </row>
    <row r="78" spans="1:19">
      <c r="A78" s="5">
        <v>42503</v>
      </c>
      <c r="B78" t="s">
        <v>21</v>
      </c>
      <c r="C78">
        <v>43</v>
      </c>
      <c r="D78" t="s">
        <v>61</v>
      </c>
      <c r="F78">
        <v>1.26</v>
      </c>
      <c r="J78">
        <f>99+107+179+264</f>
        <v>649</v>
      </c>
      <c r="K78">
        <v>4</v>
      </c>
      <c r="L78">
        <v>264</v>
      </c>
      <c r="N78" t="str">
        <f t="shared" si="3"/>
        <v>NA</v>
      </c>
      <c r="O78">
        <f>IF(AND(OR(D78="S. acutus",D78="S. californicus",D78="S. tabernaemontani"),G78=0),E78*[1]Sheet1!$D$7+[1]Sheet1!$L$7,IF(AND(OR(D78="S. acutus",D78="S. tabernaemontani"),G78&gt;0),E78*[1]Sheet1!$D$8+N78*[1]Sheet1!$E$8,IF(AND(D78="S. californicus",G78&gt;0),E78*[1]Sheet1!$D$9+N78*[1]Sheet1!$E$9,IF(D78="S. maritimus",F78*[1]Sheet1!$C$10+E78*[1]Sheet1!$D$10+G78*[1]Sheet1!$F$10+[1]Sheet1!$L$10,IF(D78="S. americanus",F78*[1]Sheet1!$C$6+E78*[1]Sheet1!$D$6+[1]Sheet1!$L$6,IF(AND(OR(D78="T. domingensis",D78="T. latifolia"),E78&gt;0),F78*[1]Sheet1!$C$4+E78*[1]Sheet1!$D$4+H78*[1]Sheet1!$J$4+I78*[1]Sheet1!$K$4+[1]Sheet1!$L$4,IF(AND(OR(D78="T. domingensis",D78="T. latifolia"),J78&gt;0),J78*[1]Sheet1!$G$5+K78*[1]Sheet1!$H$5+L78*[1]Sheet1!$I$5+[1]Sheet1!$L$5,0)))))))</f>
        <v>-13.734113000000001</v>
      </c>
      <c r="P78" t="str">
        <f t="shared" si="4"/>
        <v xml:space="preserve"> </v>
      </c>
      <c r="S78">
        <f t="shared" si="5"/>
        <v>1.246897071</v>
      </c>
    </row>
    <row r="79" spans="1:19">
      <c r="A79" s="5">
        <v>42503</v>
      </c>
      <c r="B79" t="s">
        <v>21</v>
      </c>
      <c r="C79">
        <v>43</v>
      </c>
      <c r="D79" t="s">
        <v>61</v>
      </c>
      <c r="F79">
        <v>1.46</v>
      </c>
      <c r="J79">
        <f>93+151+212+256+264</f>
        <v>976</v>
      </c>
      <c r="K79">
        <v>5</v>
      </c>
      <c r="L79">
        <v>264</v>
      </c>
      <c r="N79" t="str">
        <f t="shared" si="3"/>
        <v>NA</v>
      </c>
      <c r="O79">
        <f>IF(AND(OR(D79="S. acutus",D79="S. californicus",D79="S. tabernaemontani"),G79=0),E79*[1]Sheet1!$D$7+[1]Sheet1!$L$7,IF(AND(OR(D79="S. acutus",D79="S. tabernaemontani"),G79&gt;0),E79*[1]Sheet1!$D$8+N79*[1]Sheet1!$E$8,IF(AND(D79="S. californicus",G79&gt;0),E79*[1]Sheet1!$D$9+N79*[1]Sheet1!$E$9,IF(D79="S. maritimus",F79*[1]Sheet1!$C$10+E79*[1]Sheet1!$D$10+G79*[1]Sheet1!$F$10+[1]Sheet1!$L$10,IF(D79="S. americanus",F79*[1]Sheet1!$C$6+E79*[1]Sheet1!$D$6+[1]Sheet1!$L$6,IF(AND(OR(D79="T. domingensis",D79="T. latifolia"),E79&gt;0),F79*[1]Sheet1!$C$4+E79*[1]Sheet1!$D$4+H79*[1]Sheet1!$J$4+I79*[1]Sheet1!$K$4+[1]Sheet1!$L$4,IF(AND(OR(D79="T. domingensis",D79="T. latifolia"),J79&gt;0),J79*[1]Sheet1!$G$5+K79*[1]Sheet1!$H$5+L79*[1]Sheet1!$I$5+[1]Sheet1!$L$5,0)))))))</f>
        <v>9.9014190000000042</v>
      </c>
      <c r="P79">
        <f t="shared" si="4"/>
        <v>9.9014190000000042</v>
      </c>
      <c r="S79">
        <f t="shared" si="5"/>
        <v>1.6741533109999998</v>
      </c>
    </row>
    <row r="80" spans="1:19">
      <c r="A80" s="7">
        <v>42503</v>
      </c>
      <c r="B80" t="s">
        <v>21</v>
      </c>
      <c r="C80">
        <v>43</v>
      </c>
      <c r="D80" t="s">
        <v>61</v>
      </c>
      <c r="F80">
        <v>2.4300000000000002</v>
      </c>
      <c r="J80">
        <f>207+255+287+313+314+324</f>
        <v>1700</v>
      </c>
      <c r="K80">
        <v>6</v>
      </c>
      <c r="L80">
        <v>324</v>
      </c>
      <c r="N80" t="str">
        <f t="shared" si="3"/>
        <v>NA</v>
      </c>
      <c r="O80">
        <f>IF(AND(OR(D80="S. acutus",D80="S. californicus",D80="S. tabernaemontani"),G80=0),E80*[1]Sheet1!$D$7+[1]Sheet1!$L$7,IF(AND(OR(D80="S. acutus",D80="S. tabernaemontani"),G80&gt;0),E80*[1]Sheet1!$D$8+N80*[1]Sheet1!$E$8,IF(AND(D80="S. californicus",G80&gt;0),E80*[1]Sheet1!$D$9+N80*[1]Sheet1!$E$9,IF(D80="S. maritimus",F80*[1]Sheet1!$C$10+E80*[1]Sheet1!$D$10+G80*[1]Sheet1!$F$10+[1]Sheet1!$L$10,IF(D80="S. americanus",F80*[1]Sheet1!$C$6+E80*[1]Sheet1!$D$6+[1]Sheet1!$L$6,IF(AND(OR(D80="T. domingensis",D80="T. latifolia"),E80&gt;0),F80*[1]Sheet1!$C$4+E80*[1]Sheet1!$D$4+H80*[1]Sheet1!$J$4+I80*[1]Sheet1!$K$4+[1]Sheet1!$L$4,IF(AND(OR(D80="T. domingensis",D80="T. latifolia"),J80&gt;0),J80*[1]Sheet1!$G$5+K80*[1]Sheet1!$H$5+L80*[1]Sheet1!$I$5+[1]Sheet1!$L$5,0)))))))</f>
        <v>52.682985999999993</v>
      </c>
      <c r="P80">
        <f t="shared" si="4"/>
        <v>52.682985999999993</v>
      </c>
      <c r="S80">
        <f t="shared" si="5"/>
        <v>4.6376936977500005</v>
      </c>
    </row>
    <row r="81" spans="1:19">
      <c r="A81" s="7">
        <v>42503</v>
      </c>
      <c r="B81" t="s">
        <v>21</v>
      </c>
      <c r="C81">
        <v>43</v>
      </c>
      <c r="D81" t="s">
        <v>61</v>
      </c>
      <c r="F81">
        <v>1.58</v>
      </c>
      <c r="J81">
        <f>92+186+188+227</f>
        <v>693</v>
      </c>
      <c r="K81">
        <v>4</v>
      </c>
      <c r="L81">
        <v>227</v>
      </c>
      <c r="N81" t="str">
        <f t="shared" si="3"/>
        <v>NA</v>
      </c>
      <c r="O81">
        <f>IF(AND(OR(D81="S. acutus",D81="S. californicus",D81="S. tabernaemontani"),G81=0),E81*[1]Sheet1!$D$7+[1]Sheet1!$L$7,IF(AND(OR(D81="S. acutus",D81="S. tabernaemontani"),G81&gt;0),E81*[1]Sheet1!$D$8+N81*[1]Sheet1!$E$8,IF(AND(D81="S. californicus",G81&gt;0),E81*[1]Sheet1!$D$9+N81*[1]Sheet1!$E$9,IF(D81="S. maritimus",F81*[1]Sheet1!$C$10+E81*[1]Sheet1!$D$10+G81*[1]Sheet1!$F$10+[1]Sheet1!$L$10,IF(D81="S. americanus",F81*[1]Sheet1!$C$6+E81*[1]Sheet1!$D$6+[1]Sheet1!$L$6,IF(AND(OR(D81="T. domingensis",D81="T. latifolia"),E81&gt;0),F81*[1]Sheet1!$C$4+E81*[1]Sheet1!$D$4+H81*[1]Sheet1!$J$4+I81*[1]Sheet1!$K$4+[1]Sheet1!$L$4,IF(AND(OR(D81="T. domingensis",D81="T. latifolia"),J81&gt;0),J81*[1]Sheet1!$G$5+K81*[1]Sheet1!$H$5+L81*[1]Sheet1!$I$5+[1]Sheet1!$L$5,0)))))))</f>
        <v>1.5371720000000053</v>
      </c>
      <c r="P81">
        <f t="shared" si="4"/>
        <v>1.5371720000000053</v>
      </c>
      <c r="S81">
        <f t="shared" si="5"/>
        <v>1.9606663190000002</v>
      </c>
    </row>
    <row r="82" spans="1:19">
      <c r="A82" s="7">
        <v>42503</v>
      </c>
      <c r="B82" t="s">
        <v>21</v>
      </c>
      <c r="C82">
        <v>43</v>
      </c>
      <c r="D82" s="6" t="s">
        <v>61</v>
      </c>
      <c r="F82">
        <v>1.93</v>
      </c>
      <c r="J82">
        <f>161+159+165+213+229</f>
        <v>927</v>
      </c>
      <c r="K82">
        <v>5</v>
      </c>
      <c r="L82">
        <v>229</v>
      </c>
      <c r="N82" t="str">
        <f t="shared" si="3"/>
        <v>NA</v>
      </c>
      <c r="O82">
        <f>IF(AND(OR(D82="S. acutus",D82="S. californicus",D82="S. tabernaemontani"),G82=0),E82*[1]Sheet1!$D$7+[1]Sheet1!$L$7,IF(AND(OR(D82="S. acutus",D82="S. tabernaemontani"),G82&gt;0),E82*[1]Sheet1!$D$8+N82*[1]Sheet1!$E$8,IF(AND(D82="S. californicus",G82&gt;0),E82*[1]Sheet1!$D$9+N82*[1]Sheet1!$E$9,IF(D82="S. maritimus",F82*[1]Sheet1!$C$10+E82*[1]Sheet1!$D$10+G82*[1]Sheet1!$F$10+[1]Sheet1!$L$10,IF(D82="S. americanus",F82*[1]Sheet1!$C$6+E82*[1]Sheet1!$D$6+[1]Sheet1!$L$6,IF(AND(OR(D82="T. domingensis",D82="T. latifolia"),E82&gt;0),F82*[1]Sheet1!$C$4+E82*[1]Sheet1!$D$4+H82*[1]Sheet1!$J$4+I82*[1]Sheet1!$K$4+[1]Sheet1!$L$4,IF(AND(OR(D82="T. domingensis",D82="T. latifolia"),J82&gt;0),J82*[1]Sheet1!$G$5+K82*[1]Sheet1!$H$5+L82*[1]Sheet1!$I$5+[1]Sheet1!$L$5,0)))))))</f>
        <v>15.850999000000016</v>
      </c>
      <c r="P82">
        <f t="shared" si="4"/>
        <v>15.850999000000016</v>
      </c>
      <c r="S82">
        <f t="shared" si="5"/>
        <v>2.92552714775</v>
      </c>
    </row>
    <row r="83" spans="1:19">
      <c r="A83" s="7">
        <v>42503</v>
      </c>
      <c r="B83" s="7" t="s">
        <v>21</v>
      </c>
      <c r="C83">
        <v>43</v>
      </c>
      <c r="D83" s="6" t="s">
        <v>61</v>
      </c>
      <c r="F83">
        <v>2.96</v>
      </c>
      <c r="J83">
        <f>97+108+162+170+194+230+250+264</f>
        <v>1475</v>
      </c>
      <c r="K83">
        <v>8</v>
      </c>
      <c r="L83">
        <v>264</v>
      </c>
      <c r="N83" t="str">
        <f t="shared" si="3"/>
        <v>NA</v>
      </c>
      <c r="O83">
        <f>IF(AND(OR(D83="S. acutus",D83="S. californicus",D83="S. tabernaemontani"),G83=0),E83*[1]Sheet1!$D$7+[1]Sheet1!$L$7,IF(AND(OR(D83="S. acutus",D83="S. tabernaemontani"),G83&gt;0),E83*[1]Sheet1!$D$8+N83*[1]Sheet1!$E$8,IF(AND(D83="S. californicus",G83&gt;0),E83*[1]Sheet1!$D$9+N83*[1]Sheet1!$E$9,IF(D83="S. maritimus",F83*[1]Sheet1!$C$10+E83*[1]Sheet1!$D$10+G83*[1]Sheet1!$F$10+[1]Sheet1!$L$10,IF(D83="S. americanus",F83*[1]Sheet1!$C$6+E83*[1]Sheet1!$D$6+[1]Sheet1!$L$6,IF(AND(OR(D83="T. domingensis",D83="T. latifolia"),E83&gt;0),F83*[1]Sheet1!$C$4+E83*[1]Sheet1!$D$4+H83*[1]Sheet1!$J$4+I83*[1]Sheet1!$K$4+[1]Sheet1!$L$4,IF(AND(OR(D83="T. domingensis",D83="T. latifolia"),J83&gt;0),J83*[1]Sheet1!$G$5+K83*[1]Sheet1!$H$5+L83*[1]Sheet1!$I$5+[1]Sheet1!$L$5,0)))))))</f>
        <v>35.618105000000007</v>
      </c>
      <c r="P83">
        <f t="shared" si="4"/>
        <v>35.618105000000007</v>
      </c>
      <c r="S83">
        <f t="shared" si="5"/>
        <v>6.8813387359999991</v>
      </c>
    </row>
    <row r="84" spans="1:19">
      <c r="A84" s="7">
        <v>42503</v>
      </c>
      <c r="B84" t="s">
        <v>21</v>
      </c>
      <c r="C84">
        <v>43</v>
      </c>
      <c r="D84" s="6" t="s">
        <v>61</v>
      </c>
      <c r="F84">
        <v>0.65</v>
      </c>
      <c r="J84">
        <f>105+151</f>
        <v>256</v>
      </c>
      <c r="K84">
        <v>2</v>
      </c>
      <c r="L84">
        <v>151</v>
      </c>
      <c r="N84" t="str">
        <f t="shared" si="3"/>
        <v>NA</v>
      </c>
      <c r="O84">
        <f>IF(AND(OR(D84="S. acutus",D84="S. californicus",D84="S. tabernaemontani"),G84=0),E84*[1]Sheet1!$D$7+[1]Sheet1!$L$7,IF(AND(OR(D84="S. acutus",D84="S. tabernaemontani"),G84&gt;0),E84*[1]Sheet1!$D$8+N84*[1]Sheet1!$E$8,IF(AND(D84="S. californicus",G84&gt;0),E84*[1]Sheet1!$D$9+N84*[1]Sheet1!$E$9,IF(D84="S. maritimus",F84*[1]Sheet1!$C$10+E84*[1]Sheet1!$D$10+G84*[1]Sheet1!$F$10+[1]Sheet1!$L$10,IF(D84="S. americanus",F84*[1]Sheet1!$C$6+E84*[1]Sheet1!$D$6+[1]Sheet1!$L$6,IF(AND(OR(D84="T. domingensis",D84="T. latifolia"),E84&gt;0),F84*[1]Sheet1!$C$4+E84*[1]Sheet1!$D$4+H84*[1]Sheet1!$J$4+I84*[1]Sheet1!$K$4+[1]Sheet1!$L$4,IF(AND(OR(D84="T. domingensis",D84="T. latifolia"),J84&gt;0),J84*[1]Sheet1!$G$5+K84*[1]Sheet1!$H$5+L84*[1]Sheet1!$I$5+[1]Sheet1!$L$5,0)))))))</f>
        <v>-2.4944369999999978</v>
      </c>
      <c r="P84" t="str">
        <f t="shared" si="4"/>
        <v xml:space="preserve"> </v>
      </c>
      <c r="S84">
        <f t="shared" si="5"/>
        <v>0.33183044375000004</v>
      </c>
    </row>
    <row r="85" spans="1:19">
      <c r="A85" s="7">
        <v>42503</v>
      </c>
      <c r="B85" t="s">
        <v>21</v>
      </c>
      <c r="C85">
        <v>38</v>
      </c>
      <c r="D85" s="6" t="s">
        <v>62</v>
      </c>
      <c r="E85">
        <v>111</v>
      </c>
      <c r="F85">
        <v>1.8</v>
      </c>
      <c r="N85">
        <f t="shared" si="3"/>
        <v>94.153452299999998</v>
      </c>
      <c r="O85">
        <f>IF(AND(OR(D85="S. acutus",D85="S. californicus",D85="S. tabernaemontani"),G85=0),E85*[1]Sheet1!$D$7+[1]Sheet1!$L$7,IF(AND(OR(D85="S. acutus",D85="S. tabernaemontani"),G85&gt;0),E85*[1]Sheet1!$D$8+N85*[1]Sheet1!$E$8,IF(AND(D85="S. californicus",G85&gt;0),E85*[1]Sheet1!$D$9+N85*[1]Sheet1!$E$9,IF(D85="S. maritimus",F85*[1]Sheet1!$C$10+E85*[1]Sheet1!$D$10+G85*[1]Sheet1!$F$10+[1]Sheet1!$L$10,IF(D85="S. americanus",F85*[1]Sheet1!$C$6+E85*[1]Sheet1!$D$6+[1]Sheet1!$L$6,IF(AND(OR(D85="T. domingensis",D85="T. latifolia"),E85&gt;0),F85*[1]Sheet1!$C$4+E85*[1]Sheet1!$D$4+H85*[1]Sheet1!$J$4+I85*[1]Sheet1!$K$4+[1]Sheet1!$L$4,IF(AND(OR(D85="T. domingensis",D85="T. latifolia"),J85&gt;0),J85*[1]Sheet1!$G$5+K85*[1]Sheet1!$H$5+L85*[1]Sheet1!$I$5+[1]Sheet1!$L$5,0)))))))</f>
        <v>3.191058</v>
      </c>
      <c r="P85">
        <f t="shared" si="4"/>
        <v>3.191058</v>
      </c>
      <c r="S85">
        <f t="shared" si="5"/>
        <v>2.5446879</v>
      </c>
    </row>
    <row r="86" spans="1:19">
      <c r="A86" s="7">
        <v>42503</v>
      </c>
      <c r="B86" t="s">
        <v>21</v>
      </c>
      <c r="C86">
        <v>38</v>
      </c>
      <c r="D86" s="6" t="s">
        <v>62</v>
      </c>
      <c r="E86">
        <v>138</v>
      </c>
      <c r="F86">
        <v>1.98</v>
      </c>
      <c r="J86" s="6"/>
      <c r="N86">
        <f t="shared" si="3"/>
        <v>141.63732851399999</v>
      </c>
      <c r="O86">
        <f>IF(AND(OR(D86="S. acutus",D86="S. californicus",D86="S. tabernaemontani"),G86=0),E86*[1]Sheet1!$D$7+[1]Sheet1!$L$7,IF(AND(OR(D86="S. acutus",D86="S. tabernaemontani"),G86&gt;0),E86*[1]Sheet1!$D$8+N86*[1]Sheet1!$E$8,IF(AND(D86="S. californicus",G86&gt;0),E86*[1]Sheet1!$D$9+N86*[1]Sheet1!$E$9,IF(D86="S. maritimus",F86*[1]Sheet1!$C$10+E86*[1]Sheet1!$D$10+G86*[1]Sheet1!$F$10+[1]Sheet1!$L$10,IF(D86="S. americanus",F86*[1]Sheet1!$C$6+E86*[1]Sheet1!$D$6+[1]Sheet1!$L$6,IF(AND(OR(D86="T. domingensis",D86="T. latifolia"),E86&gt;0),F86*[1]Sheet1!$C$4+E86*[1]Sheet1!$D$4+H86*[1]Sheet1!$J$4+I86*[1]Sheet1!$K$4+[1]Sheet1!$L$4,IF(AND(OR(D86="T. domingensis",D86="T. latifolia"),J86&gt;0),J86*[1]Sheet1!$G$5+K86*[1]Sheet1!$H$5+L86*[1]Sheet1!$I$5+[1]Sheet1!$L$5,0)))))))</f>
        <v>5.0838930000000007</v>
      </c>
      <c r="P86">
        <f t="shared" si="4"/>
        <v>5.0838930000000007</v>
      </c>
      <c r="S86">
        <f t="shared" si="5"/>
        <v>3.079072359</v>
      </c>
    </row>
    <row r="87" spans="1:19">
      <c r="A87" s="7">
        <v>42503</v>
      </c>
      <c r="B87" t="s">
        <v>21</v>
      </c>
      <c r="C87">
        <v>38</v>
      </c>
      <c r="D87" s="6" t="s">
        <v>62</v>
      </c>
      <c r="E87">
        <v>220</v>
      </c>
      <c r="F87">
        <v>1.71</v>
      </c>
      <c r="J87" s="6"/>
      <c r="N87">
        <f t="shared" si="3"/>
        <v>168.41592751499996</v>
      </c>
      <c r="O87">
        <f>IF(AND(OR(D87="S. acutus",D87="S. californicus",D87="S. tabernaemontani"),G87=0),E87*[1]Sheet1!$D$7+[1]Sheet1!$L$7,IF(AND(OR(D87="S. acutus",D87="S. tabernaemontani"),G87&gt;0),E87*[1]Sheet1!$D$8+N87*[1]Sheet1!$E$8,IF(AND(D87="S. californicus",G87&gt;0),E87*[1]Sheet1!$D$9+N87*[1]Sheet1!$E$9,IF(D87="S. maritimus",F87*[1]Sheet1!$C$10+E87*[1]Sheet1!$D$10+G87*[1]Sheet1!$F$10+[1]Sheet1!$L$10,IF(D87="S. americanus",F87*[1]Sheet1!$C$6+E87*[1]Sheet1!$D$6+[1]Sheet1!$L$6,IF(AND(OR(D87="T. domingensis",D87="T. latifolia"),E87&gt;0),F87*[1]Sheet1!$C$4+E87*[1]Sheet1!$D$4+H87*[1]Sheet1!$J$4+I87*[1]Sheet1!$K$4+[1]Sheet1!$L$4,IF(AND(OR(D87="T. domingensis",D87="T. latifolia"),J87&gt;0),J87*[1]Sheet1!$G$5+K87*[1]Sheet1!$H$5+L87*[1]Sheet1!$I$5+[1]Sheet1!$L$5,0)))))))</f>
        <v>10.832502999999999</v>
      </c>
      <c r="P87">
        <f t="shared" si="4"/>
        <v>10.832502999999999</v>
      </c>
      <c r="S87">
        <f t="shared" si="5"/>
        <v>2.2965808297499999</v>
      </c>
    </row>
    <row r="88" spans="1:19">
      <c r="A88" s="7">
        <v>42503</v>
      </c>
      <c r="B88" t="s">
        <v>21</v>
      </c>
      <c r="C88">
        <v>38</v>
      </c>
      <c r="D88" s="6" t="s">
        <v>62</v>
      </c>
      <c r="E88">
        <v>211</v>
      </c>
      <c r="F88">
        <v>1.4</v>
      </c>
      <c r="J88" s="6"/>
      <c r="N88">
        <f t="shared" si="3"/>
        <v>108.26966336666665</v>
      </c>
      <c r="O88">
        <f>IF(AND(OR(D88="S. acutus",D88="S. californicus",D88="S. tabernaemontani"),G88=0),E88*[1]Sheet1!$D$7+[1]Sheet1!$L$7,IF(AND(OR(D88="S. acutus",D88="S. tabernaemontani"),G88&gt;0),E88*[1]Sheet1!$D$8+N88*[1]Sheet1!$E$8,IF(AND(D88="S. californicus",G88&gt;0),E88*[1]Sheet1!$D$9+N88*[1]Sheet1!$E$9,IF(D88="S. maritimus",F88*[1]Sheet1!$C$10+E88*[1]Sheet1!$D$10+G88*[1]Sheet1!$F$10+[1]Sheet1!$L$10,IF(D88="S. americanus",F88*[1]Sheet1!$C$6+E88*[1]Sheet1!$D$6+[1]Sheet1!$L$6,IF(AND(OR(D88="T. domingensis",D88="T. latifolia"),E88&gt;0),F88*[1]Sheet1!$C$4+E88*[1]Sheet1!$D$4+H88*[1]Sheet1!$J$4+I88*[1]Sheet1!$K$4+[1]Sheet1!$L$4,IF(AND(OR(D88="T. domingensis",D88="T. latifolia"),J88&gt;0),J88*[1]Sheet1!$G$5+K88*[1]Sheet1!$H$5+L88*[1]Sheet1!$I$5+[1]Sheet1!$L$5,0)))))))</f>
        <v>10.201557999999999</v>
      </c>
      <c r="P88">
        <f t="shared" si="4"/>
        <v>10.201557999999999</v>
      </c>
      <c r="S88">
        <f t="shared" si="5"/>
        <v>1.5393790999999997</v>
      </c>
    </row>
    <row r="89" spans="1:19">
      <c r="A89" s="7">
        <v>42503</v>
      </c>
      <c r="B89" t="s">
        <v>21</v>
      </c>
      <c r="C89">
        <v>38</v>
      </c>
      <c r="D89" s="6" t="s">
        <v>62</v>
      </c>
      <c r="E89">
        <v>21</v>
      </c>
      <c r="F89">
        <v>1</v>
      </c>
      <c r="J89" s="6"/>
      <c r="N89">
        <f t="shared" si="3"/>
        <v>5.4977824999999996</v>
      </c>
      <c r="O89">
        <f>IF(AND(OR(D89="S. acutus",D89="S. californicus",D89="S. tabernaemontani"),G89=0),E89*[1]Sheet1!$D$7+[1]Sheet1!$L$7,IF(AND(OR(D89="S. acutus",D89="S. tabernaemontani"),G89&gt;0),E89*[1]Sheet1!$D$8+N89*[1]Sheet1!$E$8,IF(AND(D89="S. californicus",G89&gt;0),E89*[1]Sheet1!$D$9+N89*[1]Sheet1!$E$9,IF(D89="S. maritimus",F89*[1]Sheet1!$C$10+E89*[1]Sheet1!$D$10+G89*[1]Sheet1!$F$10+[1]Sheet1!$L$10,IF(D89="S. americanus",F89*[1]Sheet1!$C$6+E89*[1]Sheet1!$D$6+[1]Sheet1!$L$6,IF(AND(OR(D89="T. domingensis",D89="T. latifolia"),E89&gt;0),F89*[1]Sheet1!$C$4+E89*[1]Sheet1!$D$4+H89*[1]Sheet1!$J$4+I89*[1]Sheet1!$K$4+[1]Sheet1!$L$4,IF(AND(OR(D89="T. domingensis",D89="T. latifolia"),J89&gt;0),J89*[1]Sheet1!$G$5+K89*[1]Sheet1!$H$5+L89*[1]Sheet1!$I$5+[1]Sheet1!$L$5,0)))))))</f>
        <v>-3.1183920000000001</v>
      </c>
      <c r="P89" t="str">
        <f t="shared" si="4"/>
        <v xml:space="preserve"> </v>
      </c>
      <c r="S89">
        <f t="shared" si="5"/>
        <v>0.78539749999999997</v>
      </c>
    </row>
    <row r="90" spans="1:19">
      <c r="A90" s="7">
        <v>42503</v>
      </c>
      <c r="B90" t="s">
        <v>21</v>
      </c>
      <c r="C90">
        <v>38</v>
      </c>
      <c r="D90" s="6" t="s">
        <v>62</v>
      </c>
      <c r="E90">
        <v>226</v>
      </c>
      <c r="F90">
        <v>1.44</v>
      </c>
      <c r="J90" s="6"/>
      <c r="N90">
        <f t="shared" si="3"/>
        <v>122.68788595199997</v>
      </c>
      <c r="O90">
        <f>IF(AND(OR(D90="S. acutus",D90="S. californicus",D90="S. tabernaemontani"),G90=0),E90*[1]Sheet1!$D$7+[1]Sheet1!$L$7,IF(AND(OR(D90="S. acutus",D90="S. tabernaemontani"),G90&gt;0),E90*[1]Sheet1!$D$8+N90*[1]Sheet1!$E$8,IF(AND(D90="S. californicus",G90&gt;0),E90*[1]Sheet1!$D$9+N90*[1]Sheet1!$E$9,IF(D90="S. maritimus",F90*[1]Sheet1!$C$10+E90*[1]Sheet1!$D$10+G90*[1]Sheet1!$F$10+[1]Sheet1!$L$10,IF(D90="S. americanus",F90*[1]Sheet1!$C$6+E90*[1]Sheet1!$D$6+[1]Sheet1!$L$6,IF(AND(OR(D90="T. domingensis",D90="T. latifolia"),E90&gt;0),F90*[1]Sheet1!$C$4+E90*[1]Sheet1!$D$4+H90*[1]Sheet1!$J$4+I90*[1]Sheet1!$K$4+[1]Sheet1!$L$4,IF(AND(OR(D90="T. domingensis",D90="T. latifolia"),J90&gt;0),J90*[1]Sheet1!$G$5+K90*[1]Sheet1!$H$5+L90*[1]Sheet1!$I$5+[1]Sheet1!$L$5,0)))))))</f>
        <v>11.253133000000002</v>
      </c>
      <c r="P90">
        <f t="shared" si="4"/>
        <v>11.253133000000002</v>
      </c>
      <c r="S90">
        <f t="shared" si="5"/>
        <v>1.6286002559999999</v>
      </c>
    </row>
    <row r="91" spans="1:19">
      <c r="A91" s="7">
        <v>42503</v>
      </c>
      <c r="B91" t="s">
        <v>21</v>
      </c>
      <c r="C91">
        <v>38</v>
      </c>
      <c r="D91" s="6" t="s">
        <v>62</v>
      </c>
      <c r="E91">
        <v>252</v>
      </c>
      <c r="F91">
        <v>2.2000000000000002</v>
      </c>
      <c r="J91" s="6"/>
      <c r="N91">
        <f t="shared" si="3"/>
        <v>319.31120759999999</v>
      </c>
      <c r="O91">
        <f>IF(AND(OR(D91="S. acutus",D91="S. californicus",D91="S. tabernaemontani"),G91=0),E91*[1]Sheet1!$D$7+[1]Sheet1!$L$7,IF(AND(OR(D91="S. acutus",D91="S. tabernaemontani"),G91&gt;0),E91*[1]Sheet1!$D$8+N91*[1]Sheet1!$E$8,IF(AND(D91="S. californicus",G91&gt;0),E91*[1]Sheet1!$D$9+N91*[1]Sheet1!$E$9,IF(D91="S. maritimus",F91*[1]Sheet1!$C$10+E91*[1]Sheet1!$D$10+G91*[1]Sheet1!$F$10+[1]Sheet1!$L$10,IF(D91="S. americanus",F91*[1]Sheet1!$C$6+E91*[1]Sheet1!$D$6+[1]Sheet1!$L$6,IF(AND(OR(D91="T. domingensis",D91="T. latifolia"),E91&gt;0),F91*[1]Sheet1!$C$4+E91*[1]Sheet1!$D$4+H91*[1]Sheet1!$J$4+I91*[1]Sheet1!$K$4+[1]Sheet1!$L$4,IF(AND(OR(D91="T. domingensis",D91="T. latifolia"),J91&gt;0),J91*[1]Sheet1!$G$5+K91*[1]Sheet1!$H$5+L91*[1]Sheet1!$I$5+[1]Sheet1!$L$5,0)))))))</f>
        <v>13.075863000000002</v>
      </c>
      <c r="P91">
        <f t="shared" si="4"/>
        <v>13.075863000000002</v>
      </c>
      <c r="S91">
        <f t="shared" si="5"/>
        <v>3.8013239000000003</v>
      </c>
    </row>
    <row r="92" spans="1:19">
      <c r="A92" s="7">
        <v>42503</v>
      </c>
      <c r="B92" t="s">
        <v>21</v>
      </c>
      <c r="C92">
        <v>38</v>
      </c>
      <c r="D92" s="6" t="s">
        <v>62</v>
      </c>
      <c r="E92">
        <v>138</v>
      </c>
      <c r="F92">
        <v>1.67</v>
      </c>
      <c r="J92" s="6"/>
      <c r="N92">
        <f t="shared" si="3"/>
        <v>100.75817403649999</v>
      </c>
      <c r="O92">
        <f>IF(AND(OR(D92="S. acutus",D92="S. californicus",D92="S. tabernaemontani"),G92=0),E92*[1]Sheet1!$D$7+[1]Sheet1!$L$7,IF(AND(OR(D92="S. acutus",D92="S. tabernaemontani"),G92&gt;0),E92*[1]Sheet1!$D$8+N92*[1]Sheet1!$E$8,IF(AND(D92="S. californicus",G92&gt;0),E92*[1]Sheet1!$D$9+N92*[1]Sheet1!$E$9,IF(D92="S. maritimus",F92*[1]Sheet1!$C$10+E92*[1]Sheet1!$D$10+G92*[1]Sheet1!$F$10+[1]Sheet1!$L$10,IF(D92="S. americanus",F92*[1]Sheet1!$C$6+E92*[1]Sheet1!$D$6+[1]Sheet1!$L$6,IF(AND(OR(D92="T. domingensis",D92="T. latifolia"),E92&gt;0),F92*[1]Sheet1!$C$4+E92*[1]Sheet1!$D$4+H92*[1]Sheet1!$J$4+I92*[1]Sheet1!$K$4+[1]Sheet1!$L$4,IF(AND(OR(D92="T. domingensis",D92="T. latifolia"),J92&gt;0),J92*[1]Sheet1!$G$5+K92*[1]Sheet1!$H$5+L92*[1]Sheet1!$I$5+[1]Sheet1!$L$5,0)))))))</f>
        <v>5.0838930000000007</v>
      </c>
      <c r="P92">
        <f t="shared" si="4"/>
        <v>5.0838930000000007</v>
      </c>
      <c r="S92">
        <f t="shared" si="5"/>
        <v>2.1903950877499998</v>
      </c>
    </row>
    <row r="93" spans="1:19">
      <c r="A93" s="7">
        <v>42503</v>
      </c>
      <c r="B93" t="s">
        <v>21</v>
      </c>
      <c r="C93">
        <v>38</v>
      </c>
      <c r="D93" s="6" t="s">
        <v>62</v>
      </c>
      <c r="E93">
        <v>162</v>
      </c>
      <c r="F93">
        <v>1.02</v>
      </c>
      <c r="G93">
        <v>2</v>
      </c>
      <c r="J93" s="6"/>
      <c r="N93">
        <f t="shared" si="3"/>
        <v>44.124888185999993</v>
      </c>
      <c r="O93">
        <f>IF(AND(OR(D93="S. acutus",D93="S. californicus",D93="S. tabernaemontani"),G93=0),E93*[1]Sheet1!$D$7+[1]Sheet1!$L$7,IF(AND(OR(D93="S. acutus",D93="S. tabernaemontani"),G93&gt;0),E93*[1]Sheet1!$D$8+N93*[1]Sheet1!$E$8,IF(AND(D93="S. californicus",G93&gt;0),E93*[1]Sheet1!$D$9+N93*[1]Sheet1!$E$9,IF(D93="S. maritimus",F93*[1]Sheet1!$C$10+E93*[1]Sheet1!$D$10+G93*[1]Sheet1!$F$10+[1]Sheet1!$L$10,IF(D93="S. americanus",F93*[1]Sheet1!$C$6+E93*[1]Sheet1!$D$6+[1]Sheet1!$L$6,IF(AND(OR(D93="T. domingensis",D93="T. latifolia"),E93&gt;0),F93*[1]Sheet1!$C$4+E93*[1]Sheet1!$D$4+H93*[1]Sheet1!$J$4+I93*[1]Sheet1!$K$4+[1]Sheet1!$L$4,IF(AND(OR(D93="T. domingensis",D93="T. latifolia"),J93&gt;0),J93*[1]Sheet1!$G$5+K93*[1]Sheet1!$H$5+L93*[1]Sheet1!$I$5+[1]Sheet1!$L$5,0)))))))</f>
        <v>6.5128220012393641</v>
      </c>
      <c r="P93">
        <f t="shared" si="4"/>
        <v>6.5128220012393641</v>
      </c>
      <c r="S93">
        <f t="shared" si="5"/>
        <v>0.817127559</v>
      </c>
    </row>
    <row r="94" spans="1:19">
      <c r="A94" s="7">
        <v>42503</v>
      </c>
      <c r="B94" t="s">
        <v>21</v>
      </c>
      <c r="C94">
        <v>38</v>
      </c>
      <c r="D94" s="6" t="s">
        <v>62</v>
      </c>
      <c r="E94">
        <v>226</v>
      </c>
      <c r="F94">
        <v>1.51</v>
      </c>
      <c r="G94">
        <v>2</v>
      </c>
      <c r="J94" s="6"/>
      <c r="N94">
        <f t="shared" si="3"/>
        <v>134.90579126116666</v>
      </c>
      <c r="O94">
        <f>IF(AND(OR(D94="S. acutus",D94="S. californicus",D94="S. tabernaemontani"),G94=0),E94*[1]Sheet1!$D$7+[1]Sheet1!$L$7,IF(AND(OR(D94="S. acutus",D94="S. tabernaemontani"),G94&gt;0),E94*[1]Sheet1!$D$8+N94*[1]Sheet1!$E$8,IF(AND(D94="S. californicus",G94&gt;0),E94*[1]Sheet1!$D$9+N94*[1]Sheet1!$E$9,IF(D94="S. maritimus",F94*[1]Sheet1!$C$10+E94*[1]Sheet1!$D$10+G94*[1]Sheet1!$F$10+[1]Sheet1!$L$10,IF(D94="S. americanus",F94*[1]Sheet1!$C$6+E94*[1]Sheet1!$D$6+[1]Sheet1!$L$6,IF(AND(OR(D94="T. domingensis",D94="T. latifolia"),E94&gt;0),F94*[1]Sheet1!$C$4+E94*[1]Sheet1!$D$4+H94*[1]Sheet1!$J$4+I94*[1]Sheet1!$K$4+[1]Sheet1!$L$4,IF(AND(OR(D94="T. domingensis",D94="T. latifolia"),J94&gt;0),J94*[1]Sheet1!$G$5+K94*[1]Sheet1!$H$5+L94*[1]Sheet1!$I$5+[1]Sheet1!$L$5,0)))))))</f>
        <v>13.316110205196527</v>
      </c>
      <c r="P94">
        <f t="shared" si="4"/>
        <v>13.316110205196527</v>
      </c>
      <c r="S94">
        <f t="shared" si="5"/>
        <v>1.7907848397499999</v>
      </c>
    </row>
    <row r="95" spans="1:19">
      <c r="A95" s="7">
        <v>42503</v>
      </c>
      <c r="B95" t="s">
        <v>21</v>
      </c>
      <c r="C95" s="6">
        <v>38</v>
      </c>
      <c r="D95" s="6" t="s">
        <v>62</v>
      </c>
      <c r="E95">
        <v>217</v>
      </c>
      <c r="F95">
        <v>1.44</v>
      </c>
      <c r="G95">
        <v>3</v>
      </c>
      <c r="J95" s="6"/>
      <c r="N95">
        <f t="shared" si="3"/>
        <v>117.80208518399998</v>
      </c>
      <c r="O95">
        <f>IF(AND(OR(D95="S. acutus",D95="S. californicus",D95="S. tabernaemontani"),G95=0),E95*[1]Sheet1!$D$7+[1]Sheet1!$L$7,IF(AND(OR(D95="S. acutus",D95="S. tabernaemontani"),G95&gt;0),E95*[1]Sheet1!$D$8+N95*[1]Sheet1!$E$8,IF(AND(D95="S. californicus",G95&gt;0),E95*[1]Sheet1!$D$9+N95*[1]Sheet1!$E$9,IF(D95="S. maritimus",F95*[1]Sheet1!$C$10+E95*[1]Sheet1!$D$10+G95*[1]Sheet1!$F$10+[1]Sheet1!$L$10,IF(D95="S. americanus",F95*[1]Sheet1!$C$6+E95*[1]Sheet1!$D$6+[1]Sheet1!$L$6,IF(AND(OR(D95="T. domingensis",D95="T. latifolia"),E95&gt;0),F95*[1]Sheet1!$C$4+E95*[1]Sheet1!$D$4+H95*[1]Sheet1!$J$4+I95*[1]Sheet1!$K$4+[1]Sheet1!$L$4,IF(AND(OR(D95="T. domingensis",D95="T. latifolia"),J95&gt;0),J95*[1]Sheet1!$G$5+K95*[1]Sheet1!$H$5+L95*[1]Sheet1!$I$5+[1]Sheet1!$L$5,0)))))))</f>
        <v>12.109228660902016</v>
      </c>
      <c r="P95">
        <f t="shared" si="4"/>
        <v>12.109228660902016</v>
      </c>
      <c r="S95">
        <f t="shared" si="5"/>
        <v>1.6286002559999999</v>
      </c>
    </row>
    <row r="96" spans="1:19">
      <c r="A96" s="7">
        <v>42503</v>
      </c>
      <c r="B96" t="s">
        <v>21</v>
      </c>
      <c r="C96" s="6">
        <v>38</v>
      </c>
      <c r="D96" s="6" t="s">
        <v>62</v>
      </c>
      <c r="E96">
        <v>28</v>
      </c>
      <c r="F96">
        <v>1.34</v>
      </c>
      <c r="J96" s="6"/>
      <c r="N96">
        <f t="shared" si="3"/>
        <v>13.162424342666666</v>
      </c>
      <c r="O96">
        <f>IF(AND(OR(D96="S. acutus",D96="S. californicus",D96="S. tabernaemontani"),G96=0),E96*[1]Sheet1!$D$7+[1]Sheet1!$L$7,IF(AND(OR(D96="S. acutus",D96="S. tabernaemontani"),G96&gt;0),E96*[1]Sheet1!$D$8+N96*[1]Sheet1!$E$8,IF(AND(D96="S. californicus",G96&gt;0),E96*[1]Sheet1!$D$9+N96*[1]Sheet1!$E$9,IF(D96="S. maritimus",F96*[1]Sheet1!$C$10+E96*[1]Sheet1!$D$10+G96*[1]Sheet1!$F$10+[1]Sheet1!$L$10,IF(D96="S. americanus",F96*[1]Sheet1!$C$6+E96*[1]Sheet1!$D$6+[1]Sheet1!$L$6,IF(AND(OR(D96="T. domingensis",D96="T. latifolia"),E96&gt;0),F96*[1]Sheet1!$C$4+E96*[1]Sheet1!$D$4+H96*[1]Sheet1!$J$4+I96*[1]Sheet1!$K$4+[1]Sheet1!$L$4,IF(AND(OR(D96="T. domingensis",D96="T. latifolia"),J96&gt;0),J96*[1]Sheet1!$G$5+K96*[1]Sheet1!$H$5+L96*[1]Sheet1!$I$5+[1]Sheet1!$L$5,0)))))))</f>
        <v>-2.6276569999999997</v>
      </c>
      <c r="P96" t="str">
        <f t="shared" si="4"/>
        <v xml:space="preserve"> </v>
      </c>
      <c r="S96">
        <f t="shared" si="5"/>
        <v>1.4102597510000001</v>
      </c>
    </row>
    <row r="97" spans="1:19">
      <c r="A97" s="7">
        <v>42503</v>
      </c>
      <c r="B97" t="s">
        <v>21</v>
      </c>
      <c r="C97" s="6">
        <v>38</v>
      </c>
      <c r="D97" s="6" t="s">
        <v>62</v>
      </c>
      <c r="E97">
        <v>59</v>
      </c>
      <c r="F97">
        <v>1.1299999999999999</v>
      </c>
      <c r="J97" s="6"/>
      <c r="N97">
        <f t="shared" si="3"/>
        <v>19.723189999083324</v>
      </c>
      <c r="O97">
        <f>IF(AND(OR(D97="S. acutus",D97="S. californicus",D97="S. tabernaemontani"),G97=0),E97*[1]Sheet1!$D$7+[1]Sheet1!$L$7,IF(AND(OR(D97="S. acutus",D97="S. tabernaemontani"),G97&gt;0),E97*[1]Sheet1!$D$8+N97*[1]Sheet1!$E$8,IF(AND(D97="S. californicus",G97&gt;0),E97*[1]Sheet1!$D$9+N97*[1]Sheet1!$E$9,IF(D97="S. maritimus",F97*[1]Sheet1!$C$10+E97*[1]Sheet1!$D$10+G97*[1]Sheet1!$F$10+[1]Sheet1!$L$10,IF(D97="S. americanus",F97*[1]Sheet1!$C$6+E97*[1]Sheet1!$D$6+[1]Sheet1!$L$6,IF(AND(OR(D97="T. domingensis",D97="T. latifolia"),E97&gt;0),F97*[1]Sheet1!$C$4+E97*[1]Sheet1!$D$4+H97*[1]Sheet1!$J$4+I97*[1]Sheet1!$K$4+[1]Sheet1!$L$4,IF(AND(OR(D97="T. domingensis",D97="T. latifolia"),J97&gt;0),J97*[1]Sheet1!$G$5+K97*[1]Sheet1!$H$5+L97*[1]Sheet1!$I$5+[1]Sheet1!$L$5,0)))))))</f>
        <v>-0.45440199999999997</v>
      </c>
      <c r="P97" t="str">
        <f t="shared" si="4"/>
        <v xml:space="preserve"> </v>
      </c>
      <c r="S97">
        <f t="shared" si="5"/>
        <v>1.0028740677499997</v>
      </c>
    </row>
    <row r="98" spans="1:19">
      <c r="A98" s="7">
        <v>42503</v>
      </c>
      <c r="B98" t="s">
        <v>21</v>
      </c>
      <c r="C98" s="6">
        <v>38</v>
      </c>
      <c r="D98" s="6" t="s">
        <v>62</v>
      </c>
      <c r="E98">
        <v>161</v>
      </c>
      <c r="F98">
        <v>1.02</v>
      </c>
      <c r="J98" s="6"/>
      <c r="N98">
        <f t="shared" si="3"/>
        <v>43.852512332999993</v>
      </c>
      <c r="O98">
        <f>IF(AND(OR(D98="S. acutus",D98="S. californicus",D98="S. tabernaemontani"),G98=0),E98*[1]Sheet1!$D$7+[1]Sheet1!$L$7,IF(AND(OR(D98="S. acutus",D98="S. tabernaemontani"),G98&gt;0),E98*[1]Sheet1!$D$8+N98*[1]Sheet1!$E$8,IF(AND(D98="S. californicus",G98&gt;0),E98*[1]Sheet1!$D$9+N98*[1]Sheet1!$E$9,IF(D98="S. maritimus",F98*[1]Sheet1!$C$10+E98*[1]Sheet1!$D$10+G98*[1]Sheet1!$F$10+[1]Sheet1!$L$10,IF(D98="S. americanus",F98*[1]Sheet1!$C$6+E98*[1]Sheet1!$D$6+[1]Sheet1!$L$6,IF(AND(OR(D98="T. domingensis",D98="T. latifolia"),E98&gt;0),F98*[1]Sheet1!$C$4+E98*[1]Sheet1!$D$4+H98*[1]Sheet1!$J$4+I98*[1]Sheet1!$K$4+[1]Sheet1!$L$4,IF(AND(OR(D98="T. domingensis",D98="T. latifolia"),J98&gt;0),J98*[1]Sheet1!$G$5+K98*[1]Sheet1!$H$5+L98*[1]Sheet1!$I$5+[1]Sheet1!$L$5,0)))))))</f>
        <v>6.696308000000001</v>
      </c>
      <c r="P98">
        <f t="shared" si="4"/>
        <v>6.696308000000001</v>
      </c>
      <c r="S98">
        <f t="shared" si="5"/>
        <v>0.817127559</v>
      </c>
    </row>
    <row r="99" spans="1:19">
      <c r="A99" s="7">
        <v>42503</v>
      </c>
      <c r="B99" t="s">
        <v>21</v>
      </c>
      <c r="C99">
        <v>38</v>
      </c>
      <c r="D99" s="6" t="s">
        <v>61</v>
      </c>
      <c r="F99">
        <v>1.77</v>
      </c>
      <c r="J99">
        <f>109+154+193+247+268+274</f>
        <v>1245</v>
      </c>
      <c r="K99">
        <v>6</v>
      </c>
      <c r="L99">
        <v>274</v>
      </c>
      <c r="N99" t="str">
        <f t="shared" si="3"/>
        <v>NA</v>
      </c>
      <c r="O99">
        <f>IF(AND(OR(D99="S. acutus",D99="S. californicus",D99="S. tabernaemontani"),G99=0),E99*[1]Sheet1!$D$7+[1]Sheet1!$L$7,IF(AND(OR(D99="S. acutus",D99="S. tabernaemontani"),G99&gt;0),E99*[1]Sheet1!$D$8+N99*[1]Sheet1!$E$8,IF(AND(D99="S. californicus",G99&gt;0),E99*[1]Sheet1!$D$9+N99*[1]Sheet1!$E$9,IF(D99="S. maritimus",F99*[1]Sheet1!$C$10+E99*[1]Sheet1!$D$10+G99*[1]Sheet1!$F$10+[1]Sheet1!$L$10,IF(D99="S. americanus",F99*[1]Sheet1!$C$6+E99*[1]Sheet1!$D$6+[1]Sheet1!$L$6,IF(AND(OR(D99="T. domingensis",D99="T. latifolia"),E99&gt;0),F99*[1]Sheet1!$C$4+E99*[1]Sheet1!$D$4+H99*[1]Sheet1!$J$4+I99*[1]Sheet1!$K$4+[1]Sheet1!$L$4,IF(AND(OR(D99="T. domingensis",D99="T. latifolia"),J99&gt;0),J99*[1]Sheet1!$G$5+K99*[1]Sheet1!$H$5+L99*[1]Sheet1!$I$5+[1]Sheet1!$L$5,0)))))))</f>
        <v>25.086711000000001</v>
      </c>
      <c r="P99">
        <f t="shared" si="4"/>
        <v>25.086711000000001</v>
      </c>
      <c r="S99">
        <f t="shared" si="5"/>
        <v>2.4605718277499999</v>
      </c>
    </row>
    <row r="100" spans="1:19">
      <c r="A100" s="7">
        <v>42503</v>
      </c>
      <c r="B100" t="s">
        <v>21</v>
      </c>
      <c r="C100" s="6">
        <v>38</v>
      </c>
      <c r="D100" s="6" t="s">
        <v>61</v>
      </c>
      <c r="F100">
        <v>2.4500000000000002</v>
      </c>
      <c r="J100">
        <f>156+222</f>
        <v>378</v>
      </c>
      <c r="K100">
        <v>2</v>
      </c>
      <c r="L100">
        <v>222</v>
      </c>
      <c r="N100" t="str">
        <f t="shared" si="3"/>
        <v>NA</v>
      </c>
      <c r="O100">
        <f>IF(AND(OR(D100="S. acutus",D100="S. californicus",D100="S. tabernaemontani"),G100=0),E100*[1]Sheet1!$D$7+[1]Sheet1!$L$7,IF(AND(OR(D100="S. acutus",D100="S. tabernaemontani"),G100&gt;0),E100*[1]Sheet1!$D$8+N100*[1]Sheet1!$E$8,IF(AND(D100="S. californicus",G100&gt;0),E100*[1]Sheet1!$D$9+N100*[1]Sheet1!$E$9,IF(D100="S. maritimus",F100*[1]Sheet1!$C$10+E100*[1]Sheet1!$D$10+G100*[1]Sheet1!$F$10+[1]Sheet1!$L$10,IF(D100="S. americanus",F100*[1]Sheet1!$C$6+E100*[1]Sheet1!$D$6+[1]Sheet1!$L$6,IF(AND(OR(D100="T. domingensis",D100="T. latifolia"),E100&gt;0),F100*[1]Sheet1!$C$4+E100*[1]Sheet1!$D$4+H100*[1]Sheet1!$J$4+I100*[1]Sheet1!$K$4+[1]Sheet1!$L$4,IF(AND(OR(D100="T. domingensis",D100="T. latifolia"),J100&gt;0),J100*[1]Sheet1!$G$5+K100*[1]Sheet1!$H$5+L100*[1]Sheet1!$I$5+[1]Sheet1!$L$5,0)))))))</f>
        <v>-12.444721999999999</v>
      </c>
      <c r="P100" t="str">
        <f t="shared" si="4"/>
        <v xml:space="preserve"> </v>
      </c>
      <c r="S100">
        <f t="shared" si="5"/>
        <v>4.7143484937500011</v>
      </c>
    </row>
    <row r="101" spans="1:19">
      <c r="A101" s="7">
        <v>42503</v>
      </c>
      <c r="B101" t="s">
        <v>21</v>
      </c>
      <c r="C101" s="6">
        <v>38</v>
      </c>
      <c r="D101" s="6" t="s">
        <v>61</v>
      </c>
      <c r="F101">
        <v>1.1000000000000001</v>
      </c>
      <c r="J101">
        <f>41+42+43</f>
        <v>126</v>
      </c>
      <c r="K101">
        <v>3</v>
      </c>
      <c r="L101">
        <v>43</v>
      </c>
      <c r="N101" t="str">
        <f t="shared" si="3"/>
        <v>NA</v>
      </c>
      <c r="O101">
        <f>IF(AND(OR(D101="S. acutus",D101="S. californicus",D101="S. tabernaemontani"),G101=0),E101*[1]Sheet1!$D$7+[1]Sheet1!$L$7,IF(AND(OR(D101="S. acutus",D101="S. tabernaemontani"),G101&gt;0),E101*[1]Sheet1!$D$8+N101*[1]Sheet1!$E$8,IF(AND(D101="S. californicus",G101&gt;0),E101*[1]Sheet1!$D$9+N101*[1]Sheet1!$E$9,IF(D101="S. maritimus",F101*[1]Sheet1!$C$10+E101*[1]Sheet1!$D$10+G101*[1]Sheet1!$F$10+[1]Sheet1!$L$10,IF(D101="S. americanus",F101*[1]Sheet1!$C$6+E101*[1]Sheet1!$D$6+[1]Sheet1!$L$6,IF(AND(OR(D101="T. domingensis",D101="T. latifolia"),E101&gt;0),F101*[1]Sheet1!$C$4+E101*[1]Sheet1!$D$4+H101*[1]Sheet1!$J$4+I101*[1]Sheet1!$K$4+[1]Sheet1!$L$4,IF(AND(OR(D101="T. domingensis",D101="T. latifolia"),J101&gt;0),J101*[1]Sheet1!$G$5+K101*[1]Sheet1!$H$5+L101*[1]Sheet1!$I$5+[1]Sheet1!$L$5,0)))))))</f>
        <v>10.829519999999999</v>
      </c>
      <c r="P101">
        <f t="shared" si="4"/>
        <v>10.829519999999999</v>
      </c>
      <c r="S101">
        <f t="shared" si="5"/>
        <v>0.95033097500000008</v>
      </c>
    </row>
    <row r="102" spans="1:19">
      <c r="A102" s="7">
        <v>42503</v>
      </c>
      <c r="B102" t="s">
        <v>21</v>
      </c>
      <c r="C102">
        <v>38</v>
      </c>
      <c r="D102" s="6" t="s">
        <v>61</v>
      </c>
      <c r="F102">
        <v>2.46</v>
      </c>
      <c r="J102">
        <f>122+196+225+245+252</f>
        <v>1040</v>
      </c>
      <c r="K102">
        <v>5</v>
      </c>
      <c r="L102">
        <v>252</v>
      </c>
      <c r="N102" t="str">
        <f t="shared" si="3"/>
        <v>NA</v>
      </c>
      <c r="O102">
        <f>IF(AND(OR(D102="S. acutus",D102="S. californicus",D102="S. tabernaemontani"),G102=0),E102*[1]Sheet1!$D$7+[1]Sheet1!$L$7,IF(AND(OR(D102="S. acutus",D102="S. tabernaemontani"),G102&gt;0),E102*[1]Sheet1!$D$8+N102*[1]Sheet1!$E$8,IF(AND(D102="S. californicus",G102&gt;0),E102*[1]Sheet1!$D$9+N102*[1]Sheet1!$E$9,IF(D102="S. maritimus",F102*[1]Sheet1!$C$10+E102*[1]Sheet1!$D$10+G102*[1]Sheet1!$F$10+[1]Sheet1!$L$10,IF(D102="S. americanus",F102*[1]Sheet1!$C$6+E102*[1]Sheet1!$D$6+[1]Sheet1!$L$6,IF(AND(OR(D102="T. domingensis",D102="T. latifolia"),E102&gt;0),F102*[1]Sheet1!$C$4+E102*[1]Sheet1!$D$4+H102*[1]Sheet1!$J$4+I102*[1]Sheet1!$K$4+[1]Sheet1!$L$4,IF(AND(OR(D102="T. domingensis",D102="T. latifolia"),J102&gt;0),J102*[1]Sheet1!$G$5+K102*[1]Sheet1!$H$5+L102*[1]Sheet1!$I$5+[1]Sheet1!$L$5,0)))))))</f>
        <v>19.516679000000011</v>
      </c>
      <c r="P102">
        <f t="shared" si="4"/>
        <v>19.516679000000011</v>
      </c>
      <c r="S102">
        <f t="shared" si="5"/>
        <v>4.7529115109999998</v>
      </c>
    </row>
    <row r="103" spans="1:19">
      <c r="A103" s="7">
        <v>42503</v>
      </c>
      <c r="B103" t="s">
        <v>21</v>
      </c>
      <c r="C103">
        <v>38</v>
      </c>
      <c r="D103" s="6" t="s">
        <v>61</v>
      </c>
      <c r="F103">
        <v>3.36</v>
      </c>
      <c r="J103">
        <f>73+131+149+160+226+236+268</f>
        <v>1243</v>
      </c>
      <c r="K103">
        <v>6</v>
      </c>
      <c r="L103">
        <v>268</v>
      </c>
      <c r="N103" t="str">
        <f t="shared" si="3"/>
        <v>NA</v>
      </c>
      <c r="O103">
        <f>IF(AND(OR(D103="S. acutus",D103="S. californicus",D103="S. tabernaemontani"),G103=0),E103*[1]Sheet1!$D$7+[1]Sheet1!$L$7,IF(AND(OR(D103="S. acutus",D103="S. tabernaemontani"),G103&gt;0),E103*[1]Sheet1!$D$8+N103*[1]Sheet1!$E$8,IF(AND(D103="S. californicus",G103&gt;0),E103*[1]Sheet1!$D$9+N103*[1]Sheet1!$E$9,IF(D103="S. maritimus",F103*[1]Sheet1!$C$10+E103*[1]Sheet1!$D$10+G103*[1]Sheet1!$F$10+[1]Sheet1!$L$10,IF(D103="S. americanus",F103*[1]Sheet1!$C$6+E103*[1]Sheet1!$D$6+[1]Sheet1!$L$6,IF(AND(OR(D103="T. domingensis",D103="T. latifolia"),E103&gt;0),F103*[1]Sheet1!$C$4+E103*[1]Sheet1!$D$4+H103*[1]Sheet1!$J$4+I103*[1]Sheet1!$K$4+[1]Sheet1!$L$4,IF(AND(OR(D103="T. domingensis",D103="T. latifolia"),J103&gt;0),J103*[1]Sheet1!$G$5+K103*[1]Sheet1!$H$5+L103*[1]Sheet1!$I$5+[1]Sheet1!$L$5,0)))))))</f>
        <v>26.706671000000007</v>
      </c>
      <c r="P103">
        <f t="shared" si="4"/>
        <v>26.706671000000007</v>
      </c>
      <c r="S103">
        <f t="shared" si="5"/>
        <v>8.8668236159999978</v>
      </c>
    </row>
    <row r="104" spans="1:19">
      <c r="A104" s="7">
        <v>42503</v>
      </c>
      <c r="B104" t="s">
        <v>21</v>
      </c>
      <c r="C104">
        <v>38</v>
      </c>
      <c r="D104" s="6" t="s">
        <v>61</v>
      </c>
      <c r="F104">
        <v>1.68</v>
      </c>
      <c r="J104">
        <f>53+100+100+112</f>
        <v>365</v>
      </c>
      <c r="K104">
        <v>4</v>
      </c>
      <c r="L104">
        <v>112</v>
      </c>
      <c r="N104" t="str">
        <f t="shared" si="3"/>
        <v>NA</v>
      </c>
      <c r="O104">
        <f>IF(AND(OR(D104="S. acutus",D104="S. californicus",D104="S. tabernaemontani"),G104=0),E104*[1]Sheet1!$D$7+[1]Sheet1!$L$7,IF(AND(OR(D104="S. acutus",D104="S. tabernaemontani"),G104&gt;0),E104*[1]Sheet1!$D$8+N104*[1]Sheet1!$E$8,IF(AND(D104="S. californicus",G104&gt;0),E104*[1]Sheet1!$D$9+N104*[1]Sheet1!$E$9,IF(D104="S. maritimus",F104*[1]Sheet1!$C$10+E104*[1]Sheet1!$D$10+G104*[1]Sheet1!$F$10+[1]Sheet1!$L$10,IF(D104="S. americanus",F104*[1]Sheet1!$C$6+E104*[1]Sheet1!$D$6+[1]Sheet1!$L$6,IF(AND(OR(D104="T. domingensis",D104="T. latifolia"),E104&gt;0),F104*[1]Sheet1!$C$4+E104*[1]Sheet1!$D$4+H104*[1]Sheet1!$J$4+I104*[1]Sheet1!$K$4+[1]Sheet1!$L$4,IF(AND(OR(D104="T. domingensis",D104="T. latifolia"),J104&gt;0),J104*[1]Sheet1!$G$5+K104*[1]Sheet1!$H$5+L104*[1]Sheet1!$I$5+[1]Sheet1!$L$5,0)))))))</f>
        <v>5.4287069999999993</v>
      </c>
      <c r="P104">
        <f t="shared" si="4"/>
        <v>5.4287069999999993</v>
      </c>
      <c r="S104">
        <f t="shared" si="5"/>
        <v>2.2167059039999994</v>
      </c>
    </row>
    <row r="105" spans="1:19">
      <c r="A105" s="7">
        <v>42503</v>
      </c>
      <c r="B105" t="s">
        <v>21</v>
      </c>
      <c r="C105">
        <v>38</v>
      </c>
      <c r="D105" s="6" t="s">
        <v>61</v>
      </c>
      <c r="F105">
        <v>1.77</v>
      </c>
      <c r="J105">
        <f>45+66+81+81</f>
        <v>273</v>
      </c>
      <c r="K105">
        <v>4</v>
      </c>
      <c r="L105">
        <v>81</v>
      </c>
      <c r="N105" t="str">
        <f t="shared" si="3"/>
        <v>NA</v>
      </c>
      <c r="O105">
        <f>IF(AND(OR(D105="S. acutus",D105="S. californicus",D105="S. tabernaemontani"),G105=0),E105*[1]Sheet1!$D$7+[1]Sheet1!$L$7,IF(AND(OR(D105="S. acutus",D105="S. tabernaemontani"),G105&gt;0),E105*[1]Sheet1!$D$8+N105*[1]Sheet1!$E$8,IF(AND(D105="S. californicus",G105&gt;0),E105*[1]Sheet1!$D$9+N105*[1]Sheet1!$E$9,IF(D105="S. maritimus",F105*[1]Sheet1!$C$10+E105*[1]Sheet1!$D$10+G105*[1]Sheet1!$F$10+[1]Sheet1!$L$10,IF(D105="S. americanus",F105*[1]Sheet1!$C$6+E105*[1]Sheet1!$D$6+[1]Sheet1!$L$6,IF(AND(OR(D105="T. domingensis",D105="T. latifolia"),E105&gt;0),F105*[1]Sheet1!$C$4+E105*[1]Sheet1!$D$4+H105*[1]Sheet1!$J$4+I105*[1]Sheet1!$K$4+[1]Sheet1!$L$4,IF(AND(OR(D105="T. domingensis",D105="T. latifolia"),J105&gt;0),J105*[1]Sheet1!$G$5+K105*[1]Sheet1!$H$5+L105*[1]Sheet1!$I$5+[1]Sheet1!$L$5,0)))))))</f>
        <v>6.1418419999999969</v>
      </c>
      <c r="P105">
        <f t="shared" si="4"/>
        <v>6.1418419999999969</v>
      </c>
      <c r="S105">
        <f t="shared" si="5"/>
        <v>2.4605718277499999</v>
      </c>
    </row>
    <row r="106" spans="1:19">
      <c r="A106" s="7">
        <v>42503</v>
      </c>
      <c r="B106" t="s">
        <v>21</v>
      </c>
      <c r="C106">
        <v>38</v>
      </c>
      <c r="D106" s="6" t="s">
        <v>61</v>
      </c>
      <c r="F106">
        <v>1.53</v>
      </c>
      <c r="J106">
        <f>147+157+202+213</f>
        <v>719</v>
      </c>
      <c r="K106">
        <v>4</v>
      </c>
      <c r="L106">
        <v>213</v>
      </c>
      <c r="N106" t="str">
        <f t="shared" si="3"/>
        <v>NA</v>
      </c>
      <c r="O106">
        <f>IF(AND(OR(D106="S. acutus",D106="S. californicus",D106="S. tabernaemontani"),G106=0),E106*[1]Sheet1!$D$7+[1]Sheet1!$L$7,IF(AND(OR(D106="S. acutus",D106="S. tabernaemontani"),G106&gt;0),E106*[1]Sheet1!$D$8+N106*[1]Sheet1!$E$8,IF(AND(D106="S. californicus",G106&gt;0),E106*[1]Sheet1!$D$9+N106*[1]Sheet1!$E$9,IF(D106="S. maritimus",F106*[1]Sheet1!$C$10+E106*[1]Sheet1!$D$10+G106*[1]Sheet1!$F$10+[1]Sheet1!$L$10,IF(D106="S. americanus",F106*[1]Sheet1!$C$6+E106*[1]Sheet1!$D$6+[1]Sheet1!$L$6,IF(AND(OR(D106="T. domingensis",D106="T. latifolia"),E106&gt;0),F106*[1]Sheet1!$C$4+E106*[1]Sheet1!$D$4+H106*[1]Sheet1!$J$4+I106*[1]Sheet1!$K$4+[1]Sheet1!$L$4,IF(AND(OR(D106="T. domingensis",D106="T. latifolia"),J106&gt;0),J106*[1]Sheet1!$G$5+K106*[1]Sheet1!$H$5+L106*[1]Sheet1!$I$5+[1]Sheet1!$L$5,0)))))))</f>
        <v>8.1922320000000113</v>
      </c>
      <c r="P106">
        <f t="shared" si="4"/>
        <v>8.1922320000000113</v>
      </c>
      <c r="S106">
        <f t="shared" si="5"/>
        <v>1.8385370077499998</v>
      </c>
    </row>
    <row r="107" spans="1:19">
      <c r="A107" s="7">
        <v>42503</v>
      </c>
      <c r="B107" t="s">
        <v>21</v>
      </c>
      <c r="C107" s="6">
        <v>38</v>
      </c>
      <c r="D107" s="6" t="s">
        <v>61</v>
      </c>
      <c r="F107">
        <v>1.23</v>
      </c>
      <c r="J107" s="6">
        <f>110+115+162+171+202+212</f>
        <v>972</v>
      </c>
      <c r="K107">
        <v>6</v>
      </c>
      <c r="L107">
        <v>212</v>
      </c>
      <c r="N107" t="str">
        <f t="shared" si="3"/>
        <v>NA</v>
      </c>
      <c r="O107">
        <f>IF(AND(OR(D107="S. acutus",D107="S. californicus",D107="S. tabernaemontani"),G107=0),E107*[1]Sheet1!$D$7+[1]Sheet1!$L$7,IF(AND(OR(D107="S. acutus",D107="S. tabernaemontani"),G107&gt;0),E107*[1]Sheet1!$D$8+N107*[1]Sheet1!$E$8,IF(AND(D107="S. californicus",G107&gt;0),E107*[1]Sheet1!$D$9+N107*[1]Sheet1!$E$9,IF(D107="S. maritimus",F107*[1]Sheet1!$C$10+E107*[1]Sheet1!$D$10+G107*[1]Sheet1!$F$10+[1]Sheet1!$L$10,IF(D107="S. americanus",F107*[1]Sheet1!$C$6+E107*[1]Sheet1!$D$6+[1]Sheet1!$L$6,IF(AND(OR(D107="T. domingensis",D107="T. latifolia"),E107&gt;0),F107*[1]Sheet1!$C$4+E107*[1]Sheet1!$D$4+H107*[1]Sheet1!$J$4+I107*[1]Sheet1!$K$4+[1]Sheet1!$L$4,IF(AND(OR(D107="T. domingensis",D107="T. latifolia"),J107&gt;0),J107*[1]Sheet1!$G$5+K107*[1]Sheet1!$H$5+L107*[1]Sheet1!$I$5+[1]Sheet1!$L$5,0)))))))</f>
        <v>18.168786000000004</v>
      </c>
      <c r="P107">
        <f t="shared" si="4"/>
        <v>18.168786000000004</v>
      </c>
      <c r="S107">
        <f t="shared" si="5"/>
        <v>1.1882278777499999</v>
      </c>
    </row>
    <row r="108" spans="1:19">
      <c r="A108" s="7">
        <v>42503</v>
      </c>
      <c r="B108" t="s">
        <v>21</v>
      </c>
      <c r="C108" s="6">
        <v>31</v>
      </c>
      <c r="D108" s="6" t="s">
        <v>63</v>
      </c>
      <c r="E108">
        <v>167</v>
      </c>
      <c r="F108">
        <v>1.26</v>
      </c>
      <c r="J108" s="6"/>
      <c r="N108">
        <f t="shared" si="3"/>
        <v>69.410603619</v>
      </c>
      <c r="O108">
        <f>IF(AND(OR(D108="S. acutus",D108="S. californicus",D108="S. tabernaemontani"),G108=0),E108*[1]Sheet1!$D$7+[1]Sheet1!$L$7,IF(AND(OR(D108="S. acutus",D108="S. tabernaemontani"),G108&gt;0),E108*[1]Sheet1!$D$8+N108*[1]Sheet1!$E$8,IF(AND(D108="S. californicus",G108&gt;0),E108*[1]Sheet1!$D$9+N108*[1]Sheet1!$E$9,IF(D108="S. maritimus",F108*[1]Sheet1!$C$10+E108*[1]Sheet1!$D$10+G108*[1]Sheet1!$F$10+[1]Sheet1!$L$10,IF(D108="S. americanus",F108*[1]Sheet1!$C$6+E108*[1]Sheet1!$D$6+[1]Sheet1!$L$6,IF(AND(OR(D108="T. domingensis",D108="T. latifolia"),E108&gt;0),F108*[1]Sheet1!$C$4+E108*[1]Sheet1!$D$4+H108*[1]Sheet1!$J$4+I108*[1]Sheet1!$K$4+[1]Sheet1!$L$4,IF(AND(OR(D108="T. domingensis",D108="T. latifolia"),J108&gt;0),J108*[1]Sheet1!$G$5+K108*[1]Sheet1!$H$5+L108*[1]Sheet1!$I$5+[1]Sheet1!$L$5,0)))))))</f>
        <v>7.1169380000000002</v>
      </c>
      <c r="P108">
        <f t="shared" si="4"/>
        <v>7.1169380000000002</v>
      </c>
      <c r="S108">
        <f t="shared" si="5"/>
        <v>1.246897071</v>
      </c>
    </row>
    <row r="109" spans="1:19">
      <c r="A109" s="7">
        <v>42503</v>
      </c>
      <c r="B109" t="s">
        <v>21</v>
      </c>
      <c r="C109" s="6">
        <v>31</v>
      </c>
      <c r="D109" s="6" t="s">
        <v>63</v>
      </c>
      <c r="E109">
        <v>104</v>
      </c>
      <c r="F109">
        <v>0.65</v>
      </c>
      <c r="J109" s="6"/>
      <c r="N109">
        <f t="shared" si="3"/>
        <v>11.503455383333334</v>
      </c>
      <c r="O109">
        <f>IF(AND(OR(D109="S. acutus",D109="S. californicus",D109="S. tabernaemontani"),G109=0),E109*[1]Sheet1!$D$7+[1]Sheet1!$L$7,IF(AND(OR(D109="S. acutus",D109="S. tabernaemontani"),G109&gt;0),E109*[1]Sheet1!$D$8+N109*[1]Sheet1!$E$8,IF(AND(D109="S. californicus",G109&gt;0),E109*[1]Sheet1!$D$9+N109*[1]Sheet1!$E$9,IF(D109="S. maritimus",F109*[1]Sheet1!$C$10+E109*[1]Sheet1!$D$10+G109*[1]Sheet1!$F$10+[1]Sheet1!$L$10,IF(D109="S. americanus",F109*[1]Sheet1!$C$6+E109*[1]Sheet1!$D$6+[1]Sheet1!$L$6,IF(AND(OR(D109="T. domingensis",D109="T. latifolia"),E109&gt;0),F109*[1]Sheet1!$C$4+E109*[1]Sheet1!$D$4+H109*[1]Sheet1!$J$4+I109*[1]Sheet1!$K$4+[1]Sheet1!$L$4,IF(AND(OR(D109="T. domingensis",D109="T. latifolia"),J109&gt;0),J109*[1]Sheet1!$G$5+K109*[1]Sheet1!$H$5+L109*[1]Sheet1!$I$5+[1]Sheet1!$L$5,0)))))))</f>
        <v>2.700323</v>
      </c>
      <c r="P109">
        <f t="shared" si="4"/>
        <v>2.700323</v>
      </c>
      <c r="S109">
        <f t="shared" si="5"/>
        <v>0.33183044375000004</v>
      </c>
    </row>
    <row r="110" spans="1:19">
      <c r="A110" s="7">
        <v>42503</v>
      </c>
      <c r="B110" t="s">
        <v>21</v>
      </c>
      <c r="C110" s="6">
        <v>31</v>
      </c>
      <c r="D110" s="6" t="s">
        <v>63</v>
      </c>
      <c r="E110">
        <v>203</v>
      </c>
      <c r="F110">
        <v>1.2</v>
      </c>
      <c r="G110">
        <v>2</v>
      </c>
      <c r="J110" s="6"/>
      <c r="N110">
        <f t="shared" si="3"/>
        <v>76.529132399999995</v>
      </c>
      <c r="O110">
        <f>IF(AND(OR(D110="S. acutus",D110="S. californicus",D110="S. tabernaemontani"),G110=0),E110*[1]Sheet1!$D$7+[1]Sheet1!$L$7,IF(AND(OR(D110="S. acutus",D110="S. tabernaemontani"),G110&gt;0),E110*[1]Sheet1!$D$8+N110*[1]Sheet1!$E$8,IF(AND(D110="S. californicus",G110&gt;0),E110*[1]Sheet1!$D$9+N110*[1]Sheet1!$E$9,IF(D110="S. maritimus",F110*[1]Sheet1!$C$10+E110*[1]Sheet1!$D$10+G110*[1]Sheet1!$F$10+[1]Sheet1!$L$10,IF(D110="S. americanus",F110*[1]Sheet1!$C$6+E110*[1]Sheet1!$D$6+[1]Sheet1!$L$6,IF(AND(OR(D110="T. domingensis",D110="T. latifolia"),E110&gt;0),F110*[1]Sheet1!$C$4+E110*[1]Sheet1!$D$4+H110*[1]Sheet1!$J$4+I110*[1]Sheet1!$K$4+[1]Sheet1!$L$4,IF(AND(OR(D110="T. domingensis",D110="T. latifolia"),J110&gt;0),J110*[1]Sheet1!$G$5+K110*[1]Sheet1!$H$5+L110*[1]Sheet1!$I$5+[1]Sheet1!$L$5,0)))))))</f>
        <v>10.28124823949916</v>
      </c>
      <c r="P110">
        <f t="shared" si="4"/>
        <v>10.28124823949916</v>
      </c>
      <c r="S110">
        <f t="shared" si="5"/>
        <v>1.1309723999999999</v>
      </c>
    </row>
    <row r="111" spans="1:19">
      <c r="A111" s="7">
        <v>42503</v>
      </c>
      <c r="B111" t="s">
        <v>21</v>
      </c>
      <c r="C111" s="6">
        <v>31</v>
      </c>
      <c r="D111" s="6" t="s">
        <v>63</v>
      </c>
      <c r="E111">
        <v>84</v>
      </c>
      <c r="F111">
        <v>0.87</v>
      </c>
      <c r="N111">
        <f t="shared" si="3"/>
        <v>16.645086296999999</v>
      </c>
      <c r="O111">
        <f>IF(AND(OR(D111="S. acutus",D111="S. californicus",D111="S. tabernaemontani"),G111=0),E111*[1]Sheet1!$D$7+[1]Sheet1!$L$7,IF(AND(OR(D111="S. acutus",D111="S. tabernaemontani"),G111&gt;0),E111*[1]Sheet1!$D$8+N111*[1]Sheet1!$E$8,IF(AND(D111="S. californicus",G111&gt;0),E111*[1]Sheet1!$D$9+N111*[1]Sheet1!$E$9,IF(D111="S. maritimus",F111*[1]Sheet1!$C$10+E111*[1]Sheet1!$D$10+G111*[1]Sheet1!$F$10+[1]Sheet1!$L$10,IF(D111="S. americanus",F111*[1]Sheet1!$C$6+E111*[1]Sheet1!$D$6+[1]Sheet1!$L$6,IF(AND(OR(D111="T. domingensis",D111="T. latifolia"),E111&gt;0),F111*[1]Sheet1!$C$4+E111*[1]Sheet1!$D$4+H111*[1]Sheet1!$J$4+I111*[1]Sheet1!$K$4+[1]Sheet1!$L$4,IF(AND(OR(D111="T. domingensis",D111="T. latifolia"),J111&gt;0),J111*[1]Sheet1!$G$5+K111*[1]Sheet1!$H$5+L111*[1]Sheet1!$I$5+[1]Sheet1!$L$5,0)))))))</f>
        <v>1.2982230000000001</v>
      </c>
      <c r="P111">
        <f t="shared" si="4"/>
        <v>1.2982230000000001</v>
      </c>
      <c r="S111">
        <f t="shared" si="5"/>
        <v>0.59446736774999998</v>
      </c>
    </row>
    <row r="112" spans="1:19">
      <c r="A112" s="7">
        <v>42503</v>
      </c>
      <c r="B112" t="s">
        <v>21</v>
      </c>
      <c r="C112" s="6">
        <v>31</v>
      </c>
      <c r="D112" s="6" t="s">
        <v>63</v>
      </c>
      <c r="E112">
        <v>235</v>
      </c>
      <c r="F112">
        <v>1.17</v>
      </c>
      <c r="G112">
        <v>2</v>
      </c>
      <c r="N112">
        <f t="shared" si="3"/>
        <v>84.218566623749979</v>
      </c>
      <c r="O112">
        <f>IF(AND(OR(D112="S. acutus",D112="S. californicus",D112="S. tabernaemontani"),G112=0),E112*[1]Sheet1!$D$7+[1]Sheet1!$L$7,IF(AND(OR(D112="S. acutus",D112="S. tabernaemontani"),G112&gt;0),E112*[1]Sheet1!$D$8+N112*[1]Sheet1!$E$8,IF(AND(D112="S. californicus",G112&gt;0),E112*[1]Sheet1!$D$9+N112*[1]Sheet1!$E$9,IF(D112="S. maritimus",F112*[1]Sheet1!$C$10+E112*[1]Sheet1!$D$10+G112*[1]Sheet1!$F$10+[1]Sheet1!$L$10,IF(D112="S. americanus",F112*[1]Sheet1!$C$6+E112*[1]Sheet1!$D$6+[1]Sheet1!$L$6,IF(AND(OR(D112="T. domingensis",D112="T. latifolia"),E112&gt;0),F112*[1]Sheet1!$C$4+E112*[1]Sheet1!$D$4+H112*[1]Sheet1!$J$4+I112*[1]Sheet1!$K$4+[1]Sheet1!$L$4,IF(AND(OR(D112="T. domingensis",D112="T. latifolia"),J112&gt;0),J112*[1]Sheet1!$G$5+K112*[1]Sheet1!$H$5+L112*[1]Sheet1!$I$5+[1]Sheet1!$L$5,0)))))))</f>
        <v>11.761082141994711</v>
      </c>
      <c r="P112">
        <f t="shared" si="4"/>
        <v>11.761082141994711</v>
      </c>
      <c r="S112">
        <f t="shared" si="5"/>
        <v>1.0751306377499998</v>
      </c>
    </row>
    <row r="113" spans="1:19">
      <c r="A113" s="7">
        <v>42503</v>
      </c>
      <c r="B113" t="s">
        <v>21</v>
      </c>
      <c r="C113" s="6">
        <v>31</v>
      </c>
      <c r="D113" s="6" t="s">
        <v>63</v>
      </c>
      <c r="E113">
        <v>40</v>
      </c>
      <c r="F113">
        <v>1.38</v>
      </c>
      <c r="N113">
        <f t="shared" si="3"/>
        <v>19.942813319999996</v>
      </c>
      <c r="O113">
        <f>IF(AND(OR(D113="S. acutus",D113="S. californicus",D113="S. tabernaemontani"),G113=0),E113*[1]Sheet1!$D$7+[1]Sheet1!$L$7,IF(AND(OR(D113="S. acutus",D113="S. tabernaemontani"),G113&gt;0),E113*[1]Sheet1!$D$8+N113*[1]Sheet1!$E$8,IF(AND(D113="S. californicus",G113&gt;0),E113*[1]Sheet1!$D$9+N113*[1]Sheet1!$E$9,IF(D113="S. maritimus",F113*[1]Sheet1!$C$10+E113*[1]Sheet1!$D$10+G113*[1]Sheet1!$F$10+[1]Sheet1!$L$10,IF(D113="S. americanus",F113*[1]Sheet1!$C$6+E113*[1]Sheet1!$D$6+[1]Sheet1!$L$6,IF(AND(OR(D113="T. domingensis",D113="T. latifolia"),E113&gt;0),F113*[1]Sheet1!$C$4+E113*[1]Sheet1!$D$4+H113*[1]Sheet1!$J$4+I113*[1]Sheet1!$K$4+[1]Sheet1!$L$4,IF(AND(OR(D113="T. domingensis",D113="T. latifolia"),J113&gt;0),J113*[1]Sheet1!$G$5+K113*[1]Sheet1!$H$5+L113*[1]Sheet1!$I$5+[1]Sheet1!$L$5,0)))))))</f>
        <v>-1.786397</v>
      </c>
      <c r="P113" t="str">
        <f t="shared" si="4"/>
        <v xml:space="preserve"> </v>
      </c>
      <c r="S113">
        <f t="shared" si="5"/>
        <v>1.4957109989999997</v>
      </c>
    </row>
    <row r="114" spans="1:19">
      <c r="A114" s="7">
        <v>42503</v>
      </c>
      <c r="B114" t="s">
        <v>21</v>
      </c>
      <c r="C114" s="6">
        <v>31</v>
      </c>
      <c r="D114" s="6" t="s">
        <v>63</v>
      </c>
      <c r="E114">
        <v>207</v>
      </c>
      <c r="F114">
        <v>1.74</v>
      </c>
      <c r="G114">
        <v>2</v>
      </c>
      <c r="N114">
        <f t="shared" si="3"/>
        <v>164.07299349900001</v>
      </c>
      <c r="O114">
        <f>IF(AND(OR(D114="S. acutus",D114="S. californicus",D114="S. tabernaemontani"),G114=0),E114*[1]Sheet1!$D$7+[1]Sheet1!$L$7,IF(AND(OR(D114="S. acutus",D114="S. tabernaemontani"),G114&gt;0),E114*[1]Sheet1!$D$8+N114*[1]Sheet1!$E$8,IF(AND(D114="S. californicus",G114&gt;0),E114*[1]Sheet1!$D$9+N114*[1]Sheet1!$E$9,IF(D114="S. maritimus",F114*[1]Sheet1!$C$10+E114*[1]Sheet1!$D$10+G114*[1]Sheet1!$F$10+[1]Sheet1!$L$10,IF(D114="S. americanus",F114*[1]Sheet1!$C$6+E114*[1]Sheet1!$D$6+[1]Sheet1!$L$6,IF(AND(OR(D114="T. domingensis",D114="T. latifolia"),E114&gt;0),F114*[1]Sheet1!$C$4+E114*[1]Sheet1!$D$4+H114*[1]Sheet1!$J$4+I114*[1]Sheet1!$K$4+[1]Sheet1!$L$4,IF(AND(OR(D114="T. domingensis",D114="T. latifolia"),J114&gt;0),J114*[1]Sheet1!$G$5+K114*[1]Sheet1!$H$5+L114*[1]Sheet1!$I$5+[1]Sheet1!$L$5,0)))))))</f>
        <v>13.25426775636195</v>
      </c>
      <c r="P114">
        <f t="shared" si="4"/>
        <v>13.25426775636195</v>
      </c>
      <c r="S114">
        <f t="shared" si="5"/>
        <v>2.3778694709999999</v>
      </c>
    </row>
    <row r="115" spans="1:19">
      <c r="A115" s="7">
        <v>42503</v>
      </c>
      <c r="B115" t="s">
        <v>21</v>
      </c>
      <c r="C115" s="6">
        <v>31</v>
      </c>
      <c r="D115" s="6" t="s">
        <v>63</v>
      </c>
      <c r="E115">
        <v>156</v>
      </c>
      <c r="F115">
        <v>1.46</v>
      </c>
      <c r="N115">
        <f t="shared" si="3"/>
        <v>87.055972171999983</v>
      </c>
      <c r="O115">
        <f>IF(AND(OR(D115="S. acutus",D115="S. californicus",D115="S. tabernaemontani"),G115=0),E115*[1]Sheet1!$D$7+[1]Sheet1!$L$7,IF(AND(OR(D115="S. acutus",D115="S. tabernaemontani"),G115&gt;0),E115*[1]Sheet1!$D$8+N115*[1]Sheet1!$E$8,IF(AND(D115="S. californicus",G115&gt;0),E115*[1]Sheet1!$D$9+N115*[1]Sheet1!$E$9,IF(D115="S. maritimus",F115*[1]Sheet1!$C$10+E115*[1]Sheet1!$D$10+G115*[1]Sheet1!$F$10+[1]Sheet1!$L$10,IF(D115="S. americanus",F115*[1]Sheet1!$C$6+E115*[1]Sheet1!$D$6+[1]Sheet1!$L$6,IF(AND(OR(D115="T. domingensis",D115="T. latifolia"),E115&gt;0),F115*[1]Sheet1!$C$4+E115*[1]Sheet1!$D$4+H115*[1]Sheet1!$J$4+I115*[1]Sheet1!$K$4+[1]Sheet1!$L$4,IF(AND(OR(D115="T. domingensis",D115="T. latifolia"),J115&gt;0),J115*[1]Sheet1!$G$5+K115*[1]Sheet1!$H$5+L115*[1]Sheet1!$I$5+[1]Sheet1!$L$5,0)))))))</f>
        <v>6.345783</v>
      </c>
      <c r="P115">
        <f t="shared" si="4"/>
        <v>6.345783</v>
      </c>
      <c r="S115">
        <f t="shared" si="5"/>
        <v>1.6741533109999998</v>
      </c>
    </row>
    <row r="116" spans="1:19">
      <c r="A116" s="7">
        <v>42503</v>
      </c>
      <c r="B116" t="s">
        <v>21</v>
      </c>
      <c r="C116" s="6">
        <v>31</v>
      </c>
      <c r="D116" s="6" t="s">
        <v>63</v>
      </c>
      <c r="E116">
        <v>128</v>
      </c>
      <c r="F116">
        <v>0.96</v>
      </c>
      <c r="G116">
        <v>2</v>
      </c>
      <c r="N116">
        <f t="shared" si="3"/>
        <v>30.883086335999995</v>
      </c>
      <c r="O116">
        <f>IF(AND(OR(D116="S. acutus",D116="S. californicus",D116="S. tabernaemontani"),G116=0),E116*[1]Sheet1!$D$7+[1]Sheet1!$L$7,IF(AND(OR(D116="S. acutus",D116="S. tabernaemontani"),G116&gt;0),E116*[1]Sheet1!$D$8+N116*[1]Sheet1!$E$8,IF(AND(D116="S. californicus",G116&gt;0),E116*[1]Sheet1!$D$9+N116*[1]Sheet1!$E$9,IF(D116="S. maritimus",F116*[1]Sheet1!$C$10+E116*[1]Sheet1!$D$10+G116*[1]Sheet1!$F$10+[1]Sheet1!$L$10,IF(D116="S. americanus",F116*[1]Sheet1!$C$6+E116*[1]Sheet1!$D$6+[1]Sheet1!$L$6,IF(AND(OR(D116="T. domingensis",D116="T. latifolia"),E116&gt;0),F116*[1]Sheet1!$C$4+E116*[1]Sheet1!$D$4+H116*[1]Sheet1!$J$4+I116*[1]Sheet1!$K$4+[1]Sheet1!$L$4,IF(AND(OR(D116="T. domingensis",D116="T. latifolia"),J116&gt;0),J116*[1]Sheet1!$G$5+K116*[1]Sheet1!$H$5+L116*[1]Sheet1!$I$5+[1]Sheet1!$L$5,0)))))))</f>
        <v>5.9233719747969023</v>
      </c>
      <c r="P116">
        <f t="shared" si="4"/>
        <v>5.9233719747969023</v>
      </c>
      <c r="S116">
        <f t="shared" si="5"/>
        <v>0.7238223359999999</v>
      </c>
    </row>
    <row r="117" spans="1:19">
      <c r="A117" s="7">
        <v>42503</v>
      </c>
      <c r="B117" t="s">
        <v>21</v>
      </c>
      <c r="C117" s="6">
        <v>31</v>
      </c>
      <c r="D117" s="6" t="s">
        <v>63</v>
      </c>
      <c r="E117">
        <v>193</v>
      </c>
      <c r="F117">
        <v>1.3</v>
      </c>
      <c r="G117">
        <v>1</v>
      </c>
      <c r="N117">
        <f t="shared" si="3"/>
        <v>85.391034191666662</v>
      </c>
      <c r="O117">
        <f>IF(AND(OR(D117="S. acutus",D117="S. californicus",D117="S. tabernaemontani"),G117=0),E117*[1]Sheet1!$D$7+[1]Sheet1!$L$7,IF(AND(OR(D117="S. acutus",D117="S. tabernaemontani"),G117&gt;0),E117*[1]Sheet1!$D$8+N117*[1]Sheet1!$E$8,IF(AND(D117="S. californicus",G117&gt;0),E117*[1]Sheet1!$D$9+N117*[1]Sheet1!$E$9,IF(D117="S. maritimus",F117*[1]Sheet1!$C$10+E117*[1]Sheet1!$D$10+G117*[1]Sheet1!$F$10+[1]Sheet1!$L$10,IF(D117="S. americanus",F117*[1]Sheet1!$C$6+E117*[1]Sheet1!$D$6+[1]Sheet1!$L$6,IF(AND(OR(D117="T. domingensis",D117="T. latifolia"),E117&gt;0),F117*[1]Sheet1!$C$4+E117*[1]Sheet1!$D$4+H117*[1]Sheet1!$J$4+I117*[1]Sheet1!$K$4+[1]Sheet1!$L$4,IF(AND(OR(D117="T. domingensis",D117="T. latifolia"),J117&gt;0),J117*[1]Sheet1!$G$5+K117*[1]Sheet1!$H$5+L117*[1]Sheet1!$I$5+[1]Sheet1!$L$5,0)))))))</f>
        <v>10.181538452902441</v>
      </c>
      <c r="P117">
        <f t="shared" si="4"/>
        <v>10.181538452902441</v>
      </c>
      <c r="S117">
        <f t="shared" si="5"/>
        <v>1.3273217750000001</v>
      </c>
    </row>
    <row r="118" spans="1:19">
      <c r="A118" s="7">
        <v>42503</v>
      </c>
      <c r="B118" t="s">
        <v>21</v>
      </c>
      <c r="C118" s="6">
        <v>31</v>
      </c>
      <c r="D118" s="6" t="s">
        <v>63</v>
      </c>
      <c r="E118">
        <v>218</v>
      </c>
      <c r="F118">
        <v>1.46</v>
      </c>
      <c r="G118">
        <v>2</v>
      </c>
      <c r="N118">
        <f t="shared" si="3"/>
        <v>121.65514059933331</v>
      </c>
      <c r="O118">
        <f>IF(AND(OR(D118="S. acutus",D118="S. californicus",D118="S. tabernaemontani"),G118=0),E118*[1]Sheet1!$D$7+[1]Sheet1!$L$7,IF(AND(OR(D118="S. acutus",D118="S. tabernaemontani"),G118&gt;0),E118*[1]Sheet1!$D$8+N118*[1]Sheet1!$E$8,IF(AND(D118="S. californicus",G118&gt;0),E118*[1]Sheet1!$D$9+N118*[1]Sheet1!$E$9,IF(D118="S. maritimus",F118*[1]Sheet1!$C$10+E118*[1]Sheet1!$D$10+G118*[1]Sheet1!$F$10+[1]Sheet1!$L$10,IF(D118="S. americanus",F118*[1]Sheet1!$C$6+E118*[1]Sheet1!$D$6+[1]Sheet1!$L$6,IF(AND(OR(D118="T. domingensis",D118="T. latifolia"),E118&gt;0),F118*[1]Sheet1!$C$4+E118*[1]Sheet1!$D$4+H118*[1]Sheet1!$J$4+I118*[1]Sheet1!$K$4+[1]Sheet1!$L$4,IF(AND(OR(D118="T. domingensis",D118="T. latifolia"),J118&gt;0),J118*[1]Sheet1!$G$5+K118*[1]Sheet1!$H$5+L118*[1]Sheet1!$I$5+[1]Sheet1!$L$5,0)))))))</f>
        <v>12.311952816925071</v>
      </c>
      <c r="P118">
        <f t="shared" si="4"/>
        <v>12.311952816925071</v>
      </c>
      <c r="S118">
        <f t="shared" si="5"/>
        <v>1.6741533109999998</v>
      </c>
    </row>
    <row r="119" spans="1:19">
      <c r="A119" s="7">
        <v>42503</v>
      </c>
      <c r="B119" s="6" t="s">
        <v>21</v>
      </c>
      <c r="C119" s="6">
        <v>31</v>
      </c>
      <c r="D119" s="6" t="s">
        <v>63</v>
      </c>
      <c r="E119">
        <v>84</v>
      </c>
      <c r="F119" s="6">
        <v>1</v>
      </c>
      <c r="G119" s="6">
        <v>2</v>
      </c>
      <c r="N119">
        <f t="shared" si="3"/>
        <v>21.991129999999998</v>
      </c>
      <c r="O119">
        <f>IF(AND(OR(D119="S. acutus",D119="S. californicus",D119="S. tabernaemontani"),G119=0),E119*[1]Sheet1!$D$7+[1]Sheet1!$L$7,IF(AND(OR(D119="S. acutus",D119="S. tabernaemontani"),G119&gt;0),E119*[1]Sheet1!$D$8+N119*[1]Sheet1!$E$8,IF(AND(D119="S. californicus",G119&gt;0),E119*[1]Sheet1!$D$9+N119*[1]Sheet1!$E$9,IF(D119="S. maritimus",F119*[1]Sheet1!$C$10+E119*[1]Sheet1!$D$10+G119*[1]Sheet1!$F$10+[1]Sheet1!$L$10,IF(D119="S. americanus",F119*[1]Sheet1!$C$6+E119*[1]Sheet1!$D$6+[1]Sheet1!$L$6,IF(AND(OR(D119="T. domingensis",D119="T. latifolia"),E119&gt;0),F119*[1]Sheet1!$C$4+E119*[1]Sheet1!$D$4+H119*[1]Sheet1!$J$4+I119*[1]Sheet1!$K$4+[1]Sheet1!$L$4,IF(AND(OR(D119="T. domingensis",D119="T. latifolia"),J119&gt;0),J119*[1]Sheet1!$G$5+K119*[1]Sheet1!$H$5+L119*[1]Sheet1!$I$5+[1]Sheet1!$L$5,0)))))))</f>
        <v>3.9427305780169997</v>
      </c>
      <c r="P119">
        <f t="shared" si="4"/>
        <v>3.9427305780169997</v>
      </c>
      <c r="S119">
        <f t="shared" si="5"/>
        <v>0.78539749999999997</v>
      </c>
    </row>
    <row r="120" spans="1:19">
      <c r="A120" s="7">
        <v>42503</v>
      </c>
      <c r="B120" s="6" t="s">
        <v>21</v>
      </c>
      <c r="C120" s="6">
        <v>31</v>
      </c>
      <c r="D120" s="6" t="s">
        <v>63</v>
      </c>
      <c r="E120">
        <v>243</v>
      </c>
      <c r="F120" s="6">
        <v>1.92</v>
      </c>
      <c r="G120" s="6">
        <v>2</v>
      </c>
      <c r="N120">
        <f t="shared" si="3"/>
        <v>234.51843686399997</v>
      </c>
      <c r="O120">
        <f>IF(AND(OR(D120="S. acutus",D120="S. californicus",D120="S. tabernaemontani"),G120=0),E120*[1]Sheet1!$D$7+[1]Sheet1!$L$7,IF(AND(OR(D120="S. acutus",D120="S. tabernaemontani"),G120&gt;0),E120*[1]Sheet1!$D$8+N120*[1]Sheet1!$E$8,IF(AND(D120="S. californicus",G120&gt;0),E120*[1]Sheet1!$D$9+N120*[1]Sheet1!$E$9,IF(D120="S. maritimus",F120*[1]Sheet1!$C$10+E120*[1]Sheet1!$D$10+G120*[1]Sheet1!$F$10+[1]Sheet1!$L$10,IF(D120="S. americanus",F120*[1]Sheet1!$C$6+E120*[1]Sheet1!$D$6+[1]Sheet1!$L$6,IF(AND(OR(D120="T. domingensis",D120="T. latifolia"),E120&gt;0),F120*[1]Sheet1!$C$4+E120*[1]Sheet1!$D$4+H120*[1]Sheet1!$J$4+I120*[1]Sheet1!$K$4+[1]Sheet1!$L$4,IF(AND(OR(D120="T. domingensis",D120="T. latifolia"),J120&gt;0),J120*[1]Sheet1!$G$5+K120*[1]Sheet1!$H$5+L120*[1]Sheet1!$I$5+[1]Sheet1!$L$5,0)))))))</f>
        <v>16.908930033613977</v>
      </c>
      <c r="P120">
        <f t="shared" si="4"/>
        <v>16.908930033613977</v>
      </c>
      <c r="S120">
        <f t="shared" si="5"/>
        <v>2.8952893439999996</v>
      </c>
    </row>
    <row r="121" spans="1:19">
      <c r="A121" s="7">
        <v>42503</v>
      </c>
      <c r="B121" t="s">
        <v>21</v>
      </c>
      <c r="C121" s="6">
        <v>31</v>
      </c>
      <c r="D121" s="6" t="s">
        <v>61</v>
      </c>
      <c r="F121">
        <v>0.59</v>
      </c>
      <c r="J121" s="6">
        <f>80+131+139</f>
        <v>350</v>
      </c>
      <c r="K121">
        <v>3</v>
      </c>
      <c r="L121">
        <v>139</v>
      </c>
      <c r="N121" t="str">
        <f t="shared" si="3"/>
        <v>NA</v>
      </c>
      <c r="O121">
        <f>IF(AND(OR(D121="S. acutus",D121="S. californicus",D121="S. tabernaemontani"),G121=0),E121*[1]Sheet1!$D$7+[1]Sheet1!$L$7,IF(AND(OR(D121="S. acutus",D121="S. tabernaemontani"),G121&gt;0),E121*[1]Sheet1!$D$8+N121*[1]Sheet1!$E$8,IF(AND(D121="S. californicus",G121&gt;0),E121*[1]Sheet1!$D$9+N121*[1]Sheet1!$E$9,IF(D121="S. maritimus",F121*[1]Sheet1!$C$10+E121*[1]Sheet1!$D$10+G121*[1]Sheet1!$F$10+[1]Sheet1!$L$10,IF(D121="S. americanus",F121*[1]Sheet1!$C$6+E121*[1]Sheet1!$D$6+[1]Sheet1!$L$6,IF(AND(OR(D121="T. domingensis",D121="T. latifolia"),E121&gt;0),F121*[1]Sheet1!$C$4+E121*[1]Sheet1!$D$4+H121*[1]Sheet1!$J$4+I121*[1]Sheet1!$K$4+[1]Sheet1!$L$4,IF(AND(OR(D121="T. domingensis",D121="T. latifolia"),J121&gt;0),J121*[1]Sheet1!$G$5+K121*[1]Sheet1!$H$5+L121*[1]Sheet1!$I$5+[1]Sheet1!$L$5,0)))))))</f>
        <v>2.9111199999999968</v>
      </c>
      <c r="P121">
        <f t="shared" si="4"/>
        <v>2.9111199999999968</v>
      </c>
      <c r="S121">
        <f t="shared" si="5"/>
        <v>0.27339686974999994</v>
      </c>
    </row>
    <row r="122" spans="1:19">
      <c r="A122" s="7">
        <v>42503</v>
      </c>
      <c r="B122" t="s">
        <v>21</v>
      </c>
      <c r="C122" s="6">
        <v>31</v>
      </c>
      <c r="D122" s="6" t="s">
        <v>61</v>
      </c>
      <c r="F122">
        <v>1.74</v>
      </c>
      <c r="J122" s="6">
        <f>88+106+164+166+211+215</f>
        <v>950</v>
      </c>
      <c r="K122">
        <v>6</v>
      </c>
      <c r="L122">
        <v>215</v>
      </c>
      <c r="N122" t="str">
        <f t="shared" si="3"/>
        <v>NA</v>
      </c>
      <c r="O122">
        <f>IF(AND(OR(D122="S. acutus",D122="S. californicus",D122="S. tabernaemontani"),G122=0),E122*[1]Sheet1!$D$7+[1]Sheet1!$L$7,IF(AND(OR(D122="S. acutus",D122="S. tabernaemontani"),G122&gt;0),E122*[1]Sheet1!$D$8+N122*[1]Sheet1!$E$8,IF(AND(D122="S. californicus",G122&gt;0),E122*[1]Sheet1!$D$9+N122*[1]Sheet1!$E$9,IF(D122="S. maritimus",F122*[1]Sheet1!$C$10+E122*[1]Sheet1!$D$10+G122*[1]Sheet1!$F$10+[1]Sheet1!$L$10,IF(D122="S. americanus",F122*[1]Sheet1!$C$6+E122*[1]Sheet1!$D$6+[1]Sheet1!$L$6,IF(AND(OR(D122="T. domingensis",D122="T. latifolia"),E122&gt;0),F122*[1]Sheet1!$C$4+E122*[1]Sheet1!$D$4+H122*[1]Sheet1!$J$4+I122*[1]Sheet1!$K$4+[1]Sheet1!$L$4,IF(AND(OR(D122="T. domingensis",D122="T. latifolia"),J122&gt;0),J122*[1]Sheet1!$G$5+K122*[1]Sheet1!$H$5+L122*[1]Sheet1!$I$5+[1]Sheet1!$L$5,0)))))))</f>
        <v>15.202441</v>
      </c>
      <c r="P122">
        <f t="shared" si="4"/>
        <v>15.202441</v>
      </c>
      <c r="S122">
        <f t="shared" si="5"/>
        <v>2.3778694709999999</v>
      </c>
    </row>
    <row r="123" spans="1:19">
      <c r="A123" s="7">
        <v>42503</v>
      </c>
      <c r="B123" t="s">
        <v>21</v>
      </c>
      <c r="C123" s="6">
        <v>31</v>
      </c>
      <c r="D123" s="6" t="s">
        <v>61</v>
      </c>
      <c r="F123">
        <v>2.35</v>
      </c>
      <c r="J123" s="6">
        <f>71+89+91+149+174+199+206+233</f>
        <v>1212</v>
      </c>
      <c r="K123">
        <v>8</v>
      </c>
      <c r="L123">
        <v>233</v>
      </c>
      <c r="N123" t="str">
        <f t="shared" si="3"/>
        <v>NA</v>
      </c>
      <c r="O123">
        <f>IF(AND(OR(D123="S. acutus",D123="S. californicus",D123="S. tabernaemontani"),G123=0),E123*[1]Sheet1!$D$7+[1]Sheet1!$L$7,IF(AND(OR(D123="S. acutus",D123="S. tabernaemontani"),G123&gt;0),E123*[1]Sheet1!$D$8+N123*[1]Sheet1!$E$8,IF(AND(D123="S. californicus",G123&gt;0),E123*[1]Sheet1!$D$9+N123*[1]Sheet1!$E$9,IF(D123="S. maritimus",F123*[1]Sheet1!$C$10+E123*[1]Sheet1!$D$10+G123*[1]Sheet1!$F$10+[1]Sheet1!$L$10,IF(D123="S. americanus",F123*[1]Sheet1!$C$6+E123*[1]Sheet1!$D$6+[1]Sheet1!$L$6,IF(AND(OR(D123="T. domingensis",D123="T. latifolia"),E123&gt;0),F123*[1]Sheet1!$C$4+E123*[1]Sheet1!$D$4+H123*[1]Sheet1!$J$4+I123*[1]Sheet1!$K$4+[1]Sheet1!$L$4,IF(AND(OR(D123="T. domingensis",D123="T. latifolia"),J123&gt;0),J123*[1]Sheet1!$G$5+K123*[1]Sheet1!$H$5+L123*[1]Sheet1!$I$5+[1]Sheet1!$L$5,0)))))))</f>
        <v>20.299135000000007</v>
      </c>
      <c r="P123">
        <f t="shared" si="4"/>
        <v>20.299135000000007</v>
      </c>
      <c r="S123">
        <f t="shared" si="5"/>
        <v>4.3373576937500005</v>
      </c>
    </row>
    <row r="124" spans="1:19">
      <c r="A124" s="7">
        <v>42503</v>
      </c>
      <c r="B124" t="s">
        <v>21</v>
      </c>
      <c r="C124" s="6">
        <v>31</v>
      </c>
      <c r="D124" s="6" t="s">
        <v>61</v>
      </c>
      <c r="F124">
        <v>2.5</v>
      </c>
      <c r="J124">
        <f>100+108+140+144+173+178</f>
        <v>843</v>
      </c>
      <c r="K124">
        <v>6</v>
      </c>
      <c r="L124">
        <v>178</v>
      </c>
      <c r="N124" t="str">
        <f t="shared" si="3"/>
        <v>NA</v>
      </c>
      <c r="O124">
        <f>IF(AND(OR(D124="S. acutus",D124="S. californicus",D124="S. tabernaemontani"),G124=0),E124*[1]Sheet1!$D$7+[1]Sheet1!$L$7,IF(AND(OR(D124="S. acutus",D124="S. tabernaemontani"),G124&gt;0),E124*[1]Sheet1!$D$8+N124*[1]Sheet1!$E$8,IF(AND(D124="S. californicus",G124&gt;0),E124*[1]Sheet1!$D$9+N124*[1]Sheet1!$E$9,IF(D124="S. maritimus",F124*[1]Sheet1!$C$10+E124*[1]Sheet1!$D$10+G124*[1]Sheet1!$F$10+[1]Sheet1!$L$10,IF(D124="S. americanus",F124*[1]Sheet1!$C$6+E124*[1]Sheet1!$D$6+[1]Sheet1!$L$6,IF(AND(OR(D124="T. domingensis",D124="T. latifolia"),E124&gt;0),F124*[1]Sheet1!$C$4+E124*[1]Sheet1!$D$4+H124*[1]Sheet1!$J$4+I124*[1]Sheet1!$K$4+[1]Sheet1!$L$4,IF(AND(OR(D124="T. domingensis",D124="T. latifolia"),J124&gt;0),J124*[1]Sheet1!$G$5+K124*[1]Sheet1!$H$5+L124*[1]Sheet1!$I$5+[1]Sheet1!$L$5,0)))))))</f>
        <v>16.316721000000001</v>
      </c>
      <c r="P124">
        <f t="shared" si="4"/>
        <v>16.316721000000001</v>
      </c>
      <c r="S124">
        <f t="shared" si="5"/>
        <v>4.9087343749999999</v>
      </c>
    </row>
    <row r="125" spans="1:19">
      <c r="A125" s="7">
        <v>42503</v>
      </c>
      <c r="B125" t="s">
        <v>21</v>
      </c>
      <c r="C125" s="6">
        <v>31</v>
      </c>
      <c r="D125" s="6" t="s">
        <v>61</v>
      </c>
      <c r="F125">
        <v>2.5</v>
      </c>
      <c r="J125">
        <f>121+142</f>
        <v>263</v>
      </c>
      <c r="K125">
        <v>2</v>
      </c>
      <c r="L125">
        <v>142</v>
      </c>
      <c r="N125" t="str">
        <f t="shared" si="3"/>
        <v>NA</v>
      </c>
      <c r="O125">
        <f>IF(AND(OR(D125="S. acutus",D125="S. californicus",D125="S. tabernaemontani"),G125=0),E125*[1]Sheet1!$D$7+[1]Sheet1!$L$7,IF(AND(OR(D125="S. acutus",D125="S. tabernaemontani"),G125&gt;0),E125*[1]Sheet1!$D$8+N125*[1]Sheet1!$E$8,IF(AND(D125="S. californicus",G125&gt;0),E125*[1]Sheet1!$D$9+N125*[1]Sheet1!$E$9,IF(D125="S. maritimus",F125*[1]Sheet1!$C$10+E125*[1]Sheet1!$D$10+G125*[1]Sheet1!$F$10+[1]Sheet1!$L$10,IF(D125="S. americanus",F125*[1]Sheet1!$C$6+E125*[1]Sheet1!$D$6+[1]Sheet1!$L$6,IF(AND(OR(D125="T. domingensis",D125="T. latifolia"),E125&gt;0),F125*[1]Sheet1!$C$4+E125*[1]Sheet1!$D$4+H125*[1]Sheet1!$J$4+I125*[1]Sheet1!$K$4+[1]Sheet1!$L$4,IF(AND(OR(D125="T. domingensis",D125="T. latifolia"),J125&gt;0),J125*[1]Sheet1!$G$5+K125*[1]Sheet1!$H$5+L125*[1]Sheet1!$I$5+[1]Sheet1!$L$5,0)))))))</f>
        <v>0.87305299999999875</v>
      </c>
      <c r="P125">
        <f t="shared" si="4"/>
        <v>0.87305299999999875</v>
      </c>
      <c r="S125">
        <f t="shared" si="5"/>
        <v>4.9087343749999999</v>
      </c>
    </row>
    <row r="126" spans="1:19">
      <c r="A126" s="7">
        <v>42503</v>
      </c>
      <c r="B126" s="6" t="s">
        <v>21</v>
      </c>
      <c r="C126" s="6">
        <v>31</v>
      </c>
      <c r="D126" s="6" t="s">
        <v>61</v>
      </c>
      <c r="F126">
        <v>3.41</v>
      </c>
      <c r="J126">
        <f>164+178+203+234+232+238</f>
        <v>1249</v>
      </c>
      <c r="K126">
        <v>6</v>
      </c>
      <c r="L126">
        <v>238</v>
      </c>
      <c r="N126" t="str">
        <f t="shared" si="3"/>
        <v>NA</v>
      </c>
      <c r="O126">
        <f>IF(AND(OR(D126="S. acutus",D126="S. californicus",D126="S. tabernaemontani"),G126=0),E126*[1]Sheet1!$D$7+[1]Sheet1!$L$7,IF(AND(OR(D126="S. acutus",D126="S. tabernaemontani"),G126&gt;0),E126*[1]Sheet1!$D$8+N126*[1]Sheet1!$E$8,IF(AND(D126="S. californicus",G126&gt;0),E126*[1]Sheet1!$D$9+N126*[1]Sheet1!$E$9,IF(D126="S. maritimus",F126*[1]Sheet1!$C$10+E126*[1]Sheet1!$D$10+G126*[1]Sheet1!$F$10+[1]Sheet1!$L$10,IF(D126="S. americanus",F126*[1]Sheet1!$C$6+E126*[1]Sheet1!$D$6+[1]Sheet1!$L$6,IF(AND(OR(D126="T. domingensis",D126="T. latifolia"),E126&gt;0),F126*[1]Sheet1!$C$4+E126*[1]Sheet1!$D$4+H126*[1]Sheet1!$J$4+I126*[1]Sheet1!$K$4+[1]Sheet1!$L$4,IF(AND(OR(D126="T. domingensis",D126="T. latifolia"),J126&gt;0),J126*[1]Sheet1!$G$5+K126*[1]Sheet1!$H$5+L126*[1]Sheet1!$I$5+[1]Sheet1!$L$5,0)))))))</f>
        <v>36.306551000000006</v>
      </c>
      <c r="P126">
        <f t="shared" si="4"/>
        <v>36.306551000000006</v>
      </c>
      <c r="S126">
        <f t="shared" si="5"/>
        <v>9.1326806697500018</v>
      </c>
    </row>
    <row r="127" spans="1:19">
      <c r="A127" s="7">
        <v>42503</v>
      </c>
      <c r="B127" s="6" t="s">
        <v>21</v>
      </c>
      <c r="C127" s="6">
        <v>31</v>
      </c>
      <c r="D127" s="6" t="s">
        <v>61</v>
      </c>
      <c r="F127">
        <v>0.85</v>
      </c>
      <c r="J127">
        <f>30+66+69+81+14</f>
        <v>260</v>
      </c>
      <c r="K127">
        <v>5</v>
      </c>
      <c r="L127">
        <v>81</v>
      </c>
      <c r="N127" t="str">
        <f t="shared" si="3"/>
        <v>NA</v>
      </c>
      <c r="O127">
        <f>IF(AND(OR(D127="S. acutus",D127="S. californicus",D127="S. tabernaemontani"),G127=0),E127*[1]Sheet1!$D$7+[1]Sheet1!$L$7,IF(AND(OR(D127="S. acutus",D127="S. tabernaemontani"),G127&gt;0),E127*[1]Sheet1!$D$8+N127*[1]Sheet1!$E$8,IF(AND(D127="S. californicus",G127&gt;0),E127*[1]Sheet1!$D$9+N127*[1]Sheet1!$E$9,IF(D127="S. maritimus",F127*[1]Sheet1!$C$10+E127*[1]Sheet1!$D$10+G127*[1]Sheet1!$F$10+[1]Sheet1!$L$10,IF(D127="S. americanus",F127*[1]Sheet1!$C$6+E127*[1]Sheet1!$D$6+[1]Sheet1!$L$6,IF(AND(OR(D127="T. domingensis",D127="T. latifolia"),E127&gt;0),F127*[1]Sheet1!$C$4+E127*[1]Sheet1!$D$4+H127*[1]Sheet1!$J$4+I127*[1]Sheet1!$K$4+[1]Sheet1!$L$4,IF(AND(OR(D127="T. domingensis",D127="T. latifolia"),J127&gt;0),J127*[1]Sheet1!$G$5+K127*[1]Sheet1!$H$5+L127*[1]Sheet1!$I$5+[1]Sheet1!$L$5,0)))))))</f>
        <v>-2.0993259999999978</v>
      </c>
      <c r="P127" t="str">
        <f t="shared" si="4"/>
        <v xml:space="preserve"> </v>
      </c>
      <c r="S127">
        <f t="shared" si="5"/>
        <v>0.56744969374999987</v>
      </c>
    </row>
    <row r="128" spans="1:19">
      <c r="A128" s="7">
        <v>42503</v>
      </c>
      <c r="B128" s="6" t="s">
        <v>21</v>
      </c>
      <c r="C128" s="6">
        <v>31</v>
      </c>
      <c r="D128" s="6" t="s">
        <v>61</v>
      </c>
      <c r="F128">
        <v>1.98</v>
      </c>
      <c r="J128">
        <f>46+71+88+43+145+153+73</f>
        <v>619</v>
      </c>
      <c r="K128">
        <v>7</v>
      </c>
      <c r="L128">
        <v>153</v>
      </c>
      <c r="N128" t="str">
        <f t="shared" si="3"/>
        <v>NA</v>
      </c>
      <c r="O128">
        <f>IF(AND(OR(D128="S. acutus",D128="S. californicus",D128="S. tabernaemontani"),G128=0),E128*[1]Sheet1!$D$7+[1]Sheet1!$L$7,IF(AND(OR(D128="S. acutus",D128="S. tabernaemontani"),G128&gt;0),E128*[1]Sheet1!$D$8+N128*[1]Sheet1!$E$8,IF(AND(D128="S. californicus",G128&gt;0),E128*[1]Sheet1!$D$9+N128*[1]Sheet1!$E$9,IF(D128="S. maritimus",F128*[1]Sheet1!$C$10+E128*[1]Sheet1!$D$10+G128*[1]Sheet1!$F$10+[1]Sheet1!$L$10,IF(D128="S. americanus",F128*[1]Sheet1!$C$6+E128*[1]Sheet1!$D$6+[1]Sheet1!$L$6,IF(AND(OR(D128="T. domingensis",D128="T. latifolia"),E128&gt;0),F128*[1]Sheet1!$C$4+E128*[1]Sheet1!$D$4+H128*[1]Sheet1!$J$4+I128*[1]Sheet1!$K$4+[1]Sheet1!$L$4,IF(AND(OR(D128="T. domingensis",D128="T. latifolia"),J128&gt;0),J128*[1]Sheet1!$G$5+K128*[1]Sheet1!$H$5+L128*[1]Sheet1!$I$5+[1]Sheet1!$L$5,0)))))))</f>
        <v>-4.1756269999999986</v>
      </c>
      <c r="P128" t="str">
        <f t="shared" si="4"/>
        <v xml:space="preserve"> </v>
      </c>
      <c r="S128">
        <f t="shared" si="5"/>
        <v>3.079072359</v>
      </c>
    </row>
    <row r="129" spans="1:19">
      <c r="A129" s="7">
        <v>42503</v>
      </c>
      <c r="B129" s="6" t="s">
        <v>21</v>
      </c>
      <c r="C129" s="6">
        <v>22</v>
      </c>
      <c r="D129" s="6" t="s">
        <v>64</v>
      </c>
      <c r="F129">
        <v>3.72</v>
      </c>
      <c r="J129">
        <f>77+131+131+165+181+187+189+191+199+204+262</f>
        <v>1917</v>
      </c>
      <c r="K129">
        <v>11</v>
      </c>
      <c r="L129">
        <v>262</v>
      </c>
      <c r="N129" t="str">
        <f t="shared" si="3"/>
        <v>NA</v>
      </c>
      <c r="O129">
        <f>IF(AND(OR(D129="S. acutus",D129="S. californicus",D129="S. tabernaemontani"),G129=0),E129*[1]Sheet1!$D$7+[1]Sheet1!$L$7,IF(AND(OR(D129="S. acutus",D129="S. tabernaemontani"),G129&gt;0),E129*[1]Sheet1!$D$8+N129*[1]Sheet1!$E$8,IF(AND(D129="S. californicus",G129&gt;0),E129*[1]Sheet1!$D$9+N129*[1]Sheet1!$E$9,IF(D129="S. maritimus",F129*[1]Sheet1!$C$10+E129*[1]Sheet1!$D$10+G129*[1]Sheet1!$F$10+[1]Sheet1!$L$10,IF(D129="S. americanus",F129*[1]Sheet1!$C$6+E129*[1]Sheet1!$D$6+[1]Sheet1!$L$6,IF(AND(OR(D129="T. domingensis",D129="T. latifolia"),E129&gt;0),F129*[1]Sheet1!$C$4+E129*[1]Sheet1!$D$4+H129*[1]Sheet1!$J$4+I129*[1]Sheet1!$K$4+[1]Sheet1!$L$4,IF(AND(OR(D129="T. domingensis",D129="T. latifolia"),J129&gt;0),J129*[1]Sheet1!$G$5+K129*[1]Sheet1!$H$5+L129*[1]Sheet1!$I$5+[1]Sheet1!$L$5,0)))))))</f>
        <v>56.593246000000029</v>
      </c>
      <c r="P129">
        <f t="shared" si="4"/>
        <v>56.593246000000029</v>
      </c>
      <c r="S129">
        <f t="shared" si="5"/>
        <v>10.868644764000001</v>
      </c>
    </row>
    <row r="130" spans="1:19">
      <c r="A130" s="7">
        <v>42503</v>
      </c>
      <c r="B130" s="6" t="s">
        <v>21</v>
      </c>
      <c r="C130" s="6">
        <v>22</v>
      </c>
      <c r="D130" s="6" t="s">
        <v>64</v>
      </c>
      <c r="F130">
        <v>4</v>
      </c>
      <c r="J130">
        <f>124+149+166+195+205+217+249+254+265</f>
        <v>1824</v>
      </c>
      <c r="K130">
        <v>9</v>
      </c>
      <c r="L130">
        <v>265</v>
      </c>
      <c r="N130" t="str">
        <f t="shared" si="3"/>
        <v>NA</v>
      </c>
      <c r="O130">
        <f>IF(AND(OR(D130="S. acutus",D130="S. californicus",D130="S. tabernaemontani"),G130=0),E130*[1]Sheet1!$D$7+[1]Sheet1!$L$7,IF(AND(OR(D130="S. acutus",D130="S. tabernaemontani"),G130&gt;0),E130*[1]Sheet1!$D$8+N130*[1]Sheet1!$E$8,IF(AND(D130="S. californicus",G130&gt;0),E130*[1]Sheet1!$D$9+N130*[1]Sheet1!$E$9,IF(D130="S. maritimus",F130*[1]Sheet1!$C$10+E130*[1]Sheet1!$D$10+G130*[1]Sheet1!$F$10+[1]Sheet1!$L$10,IF(D130="S. americanus",F130*[1]Sheet1!$C$6+E130*[1]Sheet1!$D$6+[1]Sheet1!$L$6,IF(AND(OR(D130="T. domingensis",D130="T. latifolia"),E130&gt;0),F130*[1]Sheet1!$C$4+E130*[1]Sheet1!$D$4+H130*[1]Sheet1!$J$4+I130*[1]Sheet1!$K$4+[1]Sheet1!$L$4,IF(AND(OR(D130="T. domingensis",D130="T. latifolia"),J130&gt;0),J130*[1]Sheet1!$G$5+K130*[1]Sheet1!$H$5+L130*[1]Sheet1!$I$5+[1]Sheet1!$L$5,0)))))))</f>
        <v>61.015001999999988</v>
      </c>
      <c r="P130">
        <f t="shared" si="4"/>
        <v>61.015001999999988</v>
      </c>
      <c r="S130">
        <f t="shared" si="5"/>
        <v>12.56636</v>
      </c>
    </row>
    <row r="131" spans="1:19">
      <c r="A131" s="7">
        <v>42503</v>
      </c>
      <c r="B131" s="6" t="s">
        <v>21</v>
      </c>
      <c r="C131" s="6">
        <v>22</v>
      </c>
      <c r="D131" s="6" t="s">
        <v>64</v>
      </c>
      <c r="F131">
        <v>3.03</v>
      </c>
      <c r="J131">
        <f>118+166+172+182+207+230+231+239</f>
        <v>1545</v>
      </c>
      <c r="K131">
        <v>8</v>
      </c>
      <c r="L131">
        <v>239</v>
      </c>
      <c r="N131" t="str">
        <f t="shared" si="3"/>
        <v>NA</v>
      </c>
      <c r="O131">
        <f>IF(AND(OR(D131="S. acutus",D131="S. californicus",D131="S. tabernaemontani"),G131=0),E131*[1]Sheet1!$D$7+[1]Sheet1!$L$7,IF(AND(OR(D131="S. acutus",D131="S. tabernaemontani"),G131&gt;0),E131*[1]Sheet1!$D$8+N131*[1]Sheet1!$E$8,IF(AND(D131="S. californicus",G131&gt;0),E131*[1]Sheet1!$D$9+N131*[1]Sheet1!$E$9,IF(D131="S. maritimus",F131*[1]Sheet1!$C$10+E131*[1]Sheet1!$D$10+G131*[1]Sheet1!$F$10+[1]Sheet1!$L$10,IF(D131="S. americanus",F131*[1]Sheet1!$C$6+E131*[1]Sheet1!$D$6+[1]Sheet1!$L$6,IF(AND(OR(D131="T. domingensis",D131="T. latifolia"),E131&gt;0),F131*[1]Sheet1!$C$4+E131*[1]Sheet1!$D$4+H131*[1]Sheet1!$J$4+I131*[1]Sheet1!$K$4+[1]Sheet1!$L$4,IF(AND(OR(D131="T. domingensis",D131="T. latifolia"),J131&gt;0),J131*[1]Sheet1!$G$5+K131*[1]Sheet1!$H$5+L131*[1]Sheet1!$I$5+[1]Sheet1!$L$5,0)))))))</f>
        <v>49.712080000000007</v>
      </c>
      <c r="P131">
        <f t="shared" si="4"/>
        <v>49.712080000000007</v>
      </c>
      <c r="S131">
        <f t="shared" si="5"/>
        <v>7.2106559077499996</v>
      </c>
    </row>
    <row r="132" spans="1:19">
      <c r="A132" s="7">
        <v>42503</v>
      </c>
      <c r="B132" s="6" t="s">
        <v>21</v>
      </c>
      <c r="C132" s="6">
        <v>22</v>
      </c>
      <c r="D132" s="6" t="s">
        <v>61</v>
      </c>
      <c r="F132">
        <v>0.86</v>
      </c>
      <c r="J132">
        <f>50+120+110</f>
        <v>280</v>
      </c>
      <c r="K132">
        <v>3</v>
      </c>
      <c r="L132">
        <v>120</v>
      </c>
      <c r="N132" t="str">
        <f t="shared" ref="N132:N195" si="6">IF(OR(D132="S. acutus", D132="S. tabernaemontani", D132="S. californicus"),(1/3)*(3.14159)*((F132/2)^2)*E132,"NA")</f>
        <v>NA</v>
      </c>
      <c r="O132">
        <f>IF(AND(OR(D132="S. acutus",D132="S. californicus",D132="S. tabernaemontani"),G132=0),E132*[1]Sheet1!$D$7+[1]Sheet1!$L$7,IF(AND(OR(D132="S. acutus",D132="S. tabernaemontani"),G132&gt;0),E132*[1]Sheet1!$D$8+N132*[1]Sheet1!$E$8,IF(AND(D132="S. californicus",G132&gt;0),E132*[1]Sheet1!$D$9+N132*[1]Sheet1!$E$9,IF(D132="S. maritimus",F132*[1]Sheet1!$C$10+E132*[1]Sheet1!$D$10+G132*[1]Sheet1!$F$10+[1]Sheet1!$L$10,IF(D132="S. americanus",F132*[1]Sheet1!$C$6+E132*[1]Sheet1!$D$6+[1]Sheet1!$L$6,IF(AND(OR(D132="T. domingensis",D132="T. latifolia"),E132&gt;0),F132*[1]Sheet1!$C$4+E132*[1]Sheet1!$D$4+H132*[1]Sheet1!$J$4+I132*[1]Sheet1!$K$4+[1]Sheet1!$L$4,IF(AND(OR(D132="T. domingensis",D132="T. latifolia"),J132&gt;0),J132*[1]Sheet1!$G$5+K132*[1]Sheet1!$H$5+L132*[1]Sheet1!$I$5+[1]Sheet1!$L$5,0)))))))</f>
        <v>2.0719249999999967</v>
      </c>
      <c r="P132">
        <f t="shared" ref="P132:P195" si="7">IF(O132&lt;0," ",O132)</f>
        <v>2.0719249999999967</v>
      </c>
      <c r="S132">
        <f t="shared" ref="S132:S195" si="8">3.14159*((F132/2)^2)</f>
        <v>0.58087999099999987</v>
      </c>
    </row>
    <row r="133" spans="1:19">
      <c r="A133" s="7">
        <v>42503</v>
      </c>
      <c r="B133" s="6" t="s">
        <v>21</v>
      </c>
      <c r="C133" s="6">
        <v>22</v>
      </c>
      <c r="D133" s="6" t="s">
        <v>61</v>
      </c>
      <c r="F133">
        <v>3.48</v>
      </c>
      <c r="J133">
        <f>93+98+147+148+151+186+200+218+227</f>
        <v>1468</v>
      </c>
      <c r="K133">
        <v>9</v>
      </c>
      <c r="L133">
        <v>227</v>
      </c>
      <c r="N133" t="str">
        <f t="shared" si="6"/>
        <v>NA</v>
      </c>
      <c r="O133">
        <f>IF(AND(OR(D133="S. acutus",D133="S. californicus",D133="S. tabernaemontani"),G133=0),E133*[1]Sheet1!$D$7+[1]Sheet1!$L$7,IF(AND(OR(D133="S. acutus",D133="S. tabernaemontani"),G133&gt;0),E133*[1]Sheet1!$D$8+N133*[1]Sheet1!$E$8,IF(AND(D133="S. californicus",G133&gt;0),E133*[1]Sheet1!$D$9+N133*[1]Sheet1!$E$9,IF(D133="S. maritimus",F133*[1]Sheet1!$C$10+E133*[1]Sheet1!$D$10+G133*[1]Sheet1!$F$10+[1]Sheet1!$L$10,IF(D133="S. americanus",F133*[1]Sheet1!$C$6+E133*[1]Sheet1!$D$6+[1]Sheet1!$L$6,IF(AND(OR(D133="T. domingensis",D133="T. latifolia"),E133&gt;0),F133*[1]Sheet1!$C$4+E133*[1]Sheet1!$D$4+H133*[1]Sheet1!$J$4+I133*[1]Sheet1!$K$4+[1]Sheet1!$L$4,IF(AND(OR(D133="T. domingensis",D133="T. latifolia"),J133&gt;0),J133*[1]Sheet1!$G$5+K133*[1]Sheet1!$H$5+L133*[1]Sheet1!$I$5+[1]Sheet1!$L$5,0)))))))</f>
        <v>39.085531999999994</v>
      </c>
      <c r="P133">
        <f t="shared" si="7"/>
        <v>39.085531999999994</v>
      </c>
      <c r="S133">
        <f t="shared" si="8"/>
        <v>9.5114778839999996</v>
      </c>
    </row>
    <row r="134" spans="1:19">
      <c r="A134" s="7">
        <v>42503</v>
      </c>
      <c r="B134" s="6" t="s">
        <v>21</v>
      </c>
      <c r="C134" s="6">
        <v>22</v>
      </c>
      <c r="D134" s="6" t="s">
        <v>61</v>
      </c>
      <c r="F134">
        <v>0.91</v>
      </c>
      <c r="J134">
        <f>22+45</f>
        <v>67</v>
      </c>
      <c r="K134">
        <v>2</v>
      </c>
      <c r="L134">
        <v>45</v>
      </c>
      <c r="N134" t="str">
        <f t="shared" si="6"/>
        <v>NA</v>
      </c>
      <c r="O134">
        <f>IF(AND(OR(D134="S. acutus",D134="S. californicus",D134="S. tabernaemontani"),G134=0),E134*[1]Sheet1!$D$7+[1]Sheet1!$L$7,IF(AND(OR(D134="S. acutus",D134="S. tabernaemontani"),G134&gt;0),E134*[1]Sheet1!$D$8+N134*[1]Sheet1!$E$8,IF(AND(D134="S. californicus",G134&gt;0),E134*[1]Sheet1!$D$9+N134*[1]Sheet1!$E$9,IF(D134="S. maritimus",F134*[1]Sheet1!$C$10+E134*[1]Sheet1!$D$10+G134*[1]Sheet1!$F$10+[1]Sheet1!$L$10,IF(D134="S. americanus",F134*[1]Sheet1!$C$6+E134*[1]Sheet1!$D$6+[1]Sheet1!$L$6,IF(AND(OR(D134="T. domingensis",D134="T. latifolia"),E134&gt;0),F134*[1]Sheet1!$C$4+E134*[1]Sheet1!$D$4+H134*[1]Sheet1!$J$4+I134*[1]Sheet1!$K$4+[1]Sheet1!$L$4,IF(AND(OR(D134="T. domingensis",D134="T. latifolia"),J134&gt;0),J134*[1]Sheet1!$G$5+K134*[1]Sheet1!$H$5+L134*[1]Sheet1!$I$5+[1]Sheet1!$L$5,0)))))))</f>
        <v>11.717837999999997</v>
      </c>
      <c r="P134">
        <f t="shared" si="7"/>
        <v>11.717837999999997</v>
      </c>
      <c r="S134">
        <f t="shared" si="8"/>
        <v>0.65038766975000006</v>
      </c>
    </row>
    <row r="135" spans="1:19">
      <c r="A135" s="7">
        <v>42503</v>
      </c>
      <c r="B135" s="6" t="s">
        <v>21</v>
      </c>
      <c r="C135" s="6">
        <v>22</v>
      </c>
      <c r="D135" s="6" t="s">
        <v>61</v>
      </c>
      <c r="F135">
        <v>1.56</v>
      </c>
      <c r="J135">
        <f>50+60+77</f>
        <v>187</v>
      </c>
      <c r="K135">
        <v>3</v>
      </c>
      <c r="L135">
        <v>77</v>
      </c>
      <c r="N135" t="str">
        <f t="shared" si="6"/>
        <v>NA</v>
      </c>
      <c r="O135">
        <f>IF(AND(OR(D135="S. acutus",D135="S. californicus",D135="S. tabernaemontani"),G135=0),E135*[1]Sheet1!$D$7+[1]Sheet1!$L$7,IF(AND(OR(D135="S. acutus",D135="S. tabernaemontani"),G135&gt;0),E135*[1]Sheet1!$D$8+N135*[1]Sheet1!$E$8,IF(AND(D135="S. californicus",G135&gt;0),E135*[1]Sheet1!$D$9+N135*[1]Sheet1!$E$9,IF(D135="S. maritimus",F135*[1]Sheet1!$C$10+E135*[1]Sheet1!$D$10+G135*[1]Sheet1!$F$10+[1]Sheet1!$L$10,IF(D135="S. americanus",F135*[1]Sheet1!$C$6+E135*[1]Sheet1!$D$6+[1]Sheet1!$L$6,IF(AND(OR(D135="T. domingensis",D135="T. latifolia"),E135&gt;0),F135*[1]Sheet1!$C$4+E135*[1]Sheet1!$D$4+H135*[1]Sheet1!$J$4+I135*[1]Sheet1!$K$4+[1]Sheet1!$L$4,IF(AND(OR(D135="T. domingensis",D135="T. latifolia"),J135&gt;0),J135*[1]Sheet1!$G$5+K135*[1]Sheet1!$H$5+L135*[1]Sheet1!$I$5+[1]Sheet1!$L$5,0)))))))</f>
        <v>6.3062450000000005</v>
      </c>
      <c r="P135">
        <f t="shared" si="7"/>
        <v>6.3062450000000005</v>
      </c>
      <c r="S135">
        <f t="shared" si="8"/>
        <v>1.9113433560000002</v>
      </c>
    </row>
    <row r="136" spans="1:19">
      <c r="A136" s="7">
        <v>42503</v>
      </c>
      <c r="B136" s="6" t="s">
        <v>21</v>
      </c>
      <c r="C136" s="6">
        <v>22</v>
      </c>
      <c r="D136" s="6" t="s">
        <v>61</v>
      </c>
      <c r="F136">
        <v>1.62</v>
      </c>
      <c r="J136">
        <f>50+63+88+89+110+115</f>
        <v>515</v>
      </c>
      <c r="K136">
        <v>6</v>
      </c>
      <c r="L136">
        <v>115</v>
      </c>
      <c r="N136" t="str">
        <f t="shared" si="6"/>
        <v>NA</v>
      </c>
      <c r="O136">
        <f>IF(AND(OR(D136="S. acutus",D136="S. californicus",D136="S. tabernaemontani"),G136=0),E136*[1]Sheet1!$D$7+[1]Sheet1!$L$7,IF(AND(OR(D136="S. acutus",D136="S. tabernaemontani"),G136&gt;0),E136*[1]Sheet1!$D$8+N136*[1]Sheet1!$E$8,IF(AND(D136="S. californicus",G136&gt;0),E136*[1]Sheet1!$D$9+N136*[1]Sheet1!$E$9,IF(D136="S. maritimus",F136*[1]Sheet1!$C$10+E136*[1]Sheet1!$D$10+G136*[1]Sheet1!$F$10+[1]Sheet1!$L$10,IF(D136="S. americanus",F136*[1]Sheet1!$C$6+E136*[1]Sheet1!$D$6+[1]Sheet1!$L$6,IF(AND(OR(D136="T. domingensis",D136="T. latifolia"),E136&gt;0),F136*[1]Sheet1!$C$4+E136*[1]Sheet1!$D$4+H136*[1]Sheet1!$J$4+I136*[1]Sheet1!$K$4+[1]Sheet1!$L$4,IF(AND(OR(D136="T. domingensis",D136="T. latifolia"),J136&gt;0),J136*[1]Sheet1!$G$5+K136*[1]Sheet1!$H$5+L136*[1]Sheet1!$I$5+[1]Sheet1!$L$5,0)))))))</f>
        <v>4.5435159999999968</v>
      </c>
      <c r="P136">
        <f t="shared" si="7"/>
        <v>4.5435159999999968</v>
      </c>
      <c r="S136">
        <f t="shared" si="8"/>
        <v>2.0611971990000004</v>
      </c>
    </row>
    <row r="137" spans="1:19">
      <c r="A137" s="7">
        <v>42503</v>
      </c>
      <c r="B137" s="6" t="s">
        <v>21</v>
      </c>
      <c r="C137" s="6">
        <v>22</v>
      </c>
      <c r="D137" s="6" t="s">
        <v>61</v>
      </c>
      <c r="F137">
        <v>1.6</v>
      </c>
      <c r="J137">
        <f>49+49+52+86</f>
        <v>236</v>
      </c>
      <c r="K137">
        <v>4</v>
      </c>
      <c r="L137">
        <v>86</v>
      </c>
      <c r="N137" t="str">
        <f t="shared" si="6"/>
        <v>NA</v>
      </c>
      <c r="O137">
        <f>IF(AND(OR(D137="S. acutus",D137="S. californicus",D137="S. tabernaemontani"),G137=0),E137*[1]Sheet1!$D$7+[1]Sheet1!$L$7,IF(AND(OR(D137="S. acutus",D137="S. tabernaemontani"),G137&gt;0),E137*[1]Sheet1!$D$8+N137*[1]Sheet1!$E$8,IF(AND(D137="S. californicus",G137&gt;0),E137*[1]Sheet1!$D$9+N137*[1]Sheet1!$E$9,IF(D137="S. maritimus",F137*[1]Sheet1!$C$10+E137*[1]Sheet1!$D$10+G137*[1]Sheet1!$F$10+[1]Sheet1!$L$10,IF(D137="S. americanus",F137*[1]Sheet1!$C$6+E137*[1]Sheet1!$D$6+[1]Sheet1!$L$6,IF(AND(OR(D137="T. domingensis",D137="T. latifolia"),E137&gt;0),F137*[1]Sheet1!$C$4+E137*[1]Sheet1!$D$4+H137*[1]Sheet1!$J$4+I137*[1]Sheet1!$K$4+[1]Sheet1!$L$4,IF(AND(OR(D137="T. domingensis",D137="T. latifolia"),J137&gt;0),J137*[1]Sheet1!$G$5+K137*[1]Sheet1!$H$5+L137*[1]Sheet1!$I$5+[1]Sheet1!$L$5,0)))))))</f>
        <v>1.1666820000000016</v>
      </c>
      <c r="P137">
        <f t="shared" si="7"/>
        <v>1.1666820000000016</v>
      </c>
      <c r="S137">
        <f t="shared" si="8"/>
        <v>2.0106176000000002</v>
      </c>
    </row>
    <row r="138" spans="1:19">
      <c r="A138" s="7">
        <v>42503</v>
      </c>
      <c r="B138" s="6" t="s">
        <v>21</v>
      </c>
      <c r="C138" s="6">
        <v>19</v>
      </c>
      <c r="D138" s="6" t="s">
        <v>64</v>
      </c>
      <c r="F138">
        <v>2.65</v>
      </c>
      <c r="J138">
        <f>91+120+163+191+134+155+287+303</f>
        <v>1444</v>
      </c>
      <c r="K138">
        <v>8</v>
      </c>
      <c r="L138">
        <v>303</v>
      </c>
      <c r="N138" t="str">
        <f t="shared" si="6"/>
        <v>NA</v>
      </c>
      <c r="O138">
        <f>IF(AND(OR(D138="S. acutus",D138="S. californicus",D138="S. tabernaemontani"),G138=0),E138*[1]Sheet1!$D$7+[1]Sheet1!$L$7,IF(AND(OR(D138="S. acutus",D138="S. tabernaemontani"),G138&gt;0),E138*[1]Sheet1!$D$8+N138*[1]Sheet1!$E$8,IF(AND(D138="S. californicus",G138&gt;0),E138*[1]Sheet1!$D$9+N138*[1]Sheet1!$E$9,IF(D138="S. maritimus",F138*[1]Sheet1!$C$10+E138*[1]Sheet1!$D$10+G138*[1]Sheet1!$F$10+[1]Sheet1!$L$10,IF(D138="S. americanus",F138*[1]Sheet1!$C$6+E138*[1]Sheet1!$D$6+[1]Sheet1!$L$6,IF(AND(OR(D138="T. domingensis",D138="T. latifolia"),E138&gt;0),F138*[1]Sheet1!$C$4+E138*[1]Sheet1!$D$4+H138*[1]Sheet1!$J$4+I138*[1]Sheet1!$K$4+[1]Sheet1!$L$4,IF(AND(OR(D138="T. domingensis",D138="T. latifolia"),J138&gt;0),J138*[1]Sheet1!$G$5+K138*[1]Sheet1!$H$5+L138*[1]Sheet1!$I$5+[1]Sheet1!$L$5,0)))))))</f>
        <v>20.963145000000033</v>
      </c>
      <c r="P138">
        <f t="shared" si="7"/>
        <v>20.963145000000033</v>
      </c>
      <c r="S138">
        <f t="shared" si="8"/>
        <v>5.5154539437499999</v>
      </c>
    </row>
    <row r="139" spans="1:19">
      <c r="A139" s="7">
        <v>42503</v>
      </c>
      <c r="B139" s="6" t="s">
        <v>21</v>
      </c>
      <c r="C139" s="6">
        <v>19</v>
      </c>
      <c r="D139" s="6" t="s">
        <v>64</v>
      </c>
      <c r="F139">
        <v>1.56</v>
      </c>
      <c r="J139">
        <f>66+68+95+104+129+140+149</f>
        <v>751</v>
      </c>
      <c r="K139">
        <v>7</v>
      </c>
      <c r="L139">
        <v>149</v>
      </c>
      <c r="N139" t="str">
        <f t="shared" si="6"/>
        <v>NA</v>
      </c>
      <c r="O139">
        <f>IF(AND(OR(D139="S. acutus",D139="S. californicus",D139="S. tabernaemontani"),G139=0),E139*[1]Sheet1!$D$7+[1]Sheet1!$L$7,IF(AND(OR(D139="S. acutus",D139="S. tabernaemontani"),G139&gt;0),E139*[1]Sheet1!$D$8+N139*[1]Sheet1!$E$8,IF(AND(D139="S. californicus",G139&gt;0),E139*[1]Sheet1!$D$9+N139*[1]Sheet1!$E$9,IF(D139="S. maritimus",F139*[1]Sheet1!$C$10+E139*[1]Sheet1!$D$10+G139*[1]Sheet1!$F$10+[1]Sheet1!$L$10,IF(D139="S. americanus",F139*[1]Sheet1!$C$6+E139*[1]Sheet1!$D$6+[1]Sheet1!$L$6,IF(AND(OR(D139="T. domingensis",D139="T. latifolia"),E139&gt;0),F139*[1]Sheet1!$C$4+E139*[1]Sheet1!$D$4+H139*[1]Sheet1!$J$4+I139*[1]Sheet1!$K$4+[1]Sheet1!$L$4,IF(AND(OR(D139="T. domingensis",D139="T. latifolia"),J139&gt;0),J139*[1]Sheet1!$G$5+K139*[1]Sheet1!$H$5+L139*[1]Sheet1!$I$5+[1]Sheet1!$L$5,0)))))))</f>
        <v>9.4050130000000038</v>
      </c>
      <c r="P139">
        <f t="shared" si="7"/>
        <v>9.4050130000000038</v>
      </c>
      <c r="S139">
        <f t="shared" si="8"/>
        <v>1.9113433560000002</v>
      </c>
    </row>
    <row r="140" spans="1:19">
      <c r="A140" s="7">
        <v>42503</v>
      </c>
      <c r="B140" s="6" t="s">
        <v>21</v>
      </c>
      <c r="C140" s="6">
        <v>19</v>
      </c>
      <c r="D140" s="6" t="s">
        <v>64</v>
      </c>
      <c r="F140">
        <v>0.95</v>
      </c>
      <c r="J140">
        <f>42+66+97+110+133</f>
        <v>448</v>
      </c>
      <c r="K140">
        <v>5</v>
      </c>
      <c r="L140">
        <v>133</v>
      </c>
      <c r="N140" t="str">
        <f t="shared" si="6"/>
        <v>NA</v>
      </c>
      <c r="O140">
        <f>IF(AND(OR(D140="S. acutus",D140="S. californicus",D140="S. tabernaemontani"),G140=0),E140*[1]Sheet1!$D$7+[1]Sheet1!$L$7,IF(AND(OR(D140="S. acutus",D140="S. tabernaemontani"),G140&gt;0),E140*[1]Sheet1!$D$8+N140*[1]Sheet1!$E$8,IF(AND(D140="S. californicus",G140&gt;0),E140*[1]Sheet1!$D$9+N140*[1]Sheet1!$E$9,IF(D140="S. maritimus",F140*[1]Sheet1!$C$10+E140*[1]Sheet1!$D$10+G140*[1]Sheet1!$F$10+[1]Sheet1!$L$10,IF(D140="S. americanus",F140*[1]Sheet1!$C$6+E140*[1]Sheet1!$D$6+[1]Sheet1!$L$6,IF(AND(OR(D140="T. domingensis",D140="T. latifolia"),E140&gt;0),F140*[1]Sheet1!$C$4+E140*[1]Sheet1!$D$4+H140*[1]Sheet1!$J$4+I140*[1]Sheet1!$K$4+[1]Sheet1!$L$4,IF(AND(OR(D140="T. domingensis",D140="T. latifolia"),J140&gt;0),J140*[1]Sheet1!$G$5+K140*[1]Sheet1!$H$5+L140*[1]Sheet1!$I$5+[1]Sheet1!$L$5,0)))))))</f>
        <v>-0.13812599999999975</v>
      </c>
      <c r="P140" t="str">
        <f t="shared" si="7"/>
        <v xml:space="preserve"> </v>
      </c>
      <c r="S140">
        <f t="shared" si="8"/>
        <v>0.70882124375</v>
      </c>
    </row>
    <row r="141" spans="1:19">
      <c r="A141" s="7">
        <v>42503</v>
      </c>
      <c r="B141" s="6" t="s">
        <v>21</v>
      </c>
      <c r="C141" s="6">
        <v>19</v>
      </c>
      <c r="D141" s="6" t="s">
        <v>64</v>
      </c>
      <c r="F141">
        <v>1.69</v>
      </c>
      <c r="J141">
        <f>100+133+152+178+182</f>
        <v>745</v>
      </c>
      <c r="K141">
        <v>5</v>
      </c>
      <c r="L141">
        <v>182</v>
      </c>
      <c r="N141" t="str">
        <f t="shared" si="6"/>
        <v>NA</v>
      </c>
      <c r="O141">
        <f>IF(AND(OR(D141="S. acutus",D141="S. californicus",D141="S. tabernaemontani"),G141=0),E141*[1]Sheet1!$D$7+[1]Sheet1!$L$7,IF(AND(OR(D141="S. acutus",D141="S. tabernaemontani"),G141&gt;0),E141*[1]Sheet1!$D$8+N141*[1]Sheet1!$E$8,IF(AND(D141="S. californicus",G141&gt;0),E141*[1]Sheet1!$D$9+N141*[1]Sheet1!$E$9,IF(D141="S. maritimus",F141*[1]Sheet1!$C$10+E141*[1]Sheet1!$D$10+G141*[1]Sheet1!$F$10+[1]Sheet1!$L$10,IF(D141="S. americanus",F141*[1]Sheet1!$C$6+E141*[1]Sheet1!$D$6+[1]Sheet1!$L$6,IF(AND(OR(D141="T. domingensis",D141="T. latifolia"),E141&gt;0),F141*[1]Sheet1!$C$4+E141*[1]Sheet1!$D$4+H141*[1]Sheet1!$J$4+I141*[1]Sheet1!$K$4+[1]Sheet1!$L$4,IF(AND(OR(D141="T. domingensis",D141="T. latifolia"),J141&gt;0),J141*[1]Sheet1!$G$5+K141*[1]Sheet1!$H$5+L141*[1]Sheet1!$I$5+[1]Sheet1!$L$5,0)))))))</f>
        <v>12.946104000000005</v>
      </c>
      <c r="P141">
        <f t="shared" si="7"/>
        <v>12.946104000000005</v>
      </c>
      <c r="S141">
        <f t="shared" si="8"/>
        <v>2.2431737997499996</v>
      </c>
    </row>
    <row r="142" spans="1:19">
      <c r="A142" s="7">
        <v>42503</v>
      </c>
      <c r="B142" s="6" t="s">
        <v>21</v>
      </c>
      <c r="C142" s="6">
        <v>19</v>
      </c>
      <c r="D142" s="6" t="s">
        <v>64</v>
      </c>
      <c r="F142">
        <v>3.35</v>
      </c>
      <c r="J142">
        <f>173+93+133+270+200+235+261+260</f>
        <v>1625</v>
      </c>
      <c r="K142">
        <v>8</v>
      </c>
      <c r="L142">
        <v>260</v>
      </c>
      <c r="N142" t="str">
        <f t="shared" si="6"/>
        <v>NA</v>
      </c>
      <c r="O142">
        <f>IF(AND(OR(D142="S. acutus",D142="S. californicus",D142="S. tabernaemontani"),G142=0),E142*[1]Sheet1!$D$7+[1]Sheet1!$L$7,IF(AND(OR(D142="S. acutus",D142="S. tabernaemontani"),G142&gt;0),E142*[1]Sheet1!$D$8+N142*[1]Sheet1!$E$8,IF(AND(D142="S. californicus",G142&gt;0),E142*[1]Sheet1!$D$9+N142*[1]Sheet1!$E$9,IF(D142="S. maritimus",F142*[1]Sheet1!$C$10+E142*[1]Sheet1!$D$10+G142*[1]Sheet1!$F$10+[1]Sheet1!$L$10,IF(D142="S. americanus",F142*[1]Sheet1!$C$6+E142*[1]Sheet1!$D$6+[1]Sheet1!$L$6,IF(AND(OR(D142="T. domingensis",D142="T. latifolia"),E142&gt;0),F142*[1]Sheet1!$C$4+E142*[1]Sheet1!$D$4+H142*[1]Sheet1!$J$4+I142*[1]Sheet1!$K$4+[1]Sheet1!$L$4,IF(AND(OR(D142="T. domingensis",D142="T. latifolia"),J142&gt;0),J142*[1]Sheet1!$G$5+K142*[1]Sheet1!$H$5+L142*[1]Sheet1!$I$5+[1]Sheet1!$L$5,0)))))))</f>
        <v>50.88633500000001</v>
      </c>
      <c r="P142">
        <f t="shared" si="7"/>
        <v>50.88633500000001</v>
      </c>
      <c r="S142">
        <f t="shared" si="8"/>
        <v>8.8141234437499989</v>
      </c>
    </row>
    <row r="143" spans="1:19">
      <c r="A143" s="7">
        <v>42503</v>
      </c>
      <c r="B143" s="6" t="s">
        <v>21</v>
      </c>
      <c r="C143" s="6">
        <v>19</v>
      </c>
      <c r="D143" s="6" t="s">
        <v>64</v>
      </c>
      <c r="F143" s="6">
        <v>0.94</v>
      </c>
      <c r="J143">
        <f>46+70+100+113+135</f>
        <v>464</v>
      </c>
      <c r="K143">
        <v>5</v>
      </c>
      <c r="L143">
        <v>135</v>
      </c>
      <c r="N143" t="str">
        <f t="shared" si="6"/>
        <v>NA</v>
      </c>
      <c r="O143">
        <f>IF(AND(OR(D143="S. acutus",D143="S. californicus",D143="S. tabernaemontani"),G143=0),E143*[1]Sheet1!$D$7+[1]Sheet1!$L$7,IF(AND(OR(D143="S. acutus",D143="S. tabernaemontani"),G143&gt;0),E143*[1]Sheet1!$D$8+N143*[1]Sheet1!$E$8,IF(AND(D143="S. californicus",G143&gt;0),E143*[1]Sheet1!$D$9+N143*[1]Sheet1!$E$9,IF(D143="S. maritimus",F143*[1]Sheet1!$C$10+E143*[1]Sheet1!$D$10+G143*[1]Sheet1!$F$10+[1]Sheet1!$L$10,IF(D143="S. americanus",F143*[1]Sheet1!$C$6+E143*[1]Sheet1!$D$6+[1]Sheet1!$L$6,IF(AND(OR(D143="T. domingensis",D143="T. latifolia"),E143&gt;0),F143*[1]Sheet1!$C$4+E143*[1]Sheet1!$D$4+H143*[1]Sheet1!$J$4+I143*[1]Sheet1!$K$4+[1]Sheet1!$L$4,IF(AND(OR(D143="T. domingensis",D143="T. latifolia"),J143&gt;0),J143*[1]Sheet1!$G$5+K143*[1]Sheet1!$H$5+L143*[1]Sheet1!$I$5+[1]Sheet1!$L$5,0)))))))</f>
        <v>0.75946400000000835</v>
      </c>
      <c r="P143">
        <f t="shared" si="7"/>
        <v>0.75946400000000835</v>
      </c>
      <c r="S143">
        <f t="shared" si="8"/>
        <v>0.69397723099999997</v>
      </c>
    </row>
    <row r="144" spans="1:19">
      <c r="A144" s="7">
        <v>42503</v>
      </c>
      <c r="B144" s="6" t="s">
        <v>21</v>
      </c>
      <c r="C144" s="6">
        <v>19</v>
      </c>
      <c r="D144" s="6" t="s">
        <v>61</v>
      </c>
      <c r="F144">
        <v>1.35</v>
      </c>
      <c r="J144">
        <f>45+129+193+128+142</f>
        <v>637</v>
      </c>
      <c r="K144">
        <v>5</v>
      </c>
      <c r="L144">
        <v>193</v>
      </c>
      <c r="N144" t="str">
        <f t="shared" si="6"/>
        <v>NA</v>
      </c>
      <c r="O144">
        <f>IF(AND(OR(D144="S. acutus",D144="S. californicus",D144="S. tabernaemontani"),G144=0),E144*[1]Sheet1!$D$7+[1]Sheet1!$L$7,IF(AND(OR(D144="S. acutus",D144="S. tabernaemontani"),G144&gt;0),E144*[1]Sheet1!$D$8+N144*[1]Sheet1!$E$8,IF(AND(D144="S. californicus",G144&gt;0),E144*[1]Sheet1!$D$9+N144*[1]Sheet1!$E$9,IF(D144="S. maritimus",F144*[1]Sheet1!$C$10+E144*[1]Sheet1!$D$10+G144*[1]Sheet1!$F$10+[1]Sheet1!$L$10,IF(D144="S. americanus",F144*[1]Sheet1!$C$6+E144*[1]Sheet1!$D$6+[1]Sheet1!$L$6,IF(AND(OR(D144="T. domingensis",D144="T. latifolia"),E144&gt;0),F144*[1]Sheet1!$C$4+E144*[1]Sheet1!$D$4+H144*[1]Sheet1!$J$4+I144*[1]Sheet1!$K$4+[1]Sheet1!$L$4,IF(AND(OR(D144="T. domingensis",D144="T. latifolia"),J144&gt;0),J144*[1]Sheet1!$G$5+K144*[1]Sheet1!$H$5+L144*[1]Sheet1!$I$5+[1]Sheet1!$L$5,0)))))))</f>
        <v>-0.49313099999999821</v>
      </c>
      <c r="P144" t="str">
        <f t="shared" si="7"/>
        <v xml:space="preserve"> </v>
      </c>
      <c r="S144">
        <f t="shared" si="8"/>
        <v>1.4313869437500002</v>
      </c>
    </row>
    <row r="145" spans="1:19">
      <c r="A145" s="7">
        <v>42503</v>
      </c>
      <c r="B145" s="6" t="s">
        <v>21</v>
      </c>
      <c r="C145" s="6">
        <v>19</v>
      </c>
      <c r="D145" s="6" t="s">
        <v>61</v>
      </c>
      <c r="F145">
        <v>3.05</v>
      </c>
      <c r="J145">
        <f>135+192+205+230+237+265</f>
        <v>1264</v>
      </c>
      <c r="K145">
        <v>6</v>
      </c>
      <c r="L145">
        <v>265</v>
      </c>
      <c r="N145" t="str">
        <f t="shared" si="6"/>
        <v>NA</v>
      </c>
      <c r="O145">
        <f>IF(AND(OR(D145="S. acutus",D145="S. californicus",D145="S. tabernaemontani"),G145=0),E145*[1]Sheet1!$D$7+[1]Sheet1!$L$7,IF(AND(OR(D145="S. acutus",D145="S. tabernaemontani"),G145&gt;0),E145*[1]Sheet1!$D$8+N145*[1]Sheet1!$E$8,IF(AND(D145="S. californicus",G145&gt;0),E145*[1]Sheet1!$D$9+N145*[1]Sheet1!$E$9,IF(D145="S. maritimus",F145*[1]Sheet1!$C$10+E145*[1]Sheet1!$D$10+G145*[1]Sheet1!$F$10+[1]Sheet1!$L$10,IF(D145="S. americanus",F145*[1]Sheet1!$C$6+E145*[1]Sheet1!$D$6+[1]Sheet1!$L$6,IF(AND(OR(D145="T. domingensis",D145="T. latifolia"),E145&gt;0),F145*[1]Sheet1!$C$4+E145*[1]Sheet1!$D$4+H145*[1]Sheet1!$J$4+I145*[1]Sheet1!$K$4+[1]Sheet1!$L$4,IF(AND(OR(D145="T. domingensis",D145="T. latifolia"),J145&gt;0),J145*[1]Sheet1!$G$5+K145*[1]Sheet1!$H$5+L145*[1]Sheet1!$I$5+[1]Sheet1!$L$5,0)))))))</f>
        <v>29.579260999999995</v>
      </c>
      <c r="P145">
        <f t="shared" si="7"/>
        <v>29.579260999999995</v>
      </c>
      <c r="S145">
        <f t="shared" si="8"/>
        <v>7.3061602437499982</v>
      </c>
    </row>
    <row r="146" spans="1:19">
      <c r="A146" s="7">
        <v>42503</v>
      </c>
      <c r="B146" s="6" t="s">
        <v>21</v>
      </c>
      <c r="C146" s="6">
        <v>19</v>
      </c>
      <c r="D146" s="6" t="s">
        <v>61</v>
      </c>
      <c r="F146">
        <v>0.56999999999999995</v>
      </c>
      <c r="J146">
        <f>7+13+40+63</f>
        <v>123</v>
      </c>
      <c r="K146">
        <v>4</v>
      </c>
      <c r="L146">
        <v>63</v>
      </c>
      <c r="N146" t="str">
        <f t="shared" si="6"/>
        <v>NA</v>
      </c>
      <c r="O146">
        <f>IF(AND(OR(D146="S. acutus",D146="S. californicus",D146="S. tabernaemontani"),G146=0),E146*[1]Sheet1!$D$7+[1]Sheet1!$L$7,IF(AND(OR(D146="S. acutus",D146="S. tabernaemontani"),G146&gt;0),E146*[1]Sheet1!$D$8+N146*[1]Sheet1!$E$8,IF(AND(D146="S. californicus",G146&gt;0),E146*[1]Sheet1!$D$9+N146*[1]Sheet1!$E$9,IF(D146="S. maritimus",F146*[1]Sheet1!$C$10+E146*[1]Sheet1!$D$10+G146*[1]Sheet1!$F$10+[1]Sheet1!$L$10,IF(D146="S. americanus",F146*[1]Sheet1!$C$6+E146*[1]Sheet1!$D$6+[1]Sheet1!$L$6,IF(AND(OR(D146="T. domingensis",D146="T. latifolia"),E146&gt;0),F146*[1]Sheet1!$C$4+E146*[1]Sheet1!$D$4+H146*[1]Sheet1!$J$4+I146*[1]Sheet1!$K$4+[1]Sheet1!$L$4,IF(AND(OR(D146="T. domingensis",D146="T. latifolia"),J146&gt;0),J146*[1]Sheet1!$G$5+K146*[1]Sheet1!$H$5+L146*[1]Sheet1!$I$5+[1]Sheet1!$L$5,0)))))))</f>
        <v>-2.4989980000000003</v>
      </c>
      <c r="P146" t="str">
        <f t="shared" si="7"/>
        <v xml:space="preserve"> </v>
      </c>
      <c r="S146">
        <f t="shared" si="8"/>
        <v>0.25517564774999996</v>
      </c>
    </row>
    <row r="147" spans="1:19">
      <c r="A147" s="7">
        <v>42503</v>
      </c>
      <c r="B147" s="6" t="s">
        <v>21</v>
      </c>
      <c r="C147" s="6">
        <v>19</v>
      </c>
      <c r="D147" s="6" t="s">
        <v>61</v>
      </c>
      <c r="F147" s="6">
        <v>3.7</v>
      </c>
      <c r="J147">
        <f>90+152+203+250+262+287+295</f>
        <v>1539</v>
      </c>
      <c r="K147">
        <v>7</v>
      </c>
      <c r="L147">
        <v>295</v>
      </c>
      <c r="N147" t="str">
        <f t="shared" si="6"/>
        <v>NA</v>
      </c>
      <c r="O147">
        <f>IF(AND(OR(D147="S. acutus",D147="S. californicus",D147="S. tabernaemontani"),G147=0),E147*[1]Sheet1!$D$7+[1]Sheet1!$L$7,IF(AND(OR(D147="S. acutus",D147="S. tabernaemontani"),G147&gt;0),E147*[1]Sheet1!$D$8+N147*[1]Sheet1!$E$8,IF(AND(D147="S. californicus",G147&gt;0),E147*[1]Sheet1!$D$9+N147*[1]Sheet1!$E$9,IF(D147="S. maritimus",F147*[1]Sheet1!$C$10+E147*[1]Sheet1!$D$10+G147*[1]Sheet1!$F$10+[1]Sheet1!$L$10,IF(D147="S. americanus",F147*[1]Sheet1!$C$6+E147*[1]Sheet1!$D$6+[1]Sheet1!$L$6,IF(AND(OR(D147="T. domingensis",D147="T. latifolia"),E147&gt;0),F147*[1]Sheet1!$C$4+E147*[1]Sheet1!$D$4+H147*[1]Sheet1!$J$4+I147*[1]Sheet1!$K$4+[1]Sheet1!$L$4,IF(AND(OR(D147="T. domingensis",D147="T. latifolia"),J147&gt;0),J147*[1]Sheet1!$G$5+K147*[1]Sheet1!$H$5+L147*[1]Sheet1!$I$5+[1]Sheet1!$L$5,0)))))))</f>
        <v>39.302183000000021</v>
      </c>
      <c r="P147">
        <f t="shared" si="7"/>
        <v>39.302183000000021</v>
      </c>
      <c r="S147">
        <f t="shared" si="8"/>
        <v>10.752091775</v>
      </c>
    </row>
    <row r="148" spans="1:19">
      <c r="A148" s="7">
        <v>42501</v>
      </c>
      <c r="B148" s="6" t="s">
        <v>19</v>
      </c>
      <c r="C148" s="6">
        <v>29</v>
      </c>
      <c r="D148" s="6" t="s">
        <v>61</v>
      </c>
      <c r="F148" s="6">
        <v>2.36</v>
      </c>
      <c r="J148">
        <f>SUM(61+88+107+140+148+180+186+206)</f>
        <v>1116</v>
      </c>
      <c r="K148">
        <f>8</f>
        <v>8</v>
      </c>
      <c r="L148">
        <f>206</f>
        <v>206</v>
      </c>
      <c r="N148" t="str">
        <f t="shared" si="6"/>
        <v>NA</v>
      </c>
      <c r="O148">
        <f>IF(AND(OR(D148="S. acutus",D148="S. californicus",D148="S. tabernaemontani"),G148=0),E148*[1]Sheet1!$D$7+[1]Sheet1!$L$7,IF(AND(OR(D148="S. acutus",D148="S. tabernaemontani"),G148&gt;0),E148*[1]Sheet1!$D$8+N148*[1]Sheet1!$E$8,IF(AND(D148="S. californicus",G148&gt;0),E148*[1]Sheet1!$D$9+N148*[1]Sheet1!$E$9,IF(D148="S. maritimus",F148*[1]Sheet1!$C$10+E148*[1]Sheet1!$D$10+G148*[1]Sheet1!$F$10+[1]Sheet1!$L$10,IF(D148="S. americanus",F148*[1]Sheet1!$C$6+E148*[1]Sheet1!$D$6+[1]Sheet1!$L$6,IF(AND(OR(D148="T. domingensis",D148="T. latifolia"),E148&gt;0),F148*[1]Sheet1!$C$4+E148*[1]Sheet1!$D$4+H148*[1]Sheet1!$J$4+I148*[1]Sheet1!$K$4+[1]Sheet1!$L$4,IF(AND(OR(D148="T. domingensis",D148="T. latifolia"),J148&gt;0),J148*[1]Sheet1!$G$5+K148*[1]Sheet1!$H$5+L148*[1]Sheet1!$I$5+[1]Sheet1!$L$5,0)))))))</f>
        <v>19.43227000000001</v>
      </c>
      <c r="P148">
        <f t="shared" si="7"/>
        <v>19.43227000000001</v>
      </c>
      <c r="S148">
        <f t="shared" si="8"/>
        <v>4.374349915999999</v>
      </c>
    </row>
    <row r="149" spans="1:19">
      <c r="A149" s="7">
        <v>42501</v>
      </c>
      <c r="B149" s="6" t="s">
        <v>19</v>
      </c>
      <c r="C149" s="6">
        <v>29</v>
      </c>
      <c r="D149" s="6" t="s">
        <v>61</v>
      </c>
      <c r="F149" s="6">
        <v>1.64</v>
      </c>
      <c r="J149">
        <f>55+111+152+170+184</f>
        <v>672</v>
      </c>
      <c r="K149">
        <v>5</v>
      </c>
      <c r="L149">
        <v>184</v>
      </c>
      <c r="N149" t="str">
        <f t="shared" si="6"/>
        <v>NA</v>
      </c>
      <c r="O149">
        <f>IF(AND(OR(D149="S. acutus",D149="S. californicus",D149="S. tabernaemontani"),G149=0),E149*[1]Sheet1!$D$7+[1]Sheet1!$L$7,IF(AND(OR(D149="S. acutus",D149="S. tabernaemontani"),G149&gt;0),E149*[1]Sheet1!$D$8+N149*[1]Sheet1!$E$8,IF(AND(D149="S. californicus",G149&gt;0),E149*[1]Sheet1!$D$9+N149*[1]Sheet1!$E$9,IF(D149="S. maritimus",F149*[1]Sheet1!$C$10+E149*[1]Sheet1!$D$10+G149*[1]Sheet1!$F$10+[1]Sheet1!$L$10,IF(D149="S. americanus",F149*[1]Sheet1!$C$6+E149*[1]Sheet1!$D$6+[1]Sheet1!$L$6,IF(AND(OR(D149="T. domingensis",D149="T. latifolia"),E149&gt;0),F149*[1]Sheet1!$C$4+E149*[1]Sheet1!$D$4+H149*[1]Sheet1!$J$4+I149*[1]Sheet1!$K$4+[1]Sheet1!$L$4,IF(AND(OR(D149="T. domingensis",D149="T. latifolia"),J149&gt;0),J149*[1]Sheet1!$G$5+K149*[1]Sheet1!$H$5+L149*[1]Sheet1!$I$5+[1]Sheet1!$L$5,0)))))))</f>
        <v>5.4994990000000001</v>
      </c>
      <c r="P149">
        <f t="shared" si="7"/>
        <v>5.4994990000000001</v>
      </c>
      <c r="S149">
        <f t="shared" si="8"/>
        <v>2.1124051159999997</v>
      </c>
    </row>
    <row r="150" spans="1:19">
      <c r="A150" s="7">
        <v>42501</v>
      </c>
      <c r="B150" s="6" t="s">
        <v>19</v>
      </c>
      <c r="C150" s="6">
        <v>29</v>
      </c>
      <c r="D150" s="6" t="s">
        <v>61</v>
      </c>
      <c r="F150" s="6">
        <v>4.57</v>
      </c>
      <c r="J150">
        <f>142+146+208+21+223+225+227</f>
        <v>1192</v>
      </c>
      <c r="K150">
        <f>7</f>
        <v>7</v>
      </c>
      <c r="L150">
        <v>227</v>
      </c>
      <c r="N150" t="str">
        <f t="shared" si="6"/>
        <v>NA</v>
      </c>
      <c r="O150">
        <f>IF(AND(OR(D150="S. acutus",D150="S. californicus",D150="S. tabernaemontani"),G150=0),E150*[1]Sheet1!$D$7+[1]Sheet1!$L$7,IF(AND(OR(D150="S. acutus",D150="S. tabernaemontani"),G150&gt;0),E150*[1]Sheet1!$D$8+N150*[1]Sheet1!$E$8,IF(AND(D150="S. californicus",G150&gt;0),E150*[1]Sheet1!$D$9+N150*[1]Sheet1!$E$9,IF(D150="S. maritimus",F150*[1]Sheet1!$C$10+E150*[1]Sheet1!$D$10+G150*[1]Sheet1!$F$10+[1]Sheet1!$L$10,IF(D150="S. americanus",F150*[1]Sheet1!$C$6+E150*[1]Sheet1!$D$6+[1]Sheet1!$L$6,IF(AND(OR(D150="T. domingensis",D150="T. latifolia"),E150&gt;0),F150*[1]Sheet1!$C$4+E150*[1]Sheet1!$D$4+H150*[1]Sheet1!$J$4+I150*[1]Sheet1!$K$4+[1]Sheet1!$L$4,IF(AND(OR(D150="T. domingensis",D150="T. latifolia"),J150&gt;0),J150*[1]Sheet1!$G$5+K150*[1]Sheet1!$H$5+L150*[1]Sheet1!$I$5+[1]Sheet1!$L$5,0)))))))</f>
        <v>27.253858000000001</v>
      </c>
      <c r="P150">
        <f t="shared" si="7"/>
        <v>27.253858000000001</v>
      </c>
      <c r="S150">
        <f t="shared" si="8"/>
        <v>16.40294824775</v>
      </c>
    </row>
    <row r="151" spans="1:19">
      <c r="A151" s="7">
        <v>42501</v>
      </c>
      <c r="B151" s="6" t="s">
        <v>19</v>
      </c>
      <c r="C151" s="6">
        <v>29</v>
      </c>
      <c r="D151" s="6" t="s">
        <v>61</v>
      </c>
      <c r="F151" s="6">
        <v>1.64</v>
      </c>
      <c r="J151">
        <f>23+58+97+112+138+161+170</f>
        <v>759</v>
      </c>
      <c r="K151">
        <v>7</v>
      </c>
      <c r="L151">
        <v>70</v>
      </c>
      <c r="N151" t="str">
        <f t="shared" si="6"/>
        <v>NA</v>
      </c>
      <c r="O151">
        <f>IF(AND(OR(D151="S. acutus",D151="S. californicus",D151="S. tabernaemontani"),G151=0),E151*[1]Sheet1!$D$7+[1]Sheet1!$L$7,IF(AND(OR(D151="S. acutus",D151="S. tabernaemontani"),G151&gt;0),E151*[1]Sheet1!$D$8+N151*[1]Sheet1!$E$8,IF(AND(D151="S. californicus",G151&gt;0),E151*[1]Sheet1!$D$9+N151*[1]Sheet1!$E$9,IF(D151="S. maritimus",F151*[1]Sheet1!$C$10+E151*[1]Sheet1!$D$10+G151*[1]Sheet1!$F$10+[1]Sheet1!$L$10,IF(D151="S. americanus",F151*[1]Sheet1!$C$6+E151*[1]Sheet1!$D$6+[1]Sheet1!$L$6,IF(AND(OR(D151="T. domingensis",D151="T. latifolia"),E151&gt;0),F151*[1]Sheet1!$C$4+E151*[1]Sheet1!$D$4+H151*[1]Sheet1!$J$4+I151*[1]Sheet1!$K$4+[1]Sheet1!$L$4,IF(AND(OR(D151="T. domingensis",D151="T. latifolia"),J151&gt;0),J151*[1]Sheet1!$G$5+K151*[1]Sheet1!$H$5+L151*[1]Sheet1!$I$5+[1]Sheet1!$L$5,0)))))))</f>
        <v>33.95340800000001</v>
      </c>
      <c r="P151">
        <f t="shared" si="7"/>
        <v>33.95340800000001</v>
      </c>
      <c r="S151">
        <f t="shared" si="8"/>
        <v>2.1124051159999997</v>
      </c>
    </row>
    <row r="152" spans="1:19">
      <c r="A152" s="7">
        <v>42501</v>
      </c>
      <c r="B152" s="6" t="s">
        <v>19</v>
      </c>
      <c r="C152" s="6">
        <v>29</v>
      </c>
      <c r="D152" s="6" t="s">
        <v>61</v>
      </c>
      <c r="F152" s="6">
        <v>2.46</v>
      </c>
      <c r="J152">
        <f>42+78+100+128+142+182</f>
        <v>672</v>
      </c>
      <c r="K152">
        <v>6</v>
      </c>
      <c r="L152">
        <v>182</v>
      </c>
      <c r="N152" t="str">
        <f t="shared" si="6"/>
        <v>NA</v>
      </c>
      <c r="O152">
        <f>IF(AND(OR(D152="S. acutus",D152="S. californicus",D152="S. tabernaemontani"),G152=0),E152*[1]Sheet1!$D$7+[1]Sheet1!$L$7,IF(AND(OR(D152="S. acutus",D152="S. tabernaemontani"),G152&gt;0),E152*[1]Sheet1!$D$8+N152*[1]Sheet1!$E$8,IF(AND(D152="S. californicus",G152&gt;0),E152*[1]Sheet1!$D$9+N152*[1]Sheet1!$E$9,IF(D152="S. maritimus",F152*[1]Sheet1!$C$10+E152*[1]Sheet1!$D$10+G152*[1]Sheet1!$F$10+[1]Sheet1!$L$10,IF(D152="S. americanus",F152*[1]Sheet1!$C$6+E152*[1]Sheet1!$D$6+[1]Sheet1!$L$6,IF(AND(OR(D152="T. domingensis",D152="T. latifolia"),E152&gt;0),F152*[1]Sheet1!$C$4+E152*[1]Sheet1!$D$4+H152*[1]Sheet1!$J$4+I152*[1]Sheet1!$K$4+[1]Sheet1!$L$4,IF(AND(OR(D152="T. domingensis",D152="T. latifolia"),J152&gt;0),J152*[1]Sheet1!$G$5+K152*[1]Sheet1!$H$5+L152*[1]Sheet1!$I$5+[1]Sheet1!$L$5,0)))))))</f>
        <v>-0.92036399999999929</v>
      </c>
      <c r="P152" t="str">
        <f t="shared" si="7"/>
        <v xml:space="preserve"> </v>
      </c>
      <c r="S152">
        <f t="shared" si="8"/>
        <v>4.7529115109999998</v>
      </c>
    </row>
    <row r="153" spans="1:19">
      <c r="A153" s="7">
        <v>42501</v>
      </c>
      <c r="B153" s="6" t="s">
        <v>19</v>
      </c>
      <c r="C153" s="6">
        <v>29</v>
      </c>
      <c r="D153" s="6" t="s">
        <v>61</v>
      </c>
      <c r="F153" s="6">
        <v>3.08</v>
      </c>
      <c r="J153">
        <f>112+139+161+181+187+221+225+233+211+238</f>
        <v>1908</v>
      </c>
      <c r="K153">
        <v>10</v>
      </c>
      <c r="L153">
        <v>238</v>
      </c>
      <c r="N153" t="str">
        <f t="shared" si="6"/>
        <v>NA</v>
      </c>
      <c r="O153">
        <f>IF(AND(OR(D153="S. acutus",D153="S. californicus",D153="S. tabernaemontani"),G153=0),E153*[1]Sheet1!$D$7+[1]Sheet1!$L$7,IF(AND(OR(D153="S. acutus",D153="S. tabernaemontani"),G153&gt;0),E153*[1]Sheet1!$D$8+N153*[1]Sheet1!$E$8,IF(AND(D153="S. californicus",G153&gt;0),E153*[1]Sheet1!$D$9+N153*[1]Sheet1!$E$9,IF(D153="S. maritimus",F153*[1]Sheet1!$C$10+E153*[1]Sheet1!$D$10+G153*[1]Sheet1!$F$10+[1]Sheet1!$L$10,IF(D153="S. americanus",F153*[1]Sheet1!$C$6+E153*[1]Sheet1!$D$6+[1]Sheet1!$L$6,IF(AND(OR(D153="T. domingensis",D153="T. latifolia"),E153&gt;0),F153*[1]Sheet1!$C$4+E153*[1]Sheet1!$D$4+H153*[1]Sheet1!$J$4+I153*[1]Sheet1!$K$4+[1]Sheet1!$L$4,IF(AND(OR(D153="T. domingensis",D153="T. latifolia"),J153&gt;0),J153*[1]Sheet1!$G$5+K153*[1]Sheet1!$H$5+L153*[1]Sheet1!$I$5+[1]Sheet1!$L$5,0)))))))</f>
        <v>70.001684000000012</v>
      </c>
      <c r="P153">
        <f t="shared" si="7"/>
        <v>70.001684000000012</v>
      </c>
      <c r="S153">
        <f t="shared" si="8"/>
        <v>7.4505948439999994</v>
      </c>
    </row>
    <row r="154" spans="1:19">
      <c r="A154" s="7">
        <v>42501</v>
      </c>
      <c r="B154" s="6" t="s">
        <v>19</v>
      </c>
      <c r="C154" s="6">
        <v>29</v>
      </c>
      <c r="D154" s="6" t="s">
        <v>61</v>
      </c>
      <c r="F154" s="6">
        <v>1.01</v>
      </c>
      <c r="J154">
        <f>118+129+142+189+211+222+229+235</f>
        <v>1475</v>
      </c>
      <c r="K154">
        <v>8</v>
      </c>
      <c r="L154">
        <v>235</v>
      </c>
      <c r="N154" t="str">
        <f t="shared" si="6"/>
        <v>NA</v>
      </c>
      <c r="O154">
        <f>IF(AND(OR(D154="S. acutus",D154="S. californicus",D154="S. tabernaemontani"),G154=0),E154*[1]Sheet1!$D$7+[1]Sheet1!$L$7,IF(AND(OR(D154="S. acutus",D154="S. tabernaemontani"),G154&gt;0),E154*[1]Sheet1!$D$8+N154*[1]Sheet1!$E$8,IF(AND(D154="S. californicus",G154&gt;0),E154*[1]Sheet1!$D$9+N154*[1]Sheet1!$E$9,IF(D154="S. maritimus",F154*[1]Sheet1!$C$10+E154*[1]Sheet1!$D$10+G154*[1]Sheet1!$F$10+[1]Sheet1!$L$10,IF(D154="S. americanus",F154*[1]Sheet1!$C$6+E154*[1]Sheet1!$D$6+[1]Sheet1!$L$6,IF(AND(OR(D154="T. domingensis",D154="T. latifolia"),E154&gt;0),F154*[1]Sheet1!$C$4+E154*[1]Sheet1!$D$4+H154*[1]Sheet1!$J$4+I154*[1]Sheet1!$K$4+[1]Sheet1!$L$4,IF(AND(OR(D154="T. domingensis",D154="T. latifolia"),J154&gt;0),J154*[1]Sheet1!$G$5+K154*[1]Sheet1!$H$5+L154*[1]Sheet1!$I$5+[1]Sheet1!$L$5,0)))))))</f>
        <v>44.354210000000002</v>
      </c>
      <c r="P154">
        <f t="shared" si="7"/>
        <v>44.354210000000002</v>
      </c>
      <c r="S154">
        <f t="shared" si="8"/>
        <v>0.80118398974999994</v>
      </c>
    </row>
    <row r="155" spans="1:19">
      <c r="A155" s="7">
        <v>42501</v>
      </c>
      <c r="B155" s="6" t="s">
        <v>19</v>
      </c>
      <c r="C155" s="6">
        <v>29</v>
      </c>
      <c r="D155" s="6" t="s">
        <v>61</v>
      </c>
      <c r="F155" s="6">
        <v>1.48</v>
      </c>
      <c r="J155">
        <f>118+154+155+183+196</f>
        <v>806</v>
      </c>
      <c r="K155">
        <v>5</v>
      </c>
      <c r="L155">
        <v>196</v>
      </c>
      <c r="N155" t="str">
        <f t="shared" si="6"/>
        <v>NA</v>
      </c>
      <c r="O155">
        <f>IF(AND(OR(D155="S. acutus",D155="S. californicus",D155="S. tabernaemontani"),G155=0),E155*[1]Sheet1!$D$7+[1]Sheet1!$L$7,IF(AND(OR(D155="S. acutus",D155="S. tabernaemontani"),G155&gt;0),E155*[1]Sheet1!$D$8+N155*[1]Sheet1!$E$8,IF(AND(D155="S. californicus",G155&gt;0),E155*[1]Sheet1!$D$9+N155*[1]Sheet1!$E$9,IF(D155="S. maritimus",F155*[1]Sheet1!$C$10+E155*[1]Sheet1!$D$10+G155*[1]Sheet1!$F$10+[1]Sheet1!$L$10,IF(D155="S. americanus",F155*[1]Sheet1!$C$6+E155*[1]Sheet1!$D$6+[1]Sheet1!$L$6,IF(AND(OR(D155="T. domingensis",D155="T. latifolia"),E155&gt;0),F155*[1]Sheet1!$C$4+E155*[1]Sheet1!$D$4+H155*[1]Sheet1!$J$4+I155*[1]Sheet1!$K$4+[1]Sheet1!$L$4,IF(AND(OR(D155="T. domingensis",D155="T. latifolia"),J155&gt;0),J155*[1]Sheet1!$G$5+K155*[1]Sheet1!$H$5+L155*[1]Sheet1!$I$5+[1]Sheet1!$L$5,0)))))))</f>
        <v>14.447729000000002</v>
      </c>
      <c r="P155">
        <f t="shared" si="7"/>
        <v>14.447729000000002</v>
      </c>
      <c r="S155">
        <f t="shared" si="8"/>
        <v>1.7203346839999998</v>
      </c>
    </row>
    <row r="156" spans="1:19">
      <c r="A156" s="7">
        <v>42501</v>
      </c>
      <c r="B156" s="6" t="s">
        <v>19</v>
      </c>
      <c r="C156" s="6">
        <v>24</v>
      </c>
      <c r="D156" s="6" t="s">
        <v>64</v>
      </c>
      <c r="F156" s="6">
        <v>4.41</v>
      </c>
      <c r="J156">
        <f>68+129+156+165+184+200+236+242+250+255+264</f>
        <v>2149</v>
      </c>
      <c r="K156">
        <v>11</v>
      </c>
      <c r="L156">
        <v>264</v>
      </c>
      <c r="N156" t="str">
        <f t="shared" si="6"/>
        <v>NA</v>
      </c>
      <c r="O156">
        <f>IF(AND(OR(D156="S. acutus",D156="S. californicus",D156="S. tabernaemontani"),G156=0),E156*[1]Sheet1!$D$7+[1]Sheet1!$L$7,IF(AND(OR(D156="S. acutus",D156="S. tabernaemontani"),G156&gt;0),E156*[1]Sheet1!$D$8+N156*[1]Sheet1!$E$8,IF(AND(D156="S. californicus",G156&gt;0),E156*[1]Sheet1!$D$9+N156*[1]Sheet1!$E$9,IF(D156="S. maritimus",F156*[1]Sheet1!$C$10+E156*[1]Sheet1!$D$10+G156*[1]Sheet1!$F$10+[1]Sheet1!$L$10,IF(D156="S. americanus",F156*[1]Sheet1!$C$6+E156*[1]Sheet1!$D$6+[1]Sheet1!$L$6,IF(AND(OR(D156="T. domingensis",D156="T. latifolia"),E156&gt;0),F156*[1]Sheet1!$C$4+E156*[1]Sheet1!$D$4+H156*[1]Sheet1!$J$4+I156*[1]Sheet1!$K$4+[1]Sheet1!$L$4,IF(AND(OR(D156="T. domingensis",D156="T. latifolia"),J156&gt;0),J156*[1]Sheet1!$G$5+K156*[1]Sheet1!$H$5+L156*[1]Sheet1!$I$5+[1]Sheet1!$L$5,0)))))))</f>
        <v>77.741916000000032</v>
      </c>
      <c r="P156">
        <f t="shared" si="7"/>
        <v>77.741916000000032</v>
      </c>
      <c r="S156">
        <f t="shared" si="8"/>
        <v>15.274489119749999</v>
      </c>
    </row>
    <row r="157" spans="1:19">
      <c r="A157" s="7">
        <v>42501</v>
      </c>
      <c r="B157" s="6" t="s">
        <v>19</v>
      </c>
      <c r="C157" s="6">
        <v>24</v>
      </c>
      <c r="D157" s="6" t="s">
        <v>61</v>
      </c>
      <c r="F157" s="6">
        <v>5.24</v>
      </c>
      <c r="J157">
        <f>89+153+176+189+199+209+213+212</f>
        <v>1440</v>
      </c>
      <c r="K157">
        <v>8</v>
      </c>
      <c r="L157">
        <v>213</v>
      </c>
      <c r="N157" t="str">
        <f t="shared" si="6"/>
        <v>NA</v>
      </c>
      <c r="O157">
        <f>IF(AND(OR(D157="S. acutus",D157="S. californicus",D157="S. tabernaemontani"),G157=0),E157*[1]Sheet1!$D$7+[1]Sheet1!$L$7,IF(AND(OR(D157="S. acutus",D157="S. tabernaemontani"),G157&gt;0),E157*[1]Sheet1!$D$8+N157*[1]Sheet1!$E$8,IF(AND(D157="S. californicus",G157&gt;0),E157*[1]Sheet1!$D$9+N157*[1]Sheet1!$E$9,IF(D157="S. maritimus",F157*[1]Sheet1!$C$10+E157*[1]Sheet1!$D$10+G157*[1]Sheet1!$F$10+[1]Sheet1!$L$10,IF(D157="S. americanus",F157*[1]Sheet1!$C$6+E157*[1]Sheet1!$D$6+[1]Sheet1!$L$6,IF(AND(OR(D157="T. domingensis",D157="T. latifolia"),E157&gt;0),F157*[1]Sheet1!$C$4+E157*[1]Sheet1!$D$4+H157*[1]Sheet1!$J$4+I157*[1]Sheet1!$K$4+[1]Sheet1!$L$4,IF(AND(OR(D157="T. domingensis",D157="T. latifolia"),J157&gt;0),J157*[1]Sheet1!$G$5+K157*[1]Sheet1!$H$5+L157*[1]Sheet1!$I$5+[1]Sheet1!$L$5,0)))))))</f>
        <v>47.700175000000023</v>
      </c>
      <c r="P157">
        <f t="shared" si="7"/>
        <v>47.700175000000023</v>
      </c>
      <c r="S157">
        <f t="shared" si="8"/>
        <v>21.565130396000001</v>
      </c>
    </row>
    <row r="158" spans="1:19">
      <c r="A158" s="7">
        <v>42501</v>
      </c>
      <c r="B158" s="6" t="s">
        <v>19</v>
      </c>
      <c r="C158" s="6">
        <v>24</v>
      </c>
      <c r="D158" s="6" t="s">
        <v>61</v>
      </c>
      <c r="F158" s="6">
        <v>3.08</v>
      </c>
      <c r="J158">
        <f>88+107+170</f>
        <v>365</v>
      </c>
      <c r="K158">
        <v>3</v>
      </c>
      <c r="L158">
        <v>170</v>
      </c>
      <c r="N158" t="str">
        <f t="shared" si="6"/>
        <v>NA</v>
      </c>
      <c r="O158">
        <f>IF(AND(OR(D158="S. acutus",D158="S. californicus",D158="S. tabernaemontani"),G158=0),E158*[1]Sheet1!$D$7+[1]Sheet1!$L$7,IF(AND(OR(D158="S. acutus",D158="S. tabernaemontani"),G158&gt;0),E158*[1]Sheet1!$D$8+N158*[1]Sheet1!$E$8,IF(AND(D158="S. californicus",G158&gt;0),E158*[1]Sheet1!$D$9+N158*[1]Sheet1!$E$9,IF(D158="S. maritimus",F158*[1]Sheet1!$C$10+E158*[1]Sheet1!$D$10+G158*[1]Sheet1!$F$10+[1]Sheet1!$L$10,IF(D158="S. americanus",F158*[1]Sheet1!$C$6+E158*[1]Sheet1!$D$6+[1]Sheet1!$L$6,IF(AND(OR(D158="T. domingensis",D158="T. latifolia"),E158&gt;0),F158*[1]Sheet1!$C$4+E158*[1]Sheet1!$D$4+H158*[1]Sheet1!$J$4+I158*[1]Sheet1!$K$4+[1]Sheet1!$L$4,IF(AND(OR(D158="T. domingensis",D158="T. latifolia"),J158&gt;0),J158*[1]Sheet1!$G$5+K158*[1]Sheet1!$H$5+L158*[1]Sheet1!$I$5+[1]Sheet1!$L$5,0)))))))</f>
        <v>-5.0211499999999987</v>
      </c>
      <c r="P158" t="str">
        <f t="shared" si="7"/>
        <v xml:space="preserve"> </v>
      </c>
      <c r="S158">
        <f t="shared" si="8"/>
        <v>7.4505948439999994</v>
      </c>
    </row>
    <row r="159" spans="1:19">
      <c r="A159" s="7">
        <v>42501</v>
      </c>
      <c r="B159" s="6" t="s">
        <v>19</v>
      </c>
      <c r="C159" s="6">
        <v>24</v>
      </c>
      <c r="D159" s="6" t="s">
        <v>61</v>
      </c>
      <c r="F159" s="6">
        <v>1.38</v>
      </c>
      <c r="J159">
        <f>57+112</f>
        <v>169</v>
      </c>
      <c r="K159">
        <v>2</v>
      </c>
      <c r="L159">
        <v>112</v>
      </c>
      <c r="N159" t="str">
        <f t="shared" si="6"/>
        <v>NA</v>
      </c>
      <c r="O159">
        <f>IF(AND(OR(D159="S. acutus",D159="S. californicus",D159="S. tabernaemontani"),G159=0),E159*[1]Sheet1!$D$7+[1]Sheet1!$L$7,IF(AND(OR(D159="S. acutus",D159="S. tabernaemontani"),G159&gt;0),E159*[1]Sheet1!$D$8+N159*[1]Sheet1!$E$8,IF(AND(D159="S. californicus",G159&gt;0),E159*[1]Sheet1!$D$9+N159*[1]Sheet1!$E$9,IF(D159="S. maritimus",F159*[1]Sheet1!$C$10+E159*[1]Sheet1!$D$10+G159*[1]Sheet1!$F$10+[1]Sheet1!$L$10,IF(D159="S. americanus",F159*[1]Sheet1!$C$6+E159*[1]Sheet1!$D$6+[1]Sheet1!$L$6,IF(AND(OR(D159="T. domingensis",D159="T. latifolia"),E159&gt;0),F159*[1]Sheet1!$C$4+E159*[1]Sheet1!$D$4+H159*[1]Sheet1!$J$4+I159*[1]Sheet1!$K$4+[1]Sheet1!$L$4,IF(AND(OR(D159="T. domingensis",D159="T. latifolia"),J159&gt;0),J159*[1]Sheet1!$G$5+K159*[1]Sheet1!$H$5+L159*[1]Sheet1!$I$5+[1]Sheet1!$L$5,0)))))))</f>
        <v>1.0974329999999952</v>
      </c>
      <c r="P159">
        <f t="shared" si="7"/>
        <v>1.0974329999999952</v>
      </c>
      <c r="S159">
        <f t="shared" si="8"/>
        <v>1.4957109989999997</v>
      </c>
    </row>
    <row r="160" spans="1:19">
      <c r="A160" s="7">
        <v>42501</v>
      </c>
      <c r="B160" s="6" t="s">
        <v>19</v>
      </c>
      <c r="C160" s="6">
        <v>24</v>
      </c>
      <c r="D160" s="6" t="s">
        <v>61</v>
      </c>
      <c r="F160" s="6">
        <v>1.07</v>
      </c>
      <c r="G160" s="6"/>
      <c r="J160">
        <f>18+21+60+81+84</f>
        <v>264</v>
      </c>
      <c r="K160">
        <v>5</v>
      </c>
      <c r="L160">
        <v>84</v>
      </c>
      <c r="N160" t="str">
        <f t="shared" si="6"/>
        <v>NA</v>
      </c>
      <c r="O160">
        <f>IF(AND(OR(D160="S. acutus",D160="S. californicus",D160="S. tabernaemontani"),G160=0),E160*[1]Sheet1!$D$7+[1]Sheet1!$L$7,IF(AND(OR(D160="S. acutus",D160="S. tabernaemontani"),G160&gt;0),E160*[1]Sheet1!$D$8+N160*[1]Sheet1!$E$8,IF(AND(D160="S. californicus",G160&gt;0),E160*[1]Sheet1!$D$9+N160*[1]Sheet1!$E$9,IF(D160="S. maritimus",F160*[1]Sheet1!$C$10+E160*[1]Sheet1!$D$10+G160*[1]Sheet1!$F$10+[1]Sheet1!$L$10,IF(D160="S. americanus",F160*[1]Sheet1!$C$6+E160*[1]Sheet1!$D$6+[1]Sheet1!$L$6,IF(AND(OR(D160="T. domingensis",D160="T. latifolia"),E160&gt;0),F160*[1]Sheet1!$C$4+E160*[1]Sheet1!$D$4+H160*[1]Sheet1!$J$4+I160*[1]Sheet1!$K$4+[1]Sheet1!$L$4,IF(AND(OR(D160="T. domingensis",D160="T. latifolia"),J160&gt;0),J160*[1]Sheet1!$G$5+K160*[1]Sheet1!$H$5+L160*[1]Sheet1!$I$5+[1]Sheet1!$L$5,0)))))))</f>
        <v>-2.6280410000000032</v>
      </c>
      <c r="P160" t="str">
        <f t="shared" si="7"/>
        <v xml:space="preserve"> </v>
      </c>
      <c r="S160">
        <f t="shared" si="8"/>
        <v>0.89920159774999997</v>
      </c>
    </row>
    <row r="161" spans="1:19">
      <c r="A161" s="7">
        <v>42501</v>
      </c>
      <c r="B161" s="6" t="s">
        <v>19</v>
      </c>
      <c r="C161" s="6">
        <v>24</v>
      </c>
      <c r="D161" s="6" t="s">
        <v>61</v>
      </c>
      <c r="F161" s="6">
        <v>4.5999999999999996</v>
      </c>
      <c r="J161">
        <f>72+116+148+152+173+193+212+218</f>
        <v>1284</v>
      </c>
      <c r="K161">
        <v>8</v>
      </c>
      <c r="L161">
        <v>218</v>
      </c>
      <c r="N161" t="str">
        <f t="shared" si="6"/>
        <v>NA</v>
      </c>
      <c r="O161">
        <f>IF(AND(OR(D161="S. acutus",D161="S. californicus",D161="S. tabernaemontani"),G161=0),E161*[1]Sheet1!$D$7+[1]Sheet1!$L$7,IF(AND(OR(D161="S. acutus",D161="S. tabernaemontani"),G161&gt;0),E161*[1]Sheet1!$D$8+N161*[1]Sheet1!$E$8,IF(AND(D161="S. californicus",G161&gt;0),E161*[1]Sheet1!$D$9+N161*[1]Sheet1!$E$9,IF(D161="S. maritimus",F161*[1]Sheet1!$C$10+E161*[1]Sheet1!$D$10+G161*[1]Sheet1!$F$10+[1]Sheet1!$L$10,IF(D161="S. americanus",F161*[1]Sheet1!$C$6+E161*[1]Sheet1!$D$6+[1]Sheet1!$L$6,IF(AND(OR(D161="T. domingensis",D161="T. latifolia"),E161&gt;0),F161*[1]Sheet1!$C$4+E161*[1]Sheet1!$D$4+H161*[1]Sheet1!$J$4+I161*[1]Sheet1!$K$4+[1]Sheet1!$L$4,IF(AND(OR(D161="T. domingensis",D161="T. latifolia"),J161&gt;0),J161*[1]Sheet1!$G$5+K161*[1]Sheet1!$H$5+L161*[1]Sheet1!$I$5+[1]Sheet1!$L$5,0)))))))</f>
        <v>31.568170000000002</v>
      </c>
      <c r="P161">
        <f t="shared" si="7"/>
        <v>31.568170000000002</v>
      </c>
      <c r="S161">
        <f t="shared" si="8"/>
        <v>16.619011099999998</v>
      </c>
    </row>
    <row r="162" spans="1:19">
      <c r="A162" s="7">
        <v>42501</v>
      </c>
      <c r="B162" s="6" t="s">
        <v>19</v>
      </c>
      <c r="C162" s="6">
        <v>24</v>
      </c>
      <c r="D162" s="6" t="s">
        <v>61</v>
      </c>
      <c r="F162" s="6">
        <v>1.1200000000000001</v>
      </c>
      <c r="J162">
        <f>18+57+71+73+88</f>
        <v>307</v>
      </c>
      <c r="K162">
        <v>5</v>
      </c>
      <c r="L162">
        <v>88</v>
      </c>
      <c r="N162" t="str">
        <f t="shared" si="6"/>
        <v>NA</v>
      </c>
      <c r="O162">
        <f>IF(AND(OR(D162="S. acutus",D162="S. californicus",D162="S. tabernaemontani"),G162=0),E162*[1]Sheet1!$D$7+[1]Sheet1!$L$7,IF(AND(OR(D162="S. acutus",D162="S. tabernaemontani"),G162&gt;0),E162*[1]Sheet1!$D$8+N162*[1]Sheet1!$E$8,IF(AND(D162="S. californicus",G162&gt;0),E162*[1]Sheet1!$D$9+N162*[1]Sheet1!$E$9,IF(D162="S. maritimus",F162*[1]Sheet1!$C$10+E162*[1]Sheet1!$D$10+G162*[1]Sheet1!$F$10+[1]Sheet1!$L$10,IF(D162="S. americanus",F162*[1]Sheet1!$C$6+E162*[1]Sheet1!$D$6+[1]Sheet1!$L$6,IF(AND(OR(D162="T. domingensis",D162="T. latifolia"),E162&gt;0),F162*[1]Sheet1!$C$4+E162*[1]Sheet1!$D$4+H162*[1]Sheet1!$J$4+I162*[1]Sheet1!$K$4+[1]Sheet1!$L$4,IF(AND(OR(D162="T. domingensis",D162="T. latifolia"),J162&gt;0),J162*[1]Sheet1!$G$5+K162*[1]Sheet1!$H$5+L162*[1]Sheet1!$I$5+[1]Sheet1!$L$5,0)))))))</f>
        <v>0.19844400000000206</v>
      </c>
      <c r="P162">
        <f t="shared" si="7"/>
        <v>0.19844400000000206</v>
      </c>
      <c r="S162">
        <f t="shared" si="8"/>
        <v>0.98520262400000014</v>
      </c>
    </row>
    <row r="163" spans="1:19">
      <c r="A163" s="7">
        <v>42501</v>
      </c>
      <c r="B163" s="6" t="s">
        <v>19</v>
      </c>
      <c r="C163" s="6">
        <v>24</v>
      </c>
      <c r="D163" s="6" t="s">
        <v>61</v>
      </c>
      <c r="F163" s="6">
        <v>4.38</v>
      </c>
      <c r="J163">
        <f>87+146+119+214+237+232</f>
        <v>1035</v>
      </c>
      <c r="K163">
        <v>6</v>
      </c>
      <c r="L163">
        <v>237</v>
      </c>
      <c r="N163" t="str">
        <f t="shared" si="6"/>
        <v>NA</v>
      </c>
      <c r="O163">
        <f>IF(AND(OR(D163="S. acutus",D163="S. californicus",D163="S. tabernaemontani"),G163=0),E163*[1]Sheet1!$D$7+[1]Sheet1!$L$7,IF(AND(OR(D163="S. acutus",D163="S. tabernaemontani"),G163&gt;0),E163*[1]Sheet1!$D$8+N163*[1]Sheet1!$E$8,IF(AND(D163="S. californicus",G163&gt;0),E163*[1]Sheet1!$D$9+N163*[1]Sheet1!$E$9,IF(D163="S. maritimus",F163*[1]Sheet1!$C$10+E163*[1]Sheet1!$D$10+G163*[1]Sheet1!$F$10+[1]Sheet1!$L$10,IF(D163="S. americanus",F163*[1]Sheet1!$C$6+E163*[1]Sheet1!$D$6+[1]Sheet1!$L$6,IF(AND(OR(D163="T. domingensis",D163="T. latifolia"),E163&gt;0),F163*[1]Sheet1!$C$4+E163*[1]Sheet1!$D$4+H163*[1]Sheet1!$J$4+I163*[1]Sheet1!$K$4+[1]Sheet1!$L$4,IF(AND(OR(D163="T. domingensis",D163="T. latifolia"),J163&gt;0),J163*[1]Sheet1!$G$5+K163*[1]Sheet1!$H$5+L163*[1]Sheet1!$I$5+[1]Sheet1!$L$5,0)))))))</f>
        <v>16.544226000000002</v>
      </c>
      <c r="P163">
        <f t="shared" si="7"/>
        <v>16.544226000000002</v>
      </c>
      <c r="S163">
        <f t="shared" si="8"/>
        <v>15.067379798999999</v>
      </c>
    </row>
    <row r="164" spans="1:19">
      <c r="A164" s="7">
        <v>42501</v>
      </c>
      <c r="B164" s="6" t="s">
        <v>19</v>
      </c>
      <c r="C164" s="6">
        <v>24</v>
      </c>
      <c r="D164" s="6" t="s">
        <v>61</v>
      </c>
      <c r="F164" s="6">
        <v>3.69</v>
      </c>
      <c r="J164">
        <f>70+97+143+177+197</f>
        <v>684</v>
      </c>
      <c r="K164">
        <v>5</v>
      </c>
      <c r="L164">
        <v>197</v>
      </c>
      <c r="N164" t="str">
        <f t="shared" si="6"/>
        <v>NA</v>
      </c>
      <c r="O164">
        <f>IF(AND(OR(D164="S. acutus",D164="S. californicus",D164="S. tabernaemontani"),G164=0),E164*[1]Sheet1!$D$7+[1]Sheet1!$L$7,IF(AND(OR(D164="S. acutus",D164="S. tabernaemontani"),G164&gt;0),E164*[1]Sheet1!$D$8+N164*[1]Sheet1!$E$8,IF(AND(D164="S. californicus",G164&gt;0),E164*[1]Sheet1!$D$9+N164*[1]Sheet1!$E$9,IF(D164="S. maritimus",F164*[1]Sheet1!$C$10+E164*[1]Sheet1!$D$10+G164*[1]Sheet1!$F$10+[1]Sheet1!$L$10,IF(D164="S. americanus",F164*[1]Sheet1!$C$6+E164*[1]Sheet1!$D$6+[1]Sheet1!$L$6,IF(AND(OR(D164="T. domingensis",D164="T. latifolia"),E164&gt;0),F164*[1]Sheet1!$C$4+E164*[1]Sheet1!$D$4+H164*[1]Sheet1!$J$4+I164*[1]Sheet1!$K$4+[1]Sheet1!$L$4,IF(AND(OR(D164="T. domingensis",D164="T. latifolia"),J164&gt;0),J164*[1]Sheet1!$G$5+K164*[1]Sheet1!$H$5+L164*[1]Sheet1!$I$5+[1]Sheet1!$L$5,0)))))))</f>
        <v>2.7083740000000063</v>
      </c>
      <c r="P164">
        <f t="shared" si="7"/>
        <v>2.7083740000000063</v>
      </c>
      <c r="S164">
        <f t="shared" si="8"/>
        <v>10.69405089975</v>
      </c>
    </row>
    <row r="165" spans="1:19">
      <c r="A165" s="7">
        <v>42501</v>
      </c>
      <c r="B165" s="6" t="s">
        <v>19</v>
      </c>
      <c r="C165" s="6">
        <v>24</v>
      </c>
      <c r="D165" s="6" t="s">
        <v>61</v>
      </c>
      <c r="F165" s="6">
        <v>4.01</v>
      </c>
      <c r="J165">
        <f>149+177+182+176+236+250+255+258</f>
        <v>1683</v>
      </c>
      <c r="K165">
        <v>8</v>
      </c>
      <c r="L165">
        <v>258</v>
      </c>
      <c r="N165" t="str">
        <f t="shared" si="6"/>
        <v>NA</v>
      </c>
      <c r="O165">
        <f>IF(AND(OR(D165="S. acutus",D165="S. californicus",D165="S. tabernaemontani"),G165=0),E165*[1]Sheet1!$D$7+[1]Sheet1!$L$7,IF(AND(OR(D165="S. acutus",D165="S. tabernaemontani"),G165&gt;0),E165*[1]Sheet1!$D$8+N165*[1]Sheet1!$E$8,IF(AND(D165="S. californicus",G165&gt;0),E165*[1]Sheet1!$D$9+N165*[1]Sheet1!$E$9,IF(D165="S. maritimus",F165*[1]Sheet1!$C$10+E165*[1]Sheet1!$D$10+G165*[1]Sheet1!$F$10+[1]Sheet1!$L$10,IF(D165="S. americanus",F165*[1]Sheet1!$C$6+E165*[1]Sheet1!$D$6+[1]Sheet1!$L$6,IF(AND(OR(D165="T. domingensis",D165="T. latifolia"),E165&gt;0),F165*[1]Sheet1!$C$4+E165*[1]Sheet1!$D$4+H165*[1]Sheet1!$J$4+I165*[1]Sheet1!$K$4+[1]Sheet1!$L$4,IF(AND(OR(D165="T. domingensis",D165="T. latifolia"),J165&gt;0),J165*[1]Sheet1!$G$5+K165*[1]Sheet1!$H$5+L165*[1]Sheet1!$I$5+[1]Sheet1!$L$5,0)))))))</f>
        <v>56.92661500000002</v>
      </c>
      <c r="P165">
        <f t="shared" si="7"/>
        <v>56.92661500000002</v>
      </c>
      <c r="S165">
        <f t="shared" si="8"/>
        <v>12.629270339749999</v>
      </c>
    </row>
    <row r="166" spans="1:19">
      <c r="A166" s="7">
        <v>42501</v>
      </c>
      <c r="B166" s="6" t="s">
        <v>19</v>
      </c>
      <c r="C166" s="6">
        <v>24</v>
      </c>
      <c r="D166" s="6" t="s">
        <v>61</v>
      </c>
      <c r="F166" s="6">
        <v>1.99</v>
      </c>
      <c r="J166">
        <f>84+125</f>
        <v>209</v>
      </c>
      <c r="K166">
        <v>2</v>
      </c>
      <c r="L166">
        <v>125</v>
      </c>
      <c r="N166" t="str">
        <f t="shared" si="6"/>
        <v>NA</v>
      </c>
      <c r="O166">
        <f>IF(AND(OR(D166="S. acutus",D166="S. californicus",D166="S. tabernaemontani"),G166=0),E166*[1]Sheet1!$D$7+[1]Sheet1!$L$7,IF(AND(OR(D166="S. acutus",D166="S. tabernaemontani"),G166&gt;0),E166*[1]Sheet1!$D$8+N166*[1]Sheet1!$E$8,IF(AND(D166="S. californicus",G166&gt;0),E166*[1]Sheet1!$D$9+N166*[1]Sheet1!$E$9,IF(D166="S. maritimus",F166*[1]Sheet1!$C$10+E166*[1]Sheet1!$D$10+G166*[1]Sheet1!$F$10+[1]Sheet1!$L$10,IF(D166="S. americanus",F166*[1]Sheet1!$C$6+E166*[1]Sheet1!$D$6+[1]Sheet1!$L$6,IF(AND(OR(D166="T. domingensis",D166="T. latifolia"),E166&gt;0),F166*[1]Sheet1!$C$4+E166*[1]Sheet1!$D$4+H166*[1]Sheet1!$J$4+I166*[1]Sheet1!$K$4+[1]Sheet1!$L$4,IF(AND(OR(D166="T. domingensis",D166="T. latifolia"),J166&gt;0),J166*[1]Sheet1!$G$5+K166*[1]Sheet1!$H$5+L166*[1]Sheet1!$I$5+[1]Sheet1!$L$5,0)))))))</f>
        <v>0.93144799999999606</v>
      </c>
      <c r="P166">
        <f t="shared" si="7"/>
        <v>0.93144799999999606</v>
      </c>
      <c r="S166">
        <f t="shared" si="8"/>
        <v>3.1102526397500001</v>
      </c>
    </row>
    <row r="167" spans="1:19">
      <c r="A167" s="7">
        <v>42501</v>
      </c>
      <c r="B167" s="6" t="s">
        <v>19</v>
      </c>
      <c r="C167" s="6">
        <v>24</v>
      </c>
      <c r="D167" s="6" t="s">
        <v>61</v>
      </c>
      <c r="F167" s="6">
        <v>2.54</v>
      </c>
      <c r="J167">
        <f>132+162</f>
        <v>294</v>
      </c>
      <c r="K167">
        <v>2</v>
      </c>
      <c r="L167">
        <v>162</v>
      </c>
      <c r="N167" t="str">
        <f t="shared" si="6"/>
        <v>NA</v>
      </c>
      <c r="O167">
        <f>IF(AND(OR(D167="S. acutus",D167="S. californicus",D167="S. tabernaemontani"),G167=0),E167*[1]Sheet1!$D$7+[1]Sheet1!$L$7,IF(AND(OR(D167="S. acutus",D167="S. tabernaemontani"),G167&gt;0),E167*[1]Sheet1!$D$8+N167*[1]Sheet1!$E$8,IF(AND(D167="S. californicus",G167&gt;0),E167*[1]Sheet1!$D$9+N167*[1]Sheet1!$E$9,IF(D167="S. maritimus",F167*[1]Sheet1!$C$10+E167*[1]Sheet1!$D$10+G167*[1]Sheet1!$F$10+[1]Sheet1!$L$10,IF(D167="S. americanus",F167*[1]Sheet1!$C$6+E167*[1]Sheet1!$D$6+[1]Sheet1!$L$6,IF(AND(OR(D167="T. domingensis",D167="T. latifolia"),E167&gt;0),F167*[1]Sheet1!$C$4+E167*[1]Sheet1!$D$4+H167*[1]Sheet1!$J$4+I167*[1]Sheet1!$K$4+[1]Sheet1!$L$4,IF(AND(OR(D167="T. domingensis",D167="T. latifolia"),J167&gt;0),J167*[1]Sheet1!$G$5+K167*[1]Sheet1!$H$5+L167*[1]Sheet1!$I$5+[1]Sheet1!$L$5,0)))))))</f>
        <v>-2.2454420000000042</v>
      </c>
      <c r="P167" t="str">
        <f t="shared" si="7"/>
        <v xml:space="preserve"> </v>
      </c>
      <c r="S167">
        <f t="shared" si="8"/>
        <v>5.0670705109999998</v>
      </c>
    </row>
    <row r="168" spans="1:19">
      <c r="A168" s="7">
        <v>42501</v>
      </c>
      <c r="B168" s="6" t="s">
        <v>19</v>
      </c>
      <c r="C168" s="6">
        <v>22</v>
      </c>
      <c r="D168" s="6" t="s">
        <v>64</v>
      </c>
      <c r="F168" s="6">
        <f>2.8</f>
        <v>2.8</v>
      </c>
      <c r="J168">
        <f>84+85+103+164+186+193+212+212</f>
        <v>1239</v>
      </c>
      <c r="K168">
        <v>4</v>
      </c>
      <c r="L168">
        <v>212</v>
      </c>
      <c r="N168" t="str">
        <f t="shared" si="6"/>
        <v>NA</v>
      </c>
      <c r="O168">
        <f>IF(AND(OR(D168="S. acutus",D168="S. californicus",D168="S. tabernaemontani"),G168=0),E168*[1]Sheet1!$D$7+[1]Sheet1!$L$7,IF(AND(OR(D168="S. acutus",D168="S. tabernaemontani"),G168&gt;0),E168*[1]Sheet1!$D$8+N168*[1]Sheet1!$E$8,IF(AND(D168="S. californicus",G168&gt;0),E168*[1]Sheet1!$D$9+N168*[1]Sheet1!$E$9,IF(D168="S. maritimus",F168*[1]Sheet1!$C$10+E168*[1]Sheet1!$D$10+G168*[1]Sheet1!$F$10+[1]Sheet1!$L$10,IF(D168="S. americanus",F168*[1]Sheet1!$C$6+E168*[1]Sheet1!$D$6+[1]Sheet1!$L$6,IF(AND(OR(D168="T. domingensis",D168="T. latifolia"),E168&gt;0),F168*[1]Sheet1!$C$4+E168*[1]Sheet1!$D$4+H168*[1]Sheet1!$J$4+I168*[1]Sheet1!$K$4+[1]Sheet1!$L$4,IF(AND(OR(D168="T. domingensis",D168="T. latifolia"),J168&gt;0),J168*[1]Sheet1!$G$5+K168*[1]Sheet1!$H$5+L168*[1]Sheet1!$I$5+[1]Sheet1!$L$5,0)))))))</f>
        <v>57.246077000000007</v>
      </c>
      <c r="P168">
        <f t="shared" si="7"/>
        <v>57.246077000000007</v>
      </c>
      <c r="S168">
        <f t="shared" si="8"/>
        <v>6.1575163999999987</v>
      </c>
    </row>
    <row r="169" spans="1:19">
      <c r="A169" s="7">
        <v>42501</v>
      </c>
      <c r="B169" s="6" t="s">
        <v>19</v>
      </c>
      <c r="C169" s="6">
        <v>22</v>
      </c>
      <c r="D169" s="6" t="s">
        <v>64</v>
      </c>
      <c r="F169" s="6">
        <v>3.4</v>
      </c>
      <c r="J169">
        <f>84+106+125+150+172+176</f>
        <v>813</v>
      </c>
      <c r="K169">
        <v>6</v>
      </c>
      <c r="L169">
        <v>176</v>
      </c>
      <c r="N169" t="str">
        <f t="shared" si="6"/>
        <v>NA</v>
      </c>
      <c r="O169">
        <f>IF(AND(OR(D169="S. acutus",D169="S. californicus",D169="S. tabernaemontani"),G169=0),E169*[1]Sheet1!$D$7+[1]Sheet1!$L$7,IF(AND(OR(D169="S. acutus",D169="S. tabernaemontani"),G169&gt;0),E169*[1]Sheet1!$D$8+N169*[1]Sheet1!$E$8,IF(AND(D169="S. californicus",G169&gt;0),E169*[1]Sheet1!$D$9+N169*[1]Sheet1!$E$9,IF(D169="S. maritimus",F169*[1]Sheet1!$C$10+E169*[1]Sheet1!$D$10+G169*[1]Sheet1!$F$10+[1]Sheet1!$L$10,IF(D169="S. americanus",F169*[1]Sheet1!$C$6+E169*[1]Sheet1!$D$6+[1]Sheet1!$L$6,IF(AND(OR(D169="T. domingensis",D169="T. latifolia"),E169&gt;0),F169*[1]Sheet1!$C$4+E169*[1]Sheet1!$D$4+H169*[1]Sheet1!$J$4+I169*[1]Sheet1!$K$4+[1]Sheet1!$L$4,IF(AND(OR(D169="T. domingensis",D169="T. latifolia"),J169&gt;0),J169*[1]Sheet1!$G$5+K169*[1]Sheet1!$H$5+L169*[1]Sheet1!$I$5+[1]Sheet1!$L$5,0)))))))</f>
        <v>14.106560999999992</v>
      </c>
      <c r="P169">
        <f t="shared" si="7"/>
        <v>14.106560999999992</v>
      </c>
      <c r="S169">
        <f t="shared" si="8"/>
        <v>9.079195099999998</v>
      </c>
    </row>
    <row r="170" spans="1:19">
      <c r="A170" s="7">
        <v>42501</v>
      </c>
      <c r="B170" s="6" t="s">
        <v>19</v>
      </c>
      <c r="C170" s="6">
        <v>22</v>
      </c>
      <c r="D170" s="6" t="s">
        <v>64</v>
      </c>
      <c r="F170" s="6">
        <f>2.85</f>
        <v>2.85</v>
      </c>
      <c r="J170">
        <f>80+81+112+140+156+165+182+189+200+209+215+219</f>
        <v>1948</v>
      </c>
      <c r="K170">
        <v>12</v>
      </c>
      <c r="L170">
        <v>219</v>
      </c>
      <c r="N170" t="str">
        <f t="shared" si="6"/>
        <v>NA</v>
      </c>
      <c r="O170">
        <f>IF(AND(OR(D170="S. acutus",D170="S. californicus",D170="S. tabernaemontani"),G170=0),E170*[1]Sheet1!$D$7+[1]Sheet1!$L$7,IF(AND(OR(D170="S. acutus",D170="S. tabernaemontani"),G170&gt;0),E170*[1]Sheet1!$D$8+N170*[1]Sheet1!$E$8,IF(AND(D170="S. californicus",G170&gt;0),E170*[1]Sheet1!$D$9+N170*[1]Sheet1!$E$9,IF(D170="S. maritimus",F170*[1]Sheet1!$C$10+E170*[1]Sheet1!$D$10+G170*[1]Sheet1!$F$10+[1]Sheet1!$L$10,IF(D170="S. americanus",F170*[1]Sheet1!$C$6+E170*[1]Sheet1!$D$6+[1]Sheet1!$L$6,IF(AND(OR(D170="T. domingensis",D170="T. latifolia"),E170&gt;0),F170*[1]Sheet1!$C$4+E170*[1]Sheet1!$D$4+H170*[1]Sheet1!$J$4+I170*[1]Sheet1!$K$4+[1]Sheet1!$L$4,IF(AND(OR(D170="T. domingensis",D170="T. latifolia"),J170&gt;0),J170*[1]Sheet1!$G$5+K170*[1]Sheet1!$H$5+L170*[1]Sheet1!$I$5+[1]Sheet1!$L$5,0)))))))</f>
        <v>65.430833000000007</v>
      </c>
      <c r="P170">
        <f t="shared" si="7"/>
        <v>65.430833000000007</v>
      </c>
      <c r="S170">
        <f t="shared" si="8"/>
        <v>6.3793911937500001</v>
      </c>
    </row>
    <row r="171" spans="1:19">
      <c r="A171" s="7">
        <v>42501</v>
      </c>
      <c r="B171" s="6" t="s">
        <v>19</v>
      </c>
      <c r="C171" s="6">
        <v>22</v>
      </c>
      <c r="D171" s="6" t="s">
        <v>64</v>
      </c>
      <c r="F171" s="6">
        <v>3.84</v>
      </c>
      <c r="J171">
        <f>84+108+133+152+185+196+197+201</f>
        <v>1256</v>
      </c>
      <c r="K171">
        <v>9</v>
      </c>
      <c r="L171">
        <v>201</v>
      </c>
      <c r="N171" t="str">
        <f t="shared" si="6"/>
        <v>NA</v>
      </c>
      <c r="O171">
        <f>IF(AND(OR(D171="S. acutus",D171="S. californicus",D171="S. tabernaemontani"),G171=0),E171*[1]Sheet1!$D$7+[1]Sheet1!$L$7,IF(AND(OR(D171="S. acutus",D171="S. tabernaemontani"),G171&gt;0),E171*[1]Sheet1!$D$8+N171*[1]Sheet1!$E$8,IF(AND(D171="S. californicus",G171&gt;0),E171*[1]Sheet1!$D$9+N171*[1]Sheet1!$E$9,IF(D171="S. maritimus",F171*[1]Sheet1!$C$10+E171*[1]Sheet1!$D$10+G171*[1]Sheet1!$F$10+[1]Sheet1!$L$10,IF(D171="S. americanus",F171*[1]Sheet1!$C$6+E171*[1]Sheet1!$D$6+[1]Sheet1!$L$6,IF(AND(OR(D171="T. domingensis",D171="T. latifolia"),E171&gt;0),F171*[1]Sheet1!$C$4+E171*[1]Sheet1!$D$4+H171*[1]Sheet1!$J$4+I171*[1]Sheet1!$K$4+[1]Sheet1!$L$4,IF(AND(OR(D171="T. domingensis",D171="T. latifolia"),J171&gt;0),J171*[1]Sheet1!$G$5+K171*[1]Sheet1!$H$5+L171*[1]Sheet1!$I$5+[1]Sheet1!$L$5,0)))))))</f>
        <v>27.041842000000003</v>
      </c>
      <c r="P171">
        <f t="shared" si="7"/>
        <v>27.041842000000003</v>
      </c>
      <c r="S171">
        <f t="shared" si="8"/>
        <v>11.581157375999998</v>
      </c>
    </row>
    <row r="172" spans="1:19">
      <c r="A172" s="7">
        <v>42501</v>
      </c>
      <c r="B172" s="6" t="s">
        <v>19</v>
      </c>
      <c r="C172" s="6">
        <v>22</v>
      </c>
      <c r="D172" s="6" t="s">
        <v>64</v>
      </c>
      <c r="F172" s="6">
        <v>3.04</v>
      </c>
      <c r="J172">
        <f>98+137+140+148+170+186+215+220+228+221+232</f>
        <v>1995</v>
      </c>
      <c r="K172">
        <v>11</v>
      </c>
      <c r="L172">
        <v>232</v>
      </c>
      <c r="N172" t="str">
        <f t="shared" si="6"/>
        <v>NA</v>
      </c>
      <c r="O172">
        <f>IF(AND(OR(D172="S. acutus",D172="S. californicus",D172="S. tabernaemontani"),G172=0),E172*[1]Sheet1!$D$7+[1]Sheet1!$L$7,IF(AND(OR(D172="S. acutus",D172="S. tabernaemontani"),G172&gt;0),E172*[1]Sheet1!$D$8+N172*[1]Sheet1!$E$8,IF(AND(D172="S. californicus",G172&gt;0),E172*[1]Sheet1!$D$9+N172*[1]Sheet1!$E$9,IF(D172="S. maritimus",F172*[1]Sheet1!$C$10+E172*[1]Sheet1!$D$10+G172*[1]Sheet1!$F$10+[1]Sheet1!$L$10,IF(D172="S. americanus",F172*[1]Sheet1!$C$6+E172*[1]Sheet1!$D$6+[1]Sheet1!$L$6,IF(AND(OR(D172="T. domingensis",D172="T. latifolia"),E172&gt;0),F172*[1]Sheet1!$C$4+E172*[1]Sheet1!$D$4+H172*[1]Sheet1!$J$4+I172*[1]Sheet1!$K$4+[1]Sheet1!$L$4,IF(AND(OR(D172="T. domingensis",D172="T. latifolia"),J172&gt;0),J172*[1]Sheet1!$G$5+K172*[1]Sheet1!$H$5+L172*[1]Sheet1!$I$5+[1]Sheet1!$L$5,0)))))))</f>
        <v>72.943486000000007</v>
      </c>
      <c r="P172">
        <f t="shared" si="7"/>
        <v>72.943486000000007</v>
      </c>
      <c r="S172">
        <f t="shared" si="8"/>
        <v>7.2583295359999997</v>
      </c>
    </row>
    <row r="173" spans="1:19">
      <c r="A173" s="7">
        <v>42501</v>
      </c>
      <c r="B173" s="6" t="s">
        <v>19</v>
      </c>
      <c r="C173" s="6">
        <v>22</v>
      </c>
      <c r="D173" s="6" t="s">
        <v>64</v>
      </c>
      <c r="F173" s="6">
        <v>1.89</v>
      </c>
      <c r="J173">
        <f>72+110+128+130+138+172+173+195+197+214+215</f>
        <v>1744</v>
      </c>
      <c r="K173">
        <v>11</v>
      </c>
      <c r="L173">
        <v>215</v>
      </c>
      <c r="N173" t="str">
        <f t="shared" si="6"/>
        <v>NA</v>
      </c>
      <c r="O173">
        <f>IF(AND(OR(D173="S. acutus",D173="S. californicus",D173="S. tabernaemontani"),G173=0),E173*[1]Sheet1!$D$7+[1]Sheet1!$L$7,IF(AND(OR(D173="S. acutus",D173="S. tabernaemontani"),G173&gt;0),E173*[1]Sheet1!$D$8+N173*[1]Sheet1!$E$8,IF(AND(D173="S. californicus",G173&gt;0),E173*[1]Sheet1!$D$9+N173*[1]Sheet1!$E$9,IF(D173="S. maritimus",F173*[1]Sheet1!$C$10+E173*[1]Sheet1!$D$10+G173*[1]Sheet1!$F$10+[1]Sheet1!$L$10,IF(D173="S. americanus",F173*[1]Sheet1!$C$6+E173*[1]Sheet1!$D$6+[1]Sheet1!$L$6,IF(AND(OR(D173="T. domingensis",D173="T. latifolia"),E173&gt;0),F173*[1]Sheet1!$C$4+E173*[1]Sheet1!$D$4+H173*[1]Sheet1!$J$4+I173*[1]Sheet1!$K$4+[1]Sheet1!$L$4,IF(AND(OR(D173="T. domingensis",D173="T. latifolia"),J173&gt;0),J173*[1]Sheet1!$G$5+K173*[1]Sheet1!$H$5+L173*[1]Sheet1!$I$5+[1]Sheet1!$L$5,0)))))))</f>
        <v>54.532146000000019</v>
      </c>
      <c r="P173">
        <f t="shared" si="7"/>
        <v>54.532146000000019</v>
      </c>
      <c r="S173">
        <f t="shared" si="8"/>
        <v>2.8055184097499999</v>
      </c>
    </row>
    <row r="174" spans="1:19">
      <c r="A174" s="7">
        <v>42501</v>
      </c>
      <c r="B174" s="6" t="s">
        <v>19</v>
      </c>
      <c r="C174" s="6">
        <v>22</v>
      </c>
      <c r="D174" s="6" t="s">
        <v>64</v>
      </c>
      <c r="F174" s="6">
        <v>2.64</v>
      </c>
      <c r="J174">
        <f>102+122+143+148+165+175+181+189+190</f>
        <v>1415</v>
      </c>
      <c r="K174">
        <f>10</f>
        <v>10</v>
      </c>
      <c r="L174">
        <v>190</v>
      </c>
      <c r="N174" t="str">
        <f t="shared" si="6"/>
        <v>NA</v>
      </c>
      <c r="O174">
        <f>IF(AND(OR(D174="S. acutus",D174="S. californicus",D174="S. tabernaemontani"),G174=0),E174*[1]Sheet1!$D$7+[1]Sheet1!$L$7,IF(AND(OR(D174="S. acutus",D174="S. tabernaemontani"),G174&gt;0),E174*[1]Sheet1!$D$8+N174*[1]Sheet1!$E$8,IF(AND(D174="S. californicus",G174&gt;0),E174*[1]Sheet1!$D$9+N174*[1]Sheet1!$E$9,IF(D174="S. maritimus",F174*[1]Sheet1!$C$10+E174*[1]Sheet1!$D$10+G174*[1]Sheet1!$F$10+[1]Sheet1!$L$10,IF(D174="S. americanus",F174*[1]Sheet1!$C$6+E174*[1]Sheet1!$D$6+[1]Sheet1!$L$6,IF(AND(OR(D174="T. domingensis",D174="T. latifolia"),E174&gt;0),F174*[1]Sheet1!$C$4+E174*[1]Sheet1!$D$4+H174*[1]Sheet1!$J$4+I174*[1]Sheet1!$K$4+[1]Sheet1!$L$4,IF(AND(OR(D174="T. domingensis",D174="T. latifolia"),J174&gt;0),J174*[1]Sheet1!$G$5+K174*[1]Sheet1!$H$5+L174*[1]Sheet1!$I$5+[1]Sheet1!$L$5,0)))))))</f>
        <v>38.240229000000021</v>
      </c>
      <c r="P174">
        <f t="shared" si="7"/>
        <v>38.240229000000021</v>
      </c>
      <c r="S174">
        <f t="shared" si="8"/>
        <v>5.4739064160000002</v>
      </c>
    </row>
    <row r="175" spans="1:19">
      <c r="A175" s="7">
        <v>42501</v>
      </c>
      <c r="B175" s="6" t="s">
        <v>19</v>
      </c>
      <c r="C175" s="6">
        <v>22</v>
      </c>
      <c r="D175" s="6" t="s">
        <v>64</v>
      </c>
      <c r="F175" s="6">
        <v>0.47</v>
      </c>
      <c r="J175">
        <f>44+45+100</f>
        <v>189</v>
      </c>
      <c r="K175">
        <v>3</v>
      </c>
      <c r="L175">
        <v>100</v>
      </c>
      <c r="N175" t="str">
        <f t="shared" si="6"/>
        <v>NA</v>
      </c>
      <c r="O175">
        <f>IF(AND(OR(D175="S. acutus",D175="S. californicus",D175="S. tabernaemontani"),G175=0),E175*[1]Sheet1!$D$7+[1]Sheet1!$L$7,IF(AND(OR(D175="S. acutus",D175="S. tabernaemontani"),G175&gt;0),E175*[1]Sheet1!$D$8+N175*[1]Sheet1!$E$8,IF(AND(D175="S. californicus",G175&gt;0),E175*[1]Sheet1!$D$9+N175*[1]Sheet1!$E$9,IF(D175="S. maritimus",F175*[1]Sheet1!$C$10+E175*[1]Sheet1!$D$10+G175*[1]Sheet1!$F$10+[1]Sheet1!$L$10,IF(D175="S. americanus",F175*[1]Sheet1!$C$6+E175*[1]Sheet1!$D$6+[1]Sheet1!$L$6,IF(AND(OR(D175="T. domingensis",D175="T. latifolia"),E175&gt;0),F175*[1]Sheet1!$C$4+E175*[1]Sheet1!$D$4+H175*[1]Sheet1!$J$4+I175*[1]Sheet1!$K$4+[1]Sheet1!$L$4,IF(AND(OR(D175="T. domingensis",D175="T. latifolia"),J175&gt;0),J175*[1]Sheet1!$G$5+K175*[1]Sheet1!$H$5+L175*[1]Sheet1!$I$5+[1]Sheet1!$L$5,0)))))))</f>
        <v>-0.43487999999999971</v>
      </c>
      <c r="P175" t="str">
        <f t="shared" si="7"/>
        <v xml:space="preserve"> </v>
      </c>
      <c r="S175">
        <f t="shared" si="8"/>
        <v>0.17349430774999999</v>
      </c>
    </row>
    <row r="176" spans="1:19">
      <c r="A176" s="7">
        <v>42501</v>
      </c>
      <c r="B176" s="6" t="s">
        <v>19</v>
      </c>
      <c r="C176" s="6">
        <v>22</v>
      </c>
      <c r="D176" s="6" t="s">
        <v>64</v>
      </c>
      <c r="F176" s="6">
        <v>2.15</v>
      </c>
      <c r="J176">
        <f>97+131+164+188+181+182+190+198+217+219+225+229</f>
        <v>2221</v>
      </c>
      <c r="K176">
        <f>12</f>
        <v>12</v>
      </c>
      <c r="L176">
        <v>229</v>
      </c>
      <c r="N176" t="str">
        <f t="shared" si="6"/>
        <v>NA</v>
      </c>
      <c r="O176">
        <f>IF(AND(OR(D176="S. acutus",D176="S. californicus",D176="S. tabernaemontani"),G176=0),E176*[1]Sheet1!$D$7+[1]Sheet1!$L$7,IF(AND(OR(D176="S. acutus",D176="S. tabernaemontani"),G176&gt;0),E176*[1]Sheet1!$D$8+N176*[1]Sheet1!$E$8,IF(AND(D176="S. californicus",G176&gt;0),E176*[1]Sheet1!$D$9+N176*[1]Sheet1!$E$9,IF(D176="S. maritimus",F176*[1]Sheet1!$C$10+E176*[1]Sheet1!$D$10+G176*[1]Sheet1!$F$10+[1]Sheet1!$L$10,IF(D176="S. americanus",F176*[1]Sheet1!$C$6+E176*[1]Sheet1!$D$6+[1]Sheet1!$L$6,IF(AND(OR(D176="T. domingensis",D176="T. latifolia"),E176&gt;0),F176*[1]Sheet1!$C$4+E176*[1]Sheet1!$D$4+H176*[1]Sheet1!$J$4+I176*[1]Sheet1!$K$4+[1]Sheet1!$L$4,IF(AND(OR(D176="T. domingensis",D176="T. latifolia"),J176&gt;0),J176*[1]Sheet1!$G$5+K176*[1]Sheet1!$H$5+L176*[1]Sheet1!$I$5+[1]Sheet1!$L$5,0)))))))</f>
        <v>88.013498000000027</v>
      </c>
      <c r="P176">
        <f t="shared" si="7"/>
        <v>88.013498000000027</v>
      </c>
      <c r="S176">
        <f t="shared" si="8"/>
        <v>3.6304999437499994</v>
      </c>
    </row>
    <row r="177" spans="1:19">
      <c r="A177" s="7">
        <v>42501</v>
      </c>
      <c r="B177" s="6" t="s">
        <v>19</v>
      </c>
      <c r="C177" s="6">
        <v>22</v>
      </c>
      <c r="D177" s="6" t="s">
        <v>64</v>
      </c>
      <c r="F177" s="6">
        <f>2.27</f>
        <v>2.27</v>
      </c>
      <c r="J177">
        <f>87+114+133+140+170+170+185</f>
        <v>999</v>
      </c>
      <c r="K177">
        <v>7</v>
      </c>
      <c r="L177">
        <v>185</v>
      </c>
      <c r="N177" t="str">
        <f t="shared" si="6"/>
        <v>NA</v>
      </c>
      <c r="O177">
        <f>IF(AND(OR(D177="S. acutus",D177="S. californicus",D177="S. tabernaemontani"),G177=0),E177*[1]Sheet1!$D$7+[1]Sheet1!$L$7,IF(AND(OR(D177="S. acutus",D177="S. tabernaemontani"),G177&gt;0),E177*[1]Sheet1!$D$8+N177*[1]Sheet1!$E$8,IF(AND(D177="S. californicus",G177&gt;0),E177*[1]Sheet1!$D$9+N177*[1]Sheet1!$E$9,IF(D177="S. maritimus",F177*[1]Sheet1!$C$10+E177*[1]Sheet1!$D$10+G177*[1]Sheet1!$F$10+[1]Sheet1!$L$10,IF(D177="S. americanus",F177*[1]Sheet1!$C$6+E177*[1]Sheet1!$D$6+[1]Sheet1!$L$6,IF(AND(OR(D177="T. domingensis",D177="T. latifolia"),E177&gt;0),F177*[1]Sheet1!$C$4+E177*[1]Sheet1!$D$4+H177*[1]Sheet1!$J$4+I177*[1]Sheet1!$K$4+[1]Sheet1!$L$4,IF(AND(OR(D177="T. domingensis",D177="T. latifolia"),J177&gt;0),J177*[1]Sheet1!$G$5+K177*[1]Sheet1!$H$5+L177*[1]Sheet1!$I$5+[1]Sheet1!$L$5,0)))))))</f>
        <v>21.811433000000008</v>
      </c>
      <c r="P177">
        <f t="shared" si="7"/>
        <v>21.811433000000008</v>
      </c>
      <c r="S177">
        <f t="shared" si="8"/>
        <v>4.0470747777499998</v>
      </c>
    </row>
    <row r="178" spans="1:19">
      <c r="A178" s="7">
        <v>42501</v>
      </c>
      <c r="B178" s="6" t="s">
        <v>19</v>
      </c>
      <c r="C178" s="6">
        <v>22</v>
      </c>
      <c r="D178" s="6" t="s">
        <v>64</v>
      </c>
      <c r="F178" s="6">
        <v>1.23</v>
      </c>
      <c r="J178">
        <f>92+118+129+160+166+180</f>
        <v>845</v>
      </c>
      <c r="K178">
        <v>6</v>
      </c>
      <c r="L178">
        <v>180</v>
      </c>
      <c r="N178" t="str">
        <f t="shared" si="6"/>
        <v>NA</v>
      </c>
      <c r="O178">
        <f>IF(AND(OR(D178="S. acutus",D178="S. californicus",D178="S. tabernaemontani"),G178=0),E178*[1]Sheet1!$D$7+[1]Sheet1!$L$7,IF(AND(OR(D178="S. acutus",D178="S. tabernaemontani"),G178&gt;0),E178*[1]Sheet1!$D$8+N178*[1]Sheet1!$E$8,IF(AND(D178="S. californicus",G178&gt;0),E178*[1]Sheet1!$D$9+N178*[1]Sheet1!$E$9,IF(D178="S. maritimus",F178*[1]Sheet1!$C$10+E178*[1]Sheet1!$D$10+G178*[1]Sheet1!$F$10+[1]Sheet1!$L$10,IF(D178="S. americanus",F178*[1]Sheet1!$C$6+E178*[1]Sheet1!$D$6+[1]Sheet1!$L$6,IF(AND(OR(D178="T. domingensis",D178="T. latifolia"),E178&gt;0),F178*[1]Sheet1!$C$4+E178*[1]Sheet1!$D$4+H178*[1]Sheet1!$J$4+I178*[1]Sheet1!$K$4+[1]Sheet1!$L$4,IF(AND(OR(D178="T. domingensis",D178="T. latifolia"),J178&gt;0),J178*[1]Sheet1!$G$5+K178*[1]Sheet1!$H$5+L178*[1]Sheet1!$I$5+[1]Sheet1!$L$5,0)))))))</f>
        <v>15.901741000000001</v>
      </c>
      <c r="P178">
        <f t="shared" si="7"/>
        <v>15.901741000000001</v>
      </c>
      <c r="S178">
        <f t="shared" si="8"/>
        <v>1.1882278777499999</v>
      </c>
    </row>
    <row r="179" spans="1:19">
      <c r="A179" s="7">
        <v>42501</v>
      </c>
      <c r="B179" s="6" t="s">
        <v>19</v>
      </c>
      <c r="C179" s="6">
        <v>22</v>
      </c>
      <c r="D179" s="6" t="s">
        <v>64</v>
      </c>
      <c r="F179" s="6">
        <f>1.98</f>
        <v>1.98</v>
      </c>
      <c r="J179">
        <f>81+118+149+186+194+197+209+216+222+222</f>
        <v>1794</v>
      </c>
      <c r="K179">
        <v>10</v>
      </c>
      <c r="L179">
        <v>222</v>
      </c>
      <c r="N179" t="str">
        <f t="shared" si="6"/>
        <v>NA</v>
      </c>
      <c r="O179">
        <f>IF(AND(OR(D179="S. acutus",D179="S. californicus",D179="S. tabernaemontani"),G179=0),E179*[1]Sheet1!$D$7+[1]Sheet1!$L$7,IF(AND(OR(D179="S. acutus",D179="S. tabernaemontani"),G179&gt;0),E179*[1]Sheet1!$D$8+N179*[1]Sheet1!$E$8,IF(AND(D179="S. californicus",G179&gt;0),E179*[1]Sheet1!$D$9+N179*[1]Sheet1!$E$9,IF(D179="S. maritimus",F179*[1]Sheet1!$C$10+E179*[1]Sheet1!$D$10+G179*[1]Sheet1!$F$10+[1]Sheet1!$L$10,IF(D179="S. americanus",F179*[1]Sheet1!$C$6+E179*[1]Sheet1!$D$6+[1]Sheet1!$L$6,IF(AND(OR(D179="T. domingensis",D179="T. latifolia"),E179&gt;0),F179*[1]Sheet1!$C$4+E179*[1]Sheet1!$D$4+H179*[1]Sheet1!$J$4+I179*[1]Sheet1!$K$4+[1]Sheet1!$L$4,IF(AND(OR(D179="T. domingensis",D179="T. latifolia"),J179&gt;0),J179*[1]Sheet1!$G$5+K179*[1]Sheet1!$H$5+L179*[1]Sheet1!$I$5+[1]Sheet1!$L$5,0)))))))</f>
        <v>64.133533999999997</v>
      </c>
      <c r="P179">
        <f t="shared" si="7"/>
        <v>64.133533999999997</v>
      </c>
      <c r="S179">
        <f t="shared" si="8"/>
        <v>3.079072359</v>
      </c>
    </row>
    <row r="180" spans="1:19">
      <c r="A180" s="7">
        <v>42501</v>
      </c>
      <c r="B180" s="6" t="s">
        <v>19</v>
      </c>
      <c r="C180" s="6">
        <v>22</v>
      </c>
      <c r="D180" s="6" t="s">
        <v>64</v>
      </c>
      <c r="F180" s="6">
        <f>2.1</f>
        <v>2.1</v>
      </c>
      <c r="J180">
        <f>77+102+129+137+167+166</f>
        <v>778</v>
      </c>
      <c r="K180">
        <v>6</v>
      </c>
      <c r="L180">
        <v>166</v>
      </c>
      <c r="N180" t="str">
        <f t="shared" si="6"/>
        <v>NA</v>
      </c>
      <c r="O180">
        <f>IF(AND(OR(D180="S. acutus",D180="S. californicus",D180="S. tabernaemontani"),G180=0),E180*[1]Sheet1!$D$7+[1]Sheet1!$L$7,IF(AND(OR(D180="S. acutus",D180="S. tabernaemontani"),G180&gt;0),E180*[1]Sheet1!$D$8+N180*[1]Sheet1!$E$8,IF(AND(D180="S. californicus",G180&gt;0),E180*[1]Sheet1!$D$9+N180*[1]Sheet1!$E$9,IF(D180="S. maritimus",F180*[1]Sheet1!$C$10+E180*[1]Sheet1!$D$10+G180*[1]Sheet1!$F$10+[1]Sheet1!$L$10,IF(D180="S. americanus",F180*[1]Sheet1!$C$6+E180*[1]Sheet1!$D$6+[1]Sheet1!$L$6,IF(AND(OR(D180="T. domingensis",D180="T. latifolia"),E180&gt;0),F180*[1]Sheet1!$C$4+E180*[1]Sheet1!$D$4+H180*[1]Sheet1!$J$4+I180*[1]Sheet1!$K$4+[1]Sheet1!$L$4,IF(AND(OR(D180="T. domingensis",D180="T. latifolia"),J180&gt;0),J180*[1]Sheet1!$G$5+K180*[1]Sheet1!$H$5+L180*[1]Sheet1!$I$5+[1]Sheet1!$L$5,0)))))))</f>
        <v>13.837585999999995</v>
      </c>
      <c r="P180">
        <f t="shared" si="7"/>
        <v>13.837585999999995</v>
      </c>
      <c r="S180">
        <f t="shared" si="8"/>
        <v>3.4636029750000001</v>
      </c>
    </row>
    <row r="181" spans="1:19">
      <c r="A181" s="7">
        <v>42501</v>
      </c>
      <c r="B181" s="6" t="s">
        <v>19</v>
      </c>
      <c r="C181" s="6">
        <v>22</v>
      </c>
      <c r="D181" s="6" t="s">
        <v>64</v>
      </c>
      <c r="F181" s="6">
        <v>1.76</v>
      </c>
      <c r="J181">
        <f>67+105+126+145+149+180+199</f>
        <v>971</v>
      </c>
      <c r="K181">
        <v>7</v>
      </c>
      <c r="L181">
        <v>199</v>
      </c>
      <c r="N181" t="str">
        <f t="shared" si="6"/>
        <v>NA</v>
      </c>
      <c r="O181">
        <f>IF(AND(OR(D181="S. acutus",D181="S. californicus",D181="S. tabernaemontani"),G181=0),E181*[1]Sheet1!$D$7+[1]Sheet1!$L$7,IF(AND(OR(D181="S. acutus",D181="S. tabernaemontani"),G181&gt;0),E181*[1]Sheet1!$D$8+N181*[1]Sheet1!$E$8,IF(AND(D181="S. californicus",G181&gt;0),E181*[1]Sheet1!$D$9+N181*[1]Sheet1!$E$9,IF(D181="S. maritimus",F181*[1]Sheet1!$C$10+E181*[1]Sheet1!$D$10+G181*[1]Sheet1!$F$10+[1]Sheet1!$L$10,IF(D181="S. americanus",F181*[1]Sheet1!$C$6+E181*[1]Sheet1!$D$6+[1]Sheet1!$L$6,IF(AND(OR(D181="T. domingensis",D181="T. latifolia"),E181&gt;0),F181*[1]Sheet1!$C$4+E181*[1]Sheet1!$D$4+H181*[1]Sheet1!$J$4+I181*[1]Sheet1!$K$4+[1]Sheet1!$L$4,IF(AND(OR(D181="T. domingensis",D181="T. latifolia"),J181&gt;0),J181*[1]Sheet1!$G$5+K181*[1]Sheet1!$H$5+L181*[1]Sheet1!$I$5+[1]Sheet1!$L$5,0)))))))</f>
        <v>14.968863000000013</v>
      </c>
      <c r="P181">
        <f t="shared" si="7"/>
        <v>14.968863000000013</v>
      </c>
      <c r="S181">
        <f t="shared" si="8"/>
        <v>2.4328472959999998</v>
      </c>
    </row>
    <row r="182" spans="1:19">
      <c r="A182" s="7">
        <v>42501</v>
      </c>
      <c r="B182" s="6" t="s">
        <v>19</v>
      </c>
      <c r="C182" s="6">
        <v>22</v>
      </c>
      <c r="D182" s="6" t="s">
        <v>64</v>
      </c>
      <c r="F182" s="6">
        <v>0.86</v>
      </c>
      <c r="J182">
        <f>83+117+144+148+161</f>
        <v>653</v>
      </c>
      <c r="K182">
        <v>5</v>
      </c>
      <c r="L182">
        <v>161</v>
      </c>
      <c r="N182" t="str">
        <f t="shared" si="6"/>
        <v>NA</v>
      </c>
      <c r="O182">
        <f>IF(AND(OR(D182="S. acutus",D182="S. californicus",D182="S. tabernaemontani"),G182=0),E182*[1]Sheet1!$D$7+[1]Sheet1!$L$7,IF(AND(OR(D182="S. acutus",D182="S. tabernaemontani"),G182&gt;0),E182*[1]Sheet1!$D$8+N182*[1]Sheet1!$E$8,IF(AND(D182="S. californicus",G182&gt;0),E182*[1]Sheet1!$D$9+N182*[1]Sheet1!$E$9,IF(D182="S. maritimus",F182*[1]Sheet1!$C$10+E182*[1]Sheet1!$D$10+G182*[1]Sheet1!$F$10+[1]Sheet1!$L$10,IF(D182="S. americanus",F182*[1]Sheet1!$C$6+E182*[1]Sheet1!$D$6+[1]Sheet1!$L$6,IF(AND(OR(D182="T. domingensis",D182="T. latifolia"),E182&gt;0),F182*[1]Sheet1!$C$4+E182*[1]Sheet1!$D$4+H182*[1]Sheet1!$J$4+I182*[1]Sheet1!$K$4+[1]Sheet1!$L$4,IF(AND(OR(D182="T. domingensis",D182="T. latifolia"),J182&gt;0),J182*[1]Sheet1!$G$5+K182*[1]Sheet1!$H$5+L182*[1]Sheet1!$I$5+[1]Sheet1!$L$5,0)))))))</f>
        <v>10.646789000000005</v>
      </c>
      <c r="P182">
        <f t="shared" si="7"/>
        <v>10.646789000000005</v>
      </c>
      <c r="S182">
        <f t="shared" si="8"/>
        <v>0.58087999099999987</v>
      </c>
    </row>
    <row r="183" spans="1:19">
      <c r="A183" s="7">
        <v>42501</v>
      </c>
      <c r="B183" s="6" t="s">
        <v>19</v>
      </c>
      <c r="C183" s="6">
        <v>22</v>
      </c>
      <c r="D183" s="6" t="s">
        <v>64</v>
      </c>
      <c r="F183" s="6">
        <v>2.54</v>
      </c>
      <c r="J183">
        <f>67+88+100+111+169+174+194+195</f>
        <v>1098</v>
      </c>
      <c r="K183">
        <v>8</v>
      </c>
      <c r="L183">
        <v>195</v>
      </c>
      <c r="N183" t="str">
        <f t="shared" si="6"/>
        <v>NA</v>
      </c>
      <c r="O183">
        <f>IF(AND(OR(D183="S. acutus",D183="S. californicus",D183="S. tabernaemontani"),G183=0),E183*[1]Sheet1!$D$7+[1]Sheet1!$L$7,IF(AND(OR(D183="S. acutus",D183="S. tabernaemontani"),G183&gt;0),E183*[1]Sheet1!$D$8+N183*[1]Sheet1!$E$8,IF(AND(D183="S. californicus",G183&gt;0),E183*[1]Sheet1!$D$9+N183*[1]Sheet1!$E$9,IF(D183="S. maritimus",F183*[1]Sheet1!$C$10+E183*[1]Sheet1!$D$10+G183*[1]Sheet1!$F$10+[1]Sheet1!$L$10,IF(D183="S. americanus",F183*[1]Sheet1!$C$6+E183*[1]Sheet1!$D$6+[1]Sheet1!$L$6,IF(AND(OR(D183="T. domingensis",D183="T. latifolia"),E183&gt;0),F183*[1]Sheet1!$C$4+E183*[1]Sheet1!$D$4+H183*[1]Sheet1!$J$4+I183*[1]Sheet1!$K$4+[1]Sheet1!$L$4,IF(AND(OR(D183="T. domingensis",D183="T. latifolia"),J183&gt;0),J183*[1]Sheet1!$G$5+K183*[1]Sheet1!$H$5+L183*[1]Sheet1!$I$5+[1]Sheet1!$L$5,0)))))))</f>
        <v>21.058375000000012</v>
      </c>
      <c r="P183">
        <f t="shared" si="7"/>
        <v>21.058375000000012</v>
      </c>
      <c r="S183">
        <f t="shared" si="8"/>
        <v>5.0670705109999998</v>
      </c>
    </row>
    <row r="184" spans="1:19">
      <c r="A184" s="7">
        <v>42501</v>
      </c>
      <c r="B184" s="6" t="s">
        <v>19</v>
      </c>
      <c r="C184" s="6">
        <v>22</v>
      </c>
      <c r="D184" s="6" t="s">
        <v>64</v>
      </c>
      <c r="F184" s="6">
        <v>0.72</v>
      </c>
      <c r="J184">
        <f>27+97+135+145</f>
        <v>404</v>
      </c>
      <c r="K184">
        <v>4</v>
      </c>
      <c r="L184">
        <v>145</v>
      </c>
      <c r="N184" t="str">
        <f t="shared" si="6"/>
        <v>NA</v>
      </c>
      <c r="O184">
        <f>IF(AND(OR(D184="S. acutus",D184="S. californicus",D184="S. tabernaemontani"),G184=0),E184*[1]Sheet1!$D$7+[1]Sheet1!$L$7,IF(AND(OR(D184="S. acutus",D184="S. tabernaemontani"),G184&gt;0),E184*[1]Sheet1!$D$8+N184*[1]Sheet1!$E$8,IF(AND(D184="S. californicus",G184&gt;0),E184*[1]Sheet1!$D$9+N184*[1]Sheet1!$E$9,IF(D184="S. maritimus",F184*[1]Sheet1!$C$10+E184*[1]Sheet1!$D$10+G184*[1]Sheet1!$F$10+[1]Sheet1!$L$10,IF(D184="S. americanus",F184*[1]Sheet1!$C$6+E184*[1]Sheet1!$D$6+[1]Sheet1!$L$6,IF(AND(OR(D184="T. domingensis",D184="T. latifolia"),E184&gt;0),F184*[1]Sheet1!$C$4+E184*[1]Sheet1!$D$4+H184*[1]Sheet1!$J$4+I184*[1]Sheet1!$K$4+[1]Sheet1!$L$4,IF(AND(OR(D184="T. domingensis",D184="T. latifolia"),J184&gt;0),J184*[1]Sheet1!$G$5+K184*[1]Sheet1!$H$5+L184*[1]Sheet1!$I$5+[1]Sheet1!$L$5,0)))))))</f>
        <v>-0.85593300000000028</v>
      </c>
      <c r="P184" t="str">
        <f t="shared" si="7"/>
        <v xml:space="preserve"> </v>
      </c>
      <c r="S184">
        <f t="shared" si="8"/>
        <v>0.40715006399999998</v>
      </c>
    </row>
    <row r="185" spans="1:19">
      <c r="A185" s="7">
        <v>42501</v>
      </c>
      <c r="B185" s="6" t="s">
        <v>19</v>
      </c>
      <c r="C185" s="6">
        <v>22</v>
      </c>
      <c r="D185" s="6" t="s">
        <v>64</v>
      </c>
      <c r="F185" s="6">
        <v>1</v>
      </c>
      <c r="J185">
        <f>49+87+117+104</f>
        <v>357</v>
      </c>
      <c r="K185">
        <v>4</v>
      </c>
      <c r="L185">
        <v>117</v>
      </c>
      <c r="N185" t="str">
        <f t="shared" si="6"/>
        <v>NA</v>
      </c>
      <c r="O185">
        <f>IF(AND(OR(D185="S. acutus",D185="S. californicus",D185="S. tabernaemontani"),G185=0),E185*[1]Sheet1!$D$7+[1]Sheet1!$L$7,IF(AND(OR(D185="S. acutus",D185="S. tabernaemontani"),G185&gt;0),E185*[1]Sheet1!$D$8+N185*[1]Sheet1!$E$8,IF(AND(D185="S. californicus",G185&gt;0),E185*[1]Sheet1!$D$9+N185*[1]Sheet1!$E$9,IF(D185="S. maritimus",F185*[1]Sheet1!$C$10+E185*[1]Sheet1!$D$10+G185*[1]Sheet1!$F$10+[1]Sheet1!$L$10,IF(D185="S. americanus",F185*[1]Sheet1!$C$6+E185*[1]Sheet1!$D$6+[1]Sheet1!$L$6,IF(AND(OR(D185="T. domingensis",D185="T. latifolia"),E185&gt;0),F185*[1]Sheet1!$C$4+E185*[1]Sheet1!$D$4+H185*[1]Sheet1!$J$4+I185*[1]Sheet1!$K$4+[1]Sheet1!$L$4,IF(AND(OR(D185="T. domingensis",D185="T. latifolia"),J185&gt;0),J185*[1]Sheet1!$G$5+K185*[1]Sheet1!$H$5+L185*[1]Sheet1!$I$5+[1]Sheet1!$L$5,0)))))))</f>
        <v>3.1724420000000073</v>
      </c>
      <c r="P185">
        <f t="shared" si="7"/>
        <v>3.1724420000000073</v>
      </c>
      <c r="S185">
        <f t="shared" si="8"/>
        <v>0.78539749999999997</v>
      </c>
    </row>
    <row r="186" spans="1:19">
      <c r="A186" s="7">
        <v>42501</v>
      </c>
      <c r="B186" s="6" t="s">
        <v>19</v>
      </c>
      <c r="C186" s="6">
        <v>22</v>
      </c>
      <c r="D186" s="6" t="s">
        <v>64</v>
      </c>
      <c r="F186" s="6">
        <v>0.6</v>
      </c>
      <c r="J186">
        <f>34+43+49+86+119</f>
        <v>331</v>
      </c>
      <c r="K186">
        <v>5</v>
      </c>
      <c r="L186">
        <v>119</v>
      </c>
      <c r="N186" t="str">
        <f t="shared" si="6"/>
        <v>NA</v>
      </c>
      <c r="O186">
        <f>IF(AND(OR(D186="S. acutus",D186="S. californicus",D186="S. tabernaemontani"),G186=0),E186*[1]Sheet1!$D$7+[1]Sheet1!$L$7,IF(AND(OR(D186="S. acutus",D186="S. tabernaemontani"),G186&gt;0),E186*[1]Sheet1!$D$8+N186*[1]Sheet1!$E$8,IF(AND(D186="S. californicus",G186&gt;0),E186*[1]Sheet1!$D$9+N186*[1]Sheet1!$E$9,IF(D186="S. maritimus",F186*[1]Sheet1!$C$10+E186*[1]Sheet1!$D$10+G186*[1]Sheet1!$F$10+[1]Sheet1!$L$10,IF(D186="S. americanus",F186*[1]Sheet1!$C$6+E186*[1]Sheet1!$D$6+[1]Sheet1!$L$6,IF(AND(OR(D186="T. domingensis",D186="T. latifolia"),E186&gt;0),F186*[1]Sheet1!$C$4+E186*[1]Sheet1!$D$4+H186*[1]Sheet1!$J$4+I186*[1]Sheet1!$K$4+[1]Sheet1!$L$4,IF(AND(OR(D186="T. domingensis",D186="T. latifolia"),J186&gt;0),J186*[1]Sheet1!$G$5+K186*[1]Sheet1!$H$5+L186*[1]Sheet1!$I$5+[1]Sheet1!$L$5,0)))))))</f>
        <v>-6.8900310000000005</v>
      </c>
      <c r="P186" t="str">
        <f t="shared" si="7"/>
        <v xml:space="preserve"> </v>
      </c>
      <c r="S186">
        <f t="shared" si="8"/>
        <v>0.28274309999999997</v>
      </c>
    </row>
    <row r="187" spans="1:19">
      <c r="A187" s="7">
        <v>42501</v>
      </c>
      <c r="B187" s="6" t="s">
        <v>19</v>
      </c>
      <c r="C187" s="6">
        <v>22</v>
      </c>
      <c r="D187" s="6" t="s">
        <v>64</v>
      </c>
      <c r="F187" s="6">
        <v>2.74</v>
      </c>
      <c r="J187">
        <f>65+85+109+112+130+156+157+182+191</f>
        <v>1187</v>
      </c>
      <c r="K187">
        <v>9</v>
      </c>
      <c r="L187">
        <v>191</v>
      </c>
      <c r="N187" t="str">
        <f t="shared" si="6"/>
        <v>NA</v>
      </c>
      <c r="O187">
        <f>IF(AND(OR(D187="S. acutus",D187="S. californicus",D187="S. tabernaemontani"),G187=0),E187*[1]Sheet1!$D$7+[1]Sheet1!$L$7,IF(AND(OR(D187="S. acutus",D187="S. tabernaemontani"),G187&gt;0),E187*[1]Sheet1!$D$8+N187*[1]Sheet1!$E$8,IF(AND(D187="S. californicus",G187&gt;0),E187*[1]Sheet1!$D$9+N187*[1]Sheet1!$E$9,IF(D187="S. maritimus",F187*[1]Sheet1!$C$10+E187*[1]Sheet1!$D$10+G187*[1]Sheet1!$F$10+[1]Sheet1!$L$10,IF(D187="S. americanus",F187*[1]Sheet1!$C$6+E187*[1]Sheet1!$D$6+[1]Sheet1!$L$6,IF(AND(OR(D187="T. domingensis",D187="T. latifolia"),E187&gt;0),F187*[1]Sheet1!$C$4+E187*[1]Sheet1!$D$4+H187*[1]Sheet1!$J$4+I187*[1]Sheet1!$K$4+[1]Sheet1!$L$4,IF(AND(OR(D187="T. domingensis",D187="T. latifolia"),J187&gt;0),J187*[1]Sheet1!$G$5+K187*[1]Sheet1!$H$5+L187*[1]Sheet1!$I$5+[1]Sheet1!$L$5,0)))))))</f>
        <v>23.585197000000008</v>
      </c>
      <c r="P187">
        <f t="shared" si="7"/>
        <v>23.585197000000008</v>
      </c>
      <c r="S187">
        <f t="shared" si="8"/>
        <v>5.8964502710000009</v>
      </c>
    </row>
    <row r="188" spans="1:19">
      <c r="A188" s="7">
        <v>42501</v>
      </c>
      <c r="B188" s="6" t="s">
        <v>19</v>
      </c>
      <c r="C188" s="6">
        <v>22</v>
      </c>
      <c r="D188" s="6" t="s">
        <v>64</v>
      </c>
      <c r="F188" s="6">
        <v>1.04</v>
      </c>
      <c r="J188">
        <f>61+86+90+200+209</f>
        <v>646</v>
      </c>
      <c r="K188">
        <v>5</v>
      </c>
      <c r="L188">
        <v>209</v>
      </c>
      <c r="N188" t="str">
        <f t="shared" si="6"/>
        <v>NA</v>
      </c>
      <c r="O188">
        <f>IF(AND(OR(D188="S. acutus",D188="S. californicus",D188="S. tabernaemontani"),G188=0),E188*[1]Sheet1!$D$7+[1]Sheet1!$L$7,IF(AND(OR(D188="S. acutus",D188="S. tabernaemontani"),G188&gt;0),E188*[1]Sheet1!$D$8+N188*[1]Sheet1!$E$8,IF(AND(D188="S. californicus",G188&gt;0),E188*[1]Sheet1!$D$9+N188*[1]Sheet1!$E$9,IF(D188="S. maritimus",F188*[1]Sheet1!$C$10+E188*[1]Sheet1!$D$10+G188*[1]Sheet1!$F$10+[1]Sheet1!$L$10,IF(D188="S. americanus",F188*[1]Sheet1!$C$6+E188*[1]Sheet1!$D$6+[1]Sheet1!$L$6,IF(AND(OR(D188="T. domingensis",D188="T. latifolia"),E188&gt;0),F188*[1]Sheet1!$C$4+E188*[1]Sheet1!$D$4+H188*[1]Sheet1!$J$4+I188*[1]Sheet1!$K$4+[1]Sheet1!$L$4,IF(AND(OR(D188="T. domingensis",D188="T. latifolia"),J188&gt;0),J188*[1]Sheet1!$G$5+K188*[1]Sheet1!$H$5+L188*[1]Sheet1!$I$5+[1]Sheet1!$L$5,0)))))))</f>
        <v>-4.4692559999999943</v>
      </c>
      <c r="P188" t="str">
        <f t="shared" si="7"/>
        <v xml:space="preserve"> </v>
      </c>
      <c r="S188">
        <f t="shared" si="8"/>
        <v>0.84948593600000011</v>
      </c>
    </row>
    <row r="189" spans="1:19">
      <c r="A189" s="7">
        <v>42501</v>
      </c>
      <c r="B189" s="6" t="s">
        <v>19</v>
      </c>
      <c r="C189" s="6">
        <v>22</v>
      </c>
      <c r="D189" s="6" t="s">
        <v>64</v>
      </c>
      <c r="F189" s="6">
        <v>3.15</v>
      </c>
      <c r="J189">
        <f>59+165+167+209+222+248+265+281+281</f>
        <v>1897</v>
      </c>
      <c r="K189">
        <v>9</v>
      </c>
      <c r="L189">
        <v>281</v>
      </c>
      <c r="N189" t="str">
        <f t="shared" si="6"/>
        <v>NA</v>
      </c>
      <c r="O189">
        <f>IF(AND(OR(D189="S. acutus",D189="S. californicus",D189="S. tabernaemontani"),G189=0),E189*[1]Sheet1!$D$7+[1]Sheet1!$L$7,IF(AND(OR(D189="S. acutus",D189="S. tabernaemontani"),G189&gt;0),E189*[1]Sheet1!$D$8+N189*[1]Sheet1!$E$8,IF(AND(D189="S. californicus",G189&gt;0),E189*[1]Sheet1!$D$9+N189*[1]Sheet1!$E$9,IF(D189="S. maritimus",F189*[1]Sheet1!$C$10+E189*[1]Sheet1!$D$10+G189*[1]Sheet1!$F$10+[1]Sheet1!$L$10,IF(D189="S. americanus",F189*[1]Sheet1!$C$6+E189*[1]Sheet1!$D$6+[1]Sheet1!$L$6,IF(AND(OR(D189="T. domingensis",D189="T. latifolia"),E189&gt;0),F189*[1]Sheet1!$C$4+E189*[1]Sheet1!$D$4+H189*[1]Sheet1!$J$4+I189*[1]Sheet1!$K$4+[1]Sheet1!$L$4,IF(AND(OR(D189="T. domingensis",D189="T. latifolia"),J189&gt;0),J189*[1]Sheet1!$G$5+K189*[1]Sheet1!$H$5+L189*[1]Sheet1!$I$5+[1]Sheet1!$L$5,0)))))))</f>
        <v>63.039197000000009</v>
      </c>
      <c r="P189">
        <f t="shared" si="7"/>
        <v>63.039197000000009</v>
      </c>
      <c r="S189">
        <f t="shared" si="8"/>
        <v>7.7931066937499995</v>
      </c>
    </row>
    <row r="190" spans="1:19">
      <c r="A190" s="7">
        <v>42501</v>
      </c>
      <c r="B190" s="6" t="s">
        <v>19</v>
      </c>
      <c r="C190" s="6">
        <v>22</v>
      </c>
      <c r="D190" s="6" t="s">
        <v>64</v>
      </c>
      <c r="F190" s="6">
        <v>2.58</v>
      </c>
      <c r="J190">
        <f>106+156+166+175+146+139+187+191+176+208+215+216+222+227</f>
        <v>2530</v>
      </c>
      <c r="K190">
        <v>13</v>
      </c>
      <c r="L190">
        <v>227</v>
      </c>
      <c r="N190" t="str">
        <f t="shared" si="6"/>
        <v>NA</v>
      </c>
      <c r="O190">
        <f>IF(AND(OR(D190="S. acutus",D190="S. californicus",D190="S. tabernaemontani"),G190=0),E190*[1]Sheet1!$D$7+[1]Sheet1!$L$7,IF(AND(OR(D190="S. acutus",D190="S. tabernaemontani"),G190&gt;0),E190*[1]Sheet1!$D$8+N190*[1]Sheet1!$E$8,IF(AND(D190="S. californicus",G190&gt;0),E190*[1]Sheet1!$D$9+N190*[1]Sheet1!$E$9,IF(D190="S. maritimus",F190*[1]Sheet1!$C$10+E190*[1]Sheet1!$D$10+G190*[1]Sheet1!$F$10+[1]Sheet1!$L$10,IF(D190="S. americanus",F190*[1]Sheet1!$C$6+E190*[1]Sheet1!$D$6+[1]Sheet1!$L$6,IF(AND(OR(D190="T. domingensis",D190="T. latifolia"),E190&gt;0),F190*[1]Sheet1!$C$4+E190*[1]Sheet1!$D$4+H190*[1]Sheet1!$J$4+I190*[1]Sheet1!$K$4+[1]Sheet1!$L$4,IF(AND(OR(D190="T. domingensis",D190="T. latifolia"),J190&gt;0),J190*[1]Sheet1!$G$5+K190*[1]Sheet1!$H$5+L190*[1]Sheet1!$I$5+[1]Sheet1!$L$5,0)))))))</f>
        <v>110.56393</v>
      </c>
      <c r="P190">
        <f t="shared" si="7"/>
        <v>110.56393</v>
      </c>
      <c r="S190">
        <f t="shared" si="8"/>
        <v>5.2279199190000005</v>
      </c>
    </row>
    <row r="191" spans="1:19">
      <c r="A191" s="7">
        <v>42501</v>
      </c>
      <c r="B191" s="6" t="s">
        <v>19</v>
      </c>
      <c r="C191" s="6">
        <v>22</v>
      </c>
      <c r="D191" s="6" t="s">
        <v>64</v>
      </c>
      <c r="F191" s="6">
        <v>3.35</v>
      </c>
      <c r="J191">
        <f>55+133+168+185+220+172+232+243+243+259+266+267+271</f>
        <v>2714</v>
      </c>
      <c r="K191">
        <v>13</v>
      </c>
      <c r="L191">
        <v>271</v>
      </c>
      <c r="N191" t="str">
        <f t="shared" si="6"/>
        <v>NA</v>
      </c>
      <c r="O191">
        <f>IF(AND(OR(D191="S. acutus",D191="S. californicus",D191="S. tabernaemontani"),G191=0),E191*[1]Sheet1!$D$7+[1]Sheet1!$L$7,IF(AND(OR(D191="S. acutus",D191="S. tabernaemontani"),G191&gt;0),E191*[1]Sheet1!$D$8+N191*[1]Sheet1!$E$8,IF(AND(D191="S. californicus",G191&gt;0),E191*[1]Sheet1!$D$9+N191*[1]Sheet1!$E$9,IF(D191="S. maritimus",F191*[1]Sheet1!$C$10+E191*[1]Sheet1!$D$10+G191*[1]Sheet1!$F$10+[1]Sheet1!$L$10,IF(D191="S. americanus",F191*[1]Sheet1!$C$6+E191*[1]Sheet1!$D$6+[1]Sheet1!$L$6,IF(AND(OR(D191="T. domingensis",D191="T. latifolia"),E191&gt;0),F191*[1]Sheet1!$C$4+E191*[1]Sheet1!$D$4+H191*[1]Sheet1!$J$4+I191*[1]Sheet1!$K$4+[1]Sheet1!$L$4,IF(AND(OR(D191="T. domingensis",D191="T. latifolia"),J191&gt;0),J191*[1]Sheet1!$G$5+K191*[1]Sheet1!$H$5+L191*[1]Sheet1!$I$5+[1]Sheet1!$L$5,0)))))))</f>
        <v>114.56007</v>
      </c>
      <c r="P191">
        <f t="shared" si="7"/>
        <v>114.56007</v>
      </c>
      <c r="S191">
        <f t="shared" si="8"/>
        <v>8.8141234437499989</v>
      </c>
    </row>
    <row r="192" spans="1:19">
      <c r="A192" s="7">
        <v>42501</v>
      </c>
      <c r="B192" s="6" t="s">
        <v>19</v>
      </c>
      <c r="C192" s="6">
        <v>22</v>
      </c>
      <c r="D192" s="6" t="s">
        <v>64</v>
      </c>
      <c r="F192" s="6">
        <v>1.59</v>
      </c>
      <c r="J192">
        <f>104+125+167+184+217+220</f>
        <v>1017</v>
      </c>
      <c r="K192">
        <v>6</v>
      </c>
      <c r="L192">
        <v>220</v>
      </c>
      <c r="N192" t="str">
        <f t="shared" si="6"/>
        <v>NA</v>
      </c>
      <c r="O192">
        <f>IF(AND(OR(D192="S. acutus",D192="S. californicus",D192="S. tabernaemontani"),G192=0),E192*[1]Sheet1!$D$7+[1]Sheet1!$L$7,IF(AND(OR(D192="S. acutus",D192="S. tabernaemontani"),G192&gt;0),E192*[1]Sheet1!$D$8+N192*[1]Sheet1!$E$8,IF(AND(D192="S. californicus",G192&gt;0),E192*[1]Sheet1!$D$9+N192*[1]Sheet1!$E$9,IF(D192="S. maritimus",F192*[1]Sheet1!$C$10+E192*[1]Sheet1!$D$10+G192*[1]Sheet1!$F$10+[1]Sheet1!$L$10,IF(D192="S. americanus",F192*[1]Sheet1!$C$6+E192*[1]Sheet1!$D$6+[1]Sheet1!$L$6,IF(AND(OR(D192="T. domingensis",D192="T. latifolia"),E192&gt;0),F192*[1]Sheet1!$C$4+E192*[1]Sheet1!$D$4+H192*[1]Sheet1!$J$4+I192*[1]Sheet1!$K$4+[1]Sheet1!$L$4,IF(AND(OR(D192="T. domingensis",D192="T. latifolia"),J192&gt;0),J192*[1]Sheet1!$G$5+K192*[1]Sheet1!$H$5+L192*[1]Sheet1!$I$5+[1]Sheet1!$L$5,0)))))))</f>
        <v>19.977801000000007</v>
      </c>
      <c r="P192">
        <f t="shared" si="7"/>
        <v>19.977801000000007</v>
      </c>
      <c r="S192">
        <f t="shared" si="8"/>
        <v>1.9855634197500001</v>
      </c>
    </row>
    <row r="193" spans="1:19">
      <c r="A193" s="7">
        <v>42501</v>
      </c>
      <c r="B193" s="6" t="s">
        <v>19</v>
      </c>
      <c r="C193" s="6">
        <v>22</v>
      </c>
      <c r="D193" s="6" t="s">
        <v>64</v>
      </c>
      <c r="F193" s="6">
        <v>1.19</v>
      </c>
      <c r="J193">
        <f>75+114+124+162+181+183</f>
        <v>839</v>
      </c>
      <c r="K193">
        <v>6</v>
      </c>
      <c r="L193">
        <v>183</v>
      </c>
      <c r="N193" t="str">
        <f t="shared" si="6"/>
        <v>NA</v>
      </c>
      <c r="O193">
        <f>IF(AND(OR(D193="S. acutus",D193="S. californicus",D193="S. tabernaemontani"),G193=0),E193*[1]Sheet1!$D$7+[1]Sheet1!$L$7,IF(AND(OR(D193="S. acutus",D193="S. tabernaemontani"),G193&gt;0),E193*[1]Sheet1!$D$8+N193*[1]Sheet1!$E$8,IF(AND(D193="S. californicus",G193&gt;0),E193*[1]Sheet1!$D$9+N193*[1]Sheet1!$E$9,IF(D193="S. maritimus",F193*[1]Sheet1!$C$10+E193*[1]Sheet1!$D$10+G193*[1]Sheet1!$F$10+[1]Sheet1!$L$10,IF(D193="S. americanus",F193*[1]Sheet1!$C$6+E193*[1]Sheet1!$D$6+[1]Sheet1!$L$6,IF(AND(OR(D193="T. domingensis",D193="T. latifolia"),E193&gt;0),F193*[1]Sheet1!$C$4+E193*[1]Sheet1!$D$4+H193*[1]Sheet1!$J$4+I193*[1]Sheet1!$K$4+[1]Sheet1!$L$4,IF(AND(OR(D193="T. domingensis",D193="T. latifolia"),J193&gt;0),J193*[1]Sheet1!$G$5+K193*[1]Sheet1!$H$5+L193*[1]Sheet1!$I$5+[1]Sheet1!$L$5,0)))))))</f>
        <v>14.435476000000008</v>
      </c>
      <c r="P193">
        <f t="shared" si="7"/>
        <v>14.435476000000008</v>
      </c>
      <c r="S193">
        <f t="shared" si="8"/>
        <v>1.11220139975</v>
      </c>
    </row>
    <row r="194" spans="1:19">
      <c r="A194" s="7">
        <v>42501</v>
      </c>
      <c r="B194" s="6" t="s">
        <v>19</v>
      </c>
      <c r="C194" s="6">
        <v>22</v>
      </c>
      <c r="D194" s="6" t="s">
        <v>64</v>
      </c>
      <c r="F194" s="6">
        <v>1.83</v>
      </c>
      <c r="J194">
        <f>97+152+172+200+229+231</f>
        <v>1081</v>
      </c>
      <c r="K194">
        <v>6</v>
      </c>
      <c r="L194">
        <v>231</v>
      </c>
      <c r="N194" t="str">
        <f t="shared" si="6"/>
        <v>NA</v>
      </c>
      <c r="O194">
        <f>IF(AND(OR(D194="S. acutus",D194="S. californicus",D194="S. tabernaemontani"),G194=0),E194*[1]Sheet1!$D$7+[1]Sheet1!$L$7,IF(AND(OR(D194="S. acutus",D194="S. tabernaemontani"),G194&gt;0),E194*[1]Sheet1!$D$8+N194*[1]Sheet1!$E$8,IF(AND(D194="S. californicus",G194&gt;0),E194*[1]Sheet1!$D$9+N194*[1]Sheet1!$E$9,IF(D194="S. maritimus",F194*[1]Sheet1!$C$10+E194*[1]Sheet1!$D$10+G194*[1]Sheet1!$F$10+[1]Sheet1!$L$10,IF(D194="S. americanus",F194*[1]Sheet1!$C$6+E194*[1]Sheet1!$D$6+[1]Sheet1!$L$6,IF(AND(OR(D194="T. domingensis",D194="T. latifolia"),E194&gt;0),F194*[1]Sheet1!$C$4+E194*[1]Sheet1!$D$4+H194*[1]Sheet1!$J$4+I194*[1]Sheet1!$K$4+[1]Sheet1!$L$4,IF(AND(OR(D194="T. domingensis",D194="T. latifolia"),J194&gt;0),J194*[1]Sheet1!$G$5+K194*[1]Sheet1!$H$5+L194*[1]Sheet1!$I$5+[1]Sheet1!$L$5,0)))))))</f>
        <v>22.664426000000013</v>
      </c>
      <c r="P194">
        <f t="shared" si="7"/>
        <v>22.664426000000013</v>
      </c>
      <c r="S194">
        <f t="shared" si="8"/>
        <v>2.6302176877500001</v>
      </c>
    </row>
    <row r="195" spans="1:19">
      <c r="A195" s="7">
        <v>42501</v>
      </c>
      <c r="B195" s="6" t="s">
        <v>19</v>
      </c>
      <c r="C195" s="6">
        <v>22</v>
      </c>
      <c r="D195" s="6" t="s">
        <v>64</v>
      </c>
      <c r="F195" s="6">
        <v>1.68</v>
      </c>
      <c r="J195">
        <f>83+97+109+117+148+155</f>
        <v>709</v>
      </c>
      <c r="K195">
        <v>6</v>
      </c>
      <c r="L195">
        <v>155</v>
      </c>
      <c r="N195" t="str">
        <f t="shared" si="6"/>
        <v>NA</v>
      </c>
      <c r="O195">
        <f>IF(AND(OR(D195="S. acutus",D195="S. californicus",D195="S. tabernaemontani"),G195=0),E195*[1]Sheet1!$D$7+[1]Sheet1!$L$7,IF(AND(OR(D195="S. acutus",D195="S. tabernaemontani"),G195&gt;0),E195*[1]Sheet1!$D$8+N195*[1]Sheet1!$E$8,IF(AND(D195="S. californicus",G195&gt;0),E195*[1]Sheet1!$D$9+N195*[1]Sheet1!$E$9,IF(D195="S. maritimus",F195*[1]Sheet1!$C$10+E195*[1]Sheet1!$D$10+G195*[1]Sheet1!$F$10+[1]Sheet1!$L$10,IF(D195="S. americanus",F195*[1]Sheet1!$C$6+E195*[1]Sheet1!$D$6+[1]Sheet1!$L$6,IF(AND(OR(D195="T. domingensis",D195="T. latifolia"),E195&gt;0),F195*[1]Sheet1!$C$4+E195*[1]Sheet1!$D$4+H195*[1]Sheet1!$J$4+I195*[1]Sheet1!$K$4+[1]Sheet1!$L$4,IF(AND(OR(D195="T. domingensis",D195="T. latifolia"),J195&gt;0),J195*[1]Sheet1!$G$5+K195*[1]Sheet1!$H$5+L195*[1]Sheet1!$I$5+[1]Sheet1!$L$5,0)))))))</f>
        <v>10.682186000000002</v>
      </c>
      <c r="P195">
        <f t="shared" si="7"/>
        <v>10.682186000000002</v>
      </c>
      <c r="S195">
        <f t="shared" si="8"/>
        <v>2.2167059039999994</v>
      </c>
    </row>
    <row r="196" spans="1:19">
      <c r="A196" s="7">
        <v>42501</v>
      </c>
      <c r="B196" s="6" t="s">
        <v>19</v>
      </c>
      <c r="C196" s="6">
        <v>22</v>
      </c>
      <c r="D196" s="6" t="s">
        <v>64</v>
      </c>
      <c r="F196" s="6">
        <v>3.18</v>
      </c>
      <c r="J196">
        <f>131+172+172+216+224+254+254+272+273+285</f>
        <v>2253</v>
      </c>
      <c r="K196">
        <v>11</v>
      </c>
      <c r="L196">
        <v>285</v>
      </c>
      <c r="N196" t="str">
        <f t="shared" ref="N196:N259" si="9">IF(OR(D196="S. acutus", D196="S. tabernaemontani", D196="S. californicus"),(1/3)*(3.14159)*((F196/2)^2)*E196,"NA")</f>
        <v>NA</v>
      </c>
      <c r="O196">
        <f>IF(AND(OR(D196="S. acutus",D196="S. californicus",D196="S. tabernaemontani"),G196=0),E196*[1]Sheet1!$D$7+[1]Sheet1!$L$7,IF(AND(OR(D196="S. acutus",D196="S. tabernaemontani"),G196&gt;0),E196*[1]Sheet1!$D$8+N196*[1]Sheet1!$E$8,IF(AND(D196="S. californicus",G196&gt;0),E196*[1]Sheet1!$D$9+N196*[1]Sheet1!$E$9,IF(D196="S. maritimus",F196*[1]Sheet1!$C$10+E196*[1]Sheet1!$D$10+G196*[1]Sheet1!$F$10+[1]Sheet1!$L$10,IF(D196="S. americanus",F196*[1]Sheet1!$C$6+E196*[1]Sheet1!$D$6+[1]Sheet1!$L$6,IF(AND(OR(D196="T. domingensis",D196="T. latifolia"),E196&gt;0),F196*[1]Sheet1!$C$4+E196*[1]Sheet1!$D$4+H196*[1]Sheet1!$J$4+I196*[1]Sheet1!$K$4+[1]Sheet1!$L$4,IF(AND(OR(D196="T. domingensis",D196="T. latifolia"),J196&gt;0),J196*[1]Sheet1!$G$5+K196*[1]Sheet1!$H$5+L196*[1]Sheet1!$I$5+[1]Sheet1!$L$5,0)))))))</f>
        <v>81.166291000000029</v>
      </c>
      <c r="P196">
        <f t="shared" ref="P196:P259" si="10">IF(O196&lt;0," ",O196)</f>
        <v>81.166291000000029</v>
      </c>
      <c r="S196">
        <f t="shared" ref="S196:S259" si="11">3.14159*((F196/2)^2)</f>
        <v>7.9422536790000002</v>
      </c>
    </row>
    <row r="197" spans="1:19">
      <c r="A197" s="7">
        <v>42501</v>
      </c>
      <c r="B197" s="6" t="s">
        <v>19</v>
      </c>
      <c r="C197" s="6">
        <v>22</v>
      </c>
      <c r="D197" s="6" t="s">
        <v>64</v>
      </c>
      <c r="E197">
        <v>207</v>
      </c>
      <c r="F197" s="6">
        <v>3.4</v>
      </c>
      <c r="H197">
        <v>25</v>
      </c>
      <c r="I197">
        <v>1.1599999999999999</v>
      </c>
      <c r="N197" t="str">
        <f t="shared" si="9"/>
        <v>NA</v>
      </c>
      <c r="O197">
        <f>IF(AND(OR(D197="S. acutus",D197="S. californicus",D197="S. tabernaemontani"),G197=0),E197*[1]Sheet1!$D$7+[1]Sheet1!$L$7,IF(AND(OR(D197="S. acutus",D197="S. tabernaemontani"),G197&gt;0),E197*[1]Sheet1!$D$8+N197*[1]Sheet1!$E$8,IF(AND(D197="S. californicus",G197&gt;0),E197*[1]Sheet1!$D$9+N197*[1]Sheet1!$E$9,IF(D197="S. maritimus",F197*[1]Sheet1!$C$10+E197*[1]Sheet1!$D$10+G197*[1]Sheet1!$F$10+[1]Sheet1!$L$10,IF(D197="S. americanus",F197*[1]Sheet1!$C$6+E197*[1]Sheet1!$D$6+[1]Sheet1!$L$6,IF(AND(OR(D197="T. domingensis",D197="T. latifolia"),E197&gt;0),F197*[1]Sheet1!$C$4+E197*[1]Sheet1!$D$4+H197*[1]Sheet1!$J$4+I197*[1]Sheet1!$K$4+[1]Sheet1!$L$4,IF(AND(OR(D197="T. domingensis",D197="T. latifolia"),J197&gt;0),J197*[1]Sheet1!$G$5+K197*[1]Sheet1!$H$5+L197*[1]Sheet1!$I$5+[1]Sheet1!$L$5,0)))))))</f>
        <v>73.737057479999976</v>
      </c>
      <c r="P197">
        <f t="shared" si="10"/>
        <v>73.737057479999976</v>
      </c>
      <c r="S197">
        <f t="shared" si="11"/>
        <v>9.079195099999998</v>
      </c>
    </row>
    <row r="198" spans="1:19">
      <c r="A198" s="7">
        <v>42501</v>
      </c>
      <c r="B198" s="6" t="s">
        <v>19</v>
      </c>
      <c r="C198" s="6">
        <v>22</v>
      </c>
      <c r="D198" s="6" t="s">
        <v>64</v>
      </c>
      <c r="F198" s="6">
        <v>1.18</v>
      </c>
      <c r="J198">
        <f>72+102+107+147+154+182</f>
        <v>764</v>
      </c>
      <c r="K198">
        <v>6</v>
      </c>
      <c r="L198">
        <v>182</v>
      </c>
      <c r="N198" t="str">
        <f t="shared" si="9"/>
        <v>NA</v>
      </c>
      <c r="O198">
        <f>IF(AND(OR(D198="S. acutus",D198="S. californicus",D198="S. tabernaemontani"),G198=0),E198*[1]Sheet1!$D$7+[1]Sheet1!$L$7,IF(AND(OR(D198="S. acutus",D198="S. tabernaemontani"),G198&gt;0),E198*[1]Sheet1!$D$8+N198*[1]Sheet1!$E$8,IF(AND(D198="S. californicus",G198&gt;0),E198*[1]Sheet1!$D$9+N198*[1]Sheet1!$E$9,IF(D198="S. maritimus",F198*[1]Sheet1!$C$10+E198*[1]Sheet1!$D$10+G198*[1]Sheet1!$F$10+[1]Sheet1!$L$10,IF(D198="S. americanus",F198*[1]Sheet1!$C$6+E198*[1]Sheet1!$D$6+[1]Sheet1!$L$6,IF(AND(OR(D198="T. domingensis",D198="T. latifolia"),E198&gt;0),F198*[1]Sheet1!$C$4+E198*[1]Sheet1!$D$4+H198*[1]Sheet1!$J$4+I198*[1]Sheet1!$K$4+[1]Sheet1!$L$4,IF(AND(OR(D198="T. domingensis",D198="T. latifolia"),J198&gt;0),J198*[1]Sheet1!$G$5+K198*[1]Sheet1!$H$5+L198*[1]Sheet1!$I$5+[1]Sheet1!$L$5,0)))))))</f>
        <v>7.7050960000000046</v>
      </c>
      <c r="P198">
        <f t="shared" si="10"/>
        <v>7.7050960000000046</v>
      </c>
      <c r="S198">
        <f t="shared" si="11"/>
        <v>1.0935874789999998</v>
      </c>
    </row>
    <row r="199" spans="1:19">
      <c r="A199" s="7">
        <v>42501</v>
      </c>
      <c r="B199" s="6" t="s">
        <v>19</v>
      </c>
      <c r="C199" s="6">
        <v>22</v>
      </c>
      <c r="D199" s="6" t="s">
        <v>64</v>
      </c>
      <c r="F199" s="6">
        <v>3.38</v>
      </c>
      <c r="J199">
        <f>105+135+165+193+197+192+246+242+243+244+249</f>
        <v>2211</v>
      </c>
      <c r="K199">
        <v>11</v>
      </c>
      <c r="L199">
        <v>249</v>
      </c>
      <c r="N199" t="str">
        <f t="shared" si="9"/>
        <v>NA</v>
      </c>
      <c r="O199">
        <f>IF(AND(OR(D199="S. acutus",D199="S. californicus",D199="S. tabernaemontani"),G199=0),E199*[1]Sheet1!$D$7+[1]Sheet1!$L$7,IF(AND(OR(D199="S. acutus",D199="S. tabernaemontani"),G199&gt;0),E199*[1]Sheet1!$D$8+N199*[1]Sheet1!$E$8,IF(AND(D199="S. californicus",G199&gt;0),E199*[1]Sheet1!$D$9+N199*[1]Sheet1!$E$9,IF(D199="S. maritimus",F199*[1]Sheet1!$C$10+E199*[1]Sheet1!$D$10+G199*[1]Sheet1!$F$10+[1]Sheet1!$L$10,IF(D199="S. americanus",F199*[1]Sheet1!$C$6+E199*[1]Sheet1!$D$6+[1]Sheet1!$L$6,IF(AND(OR(D199="T. domingensis",D199="T. latifolia"),E199&gt;0),F199*[1]Sheet1!$C$4+E199*[1]Sheet1!$D$4+H199*[1]Sheet1!$J$4+I199*[1]Sheet1!$K$4+[1]Sheet1!$L$4,IF(AND(OR(D199="T. domingensis",D199="T. latifolia"),J199&gt;0),J199*[1]Sheet1!$G$5+K199*[1]Sheet1!$H$5+L199*[1]Sheet1!$I$5+[1]Sheet1!$L$5,0)))))))</f>
        <v>88.073401000000018</v>
      </c>
      <c r="P199">
        <f t="shared" si="10"/>
        <v>88.073401000000018</v>
      </c>
      <c r="S199">
        <f t="shared" si="11"/>
        <v>8.9726951989999986</v>
      </c>
    </row>
    <row r="200" spans="1:19">
      <c r="A200" s="7">
        <v>42501</v>
      </c>
      <c r="B200" s="6" t="s">
        <v>19</v>
      </c>
      <c r="C200" s="6">
        <v>22</v>
      </c>
      <c r="D200" s="6" t="s">
        <v>64</v>
      </c>
      <c r="F200" s="6">
        <v>0.55000000000000004</v>
      </c>
      <c r="J200">
        <f>69+101+103</f>
        <v>273</v>
      </c>
      <c r="K200">
        <v>3</v>
      </c>
      <c r="L200">
        <v>103</v>
      </c>
      <c r="N200" t="str">
        <f t="shared" si="9"/>
        <v>NA</v>
      </c>
      <c r="O200">
        <f>IF(AND(OR(D200="S. acutus",D200="S. californicus",D200="S. tabernaemontani"),G200=0),E200*[1]Sheet1!$D$7+[1]Sheet1!$L$7,IF(AND(OR(D200="S. acutus",D200="S. tabernaemontani"),G200&gt;0),E200*[1]Sheet1!$D$8+N200*[1]Sheet1!$E$8,IF(AND(D200="S. californicus",G200&gt;0),E200*[1]Sheet1!$D$9+N200*[1]Sheet1!$E$9,IF(D200="S. maritimus",F200*[1]Sheet1!$C$10+E200*[1]Sheet1!$D$10+G200*[1]Sheet1!$F$10+[1]Sheet1!$L$10,IF(D200="S. americanus",F200*[1]Sheet1!$C$6+E200*[1]Sheet1!$D$6+[1]Sheet1!$L$6,IF(AND(OR(D200="T. domingensis",D200="T. latifolia"),E200&gt;0),F200*[1]Sheet1!$C$4+E200*[1]Sheet1!$D$4+H200*[1]Sheet1!$J$4+I200*[1]Sheet1!$K$4+[1]Sheet1!$L$4,IF(AND(OR(D200="T. domingensis",D200="T. latifolia"),J200&gt;0),J200*[1]Sheet1!$G$5+K200*[1]Sheet1!$H$5+L200*[1]Sheet1!$I$5+[1]Sheet1!$L$5,0)))))))</f>
        <v>6.5368049999999975</v>
      </c>
      <c r="P200">
        <f t="shared" si="10"/>
        <v>6.5368049999999975</v>
      </c>
      <c r="S200">
        <f t="shared" si="11"/>
        <v>0.23758274375000002</v>
      </c>
    </row>
    <row r="201" spans="1:19">
      <c r="A201" s="7">
        <v>42501</v>
      </c>
      <c r="B201" s="6" t="s">
        <v>19</v>
      </c>
      <c r="C201" s="6">
        <v>22</v>
      </c>
      <c r="D201" s="6" t="s">
        <v>64</v>
      </c>
      <c r="F201" s="6">
        <v>0.4</v>
      </c>
      <c r="J201">
        <f>58+97+98+222</f>
        <v>475</v>
      </c>
      <c r="K201">
        <v>4</v>
      </c>
      <c r="L201">
        <v>222</v>
      </c>
      <c r="N201" t="str">
        <f t="shared" si="9"/>
        <v>NA</v>
      </c>
      <c r="O201">
        <f>IF(AND(OR(D201="S. acutus",D201="S. californicus",D201="S. tabernaemontani"),G201=0),E201*[1]Sheet1!$D$7+[1]Sheet1!$L$7,IF(AND(OR(D201="S. acutus",D201="S. tabernaemontani"),G201&gt;0),E201*[1]Sheet1!$D$8+N201*[1]Sheet1!$E$8,IF(AND(D201="S. californicus",G201&gt;0),E201*[1]Sheet1!$D$9+N201*[1]Sheet1!$E$9,IF(D201="S. maritimus",F201*[1]Sheet1!$C$10+E201*[1]Sheet1!$D$10+G201*[1]Sheet1!$F$10+[1]Sheet1!$L$10,IF(D201="S. americanus",F201*[1]Sheet1!$C$6+E201*[1]Sheet1!$D$6+[1]Sheet1!$L$6,IF(AND(OR(D201="T. domingensis",D201="T. latifolia"),E201&gt;0),F201*[1]Sheet1!$C$4+E201*[1]Sheet1!$D$4+H201*[1]Sheet1!$J$4+I201*[1]Sheet1!$K$4+[1]Sheet1!$L$4,IF(AND(OR(D201="T. domingensis",D201="T. latifolia"),J201&gt;0),J201*[1]Sheet1!$G$5+K201*[1]Sheet1!$H$5+L201*[1]Sheet1!$I$5+[1]Sheet1!$L$5,0)))))))</f>
        <v>-17.395192999999999</v>
      </c>
      <c r="P201" t="str">
        <f t="shared" si="10"/>
        <v xml:space="preserve"> </v>
      </c>
      <c r="S201">
        <f t="shared" si="11"/>
        <v>0.12566360000000001</v>
      </c>
    </row>
    <row r="202" spans="1:19">
      <c r="A202" s="7">
        <v>42501</v>
      </c>
      <c r="B202" s="6" t="s">
        <v>19</v>
      </c>
      <c r="C202" s="6">
        <v>22</v>
      </c>
      <c r="D202" s="6" t="s">
        <v>64</v>
      </c>
      <c r="F202" s="6">
        <v>1.18</v>
      </c>
      <c r="J202">
        <f>41+65+72+85+100+121+144+148</f>
        <v>776</v>
      </c>
      <c r="K202">
        <v>8</v>
      </c>
      <c r="L202">
        <v>148</v>
      </c>
      <c r="N202" t="str">
        <f t="shared" si="9"/>
        <v>NA</v>
      </c>
      <c r="O202">
        <f>IF(AND(OR(D202="S. acutus",D202="S. californicus",D202="S. tabernaemontani"),G202=0),E202*[1]Sheet1!$D$7+[1]Sheet1!$L$7,IF(AND(OR(D202="S. acutus",D202="S. tabernaemontani"),G202&gt;0),E202*[1]Sheet1!$D$8+N202*[1]Sheet1!$E$8,IF(AND(D202="S. californicus",G202&gt;0),E202*[1]Sheet1!$D$9+N202*[1]Sheet1!$E$9,IF(D202="S. maritimus",F202*[1]Sheet1!$C$10+E202*[1]Sheet1!$D$10+G202*[1]Sheet1!$F$10+[1]Sheet1!$L$10,IF(D202="S. americanus",F202*[1]Sheet1!$C$6+E202*[1]Sheet1!$D$6+[1]Sheet1!$L$6,IF(AND(OR(D202="T. domingensis",D202="T. latifolia"),E202&gt;0),F202*[1]Sheet1!$C$4+E202*[1]Sheet1!$D$4+H202*[1]Sheet1!$J$4+I202*[1]Sheet1!$K$4+[1]Sheet1!$L$4,IF(AND(OR(D202="T. domingensis",D202="T. latifolia"),J202&gt;0),J202*[1]Sheet1!$G$5+K202*[1]Sheet1!$H$5+L202*[1]Sheet1!$I$5+[1]Sheet1!$L$5,0)))))))</f>
        <v>5.027780000000007</v>
      </c>
      <c r="P202">
        <f t="shared" si="10"/>
        <v>5.027780000000007</v>
      </c>
      <c r="S202">
        <f t="shared" si="11"/>
        <v>1.0935874789999998</v>
      </c>
    </row>
    <row r="203" spans="1:19">
      <c r="A203" s="7">
        <v>42501</v>
      </c>
      <c r="B203" s="6" t="s">
        <v>19</v>
      </c>
      <c r="C203" s="6">
        <v>22</v>
      </c>
      <c r="D203" s="6" t="s">
        <v>64</v>
      </c>
      <c r="F203" s="6">
        <v>1.55</v>
      </c>
      <c r="J203">
        <f>89+121+131+168+172+201</f>
        <v>882</v>
      </c>
      <c r="K203">
        <v>6</v>
      </c>
      <c r="L203">
        <v>201</v>
      </c>
      <c r="N203" t="str">
        <f t="shared" si="9"/>
        <v>NA</v>
      </c>
      <c r="O203">
        <f>IF(AND(OR(D203="S. acutus",D203="S. californicus",D203="S. tabernaemontani"),G203=0),E203*[1]Sheet1!$D$7+[1]Sheet1!$L$7,IF(AND(OR(D203="S. acutus",D203="S. tabernaemontani"),G203&gt;0),E203*[1]Sheet1!$D$8+N203*[1]Sheet1!$E$8,IF(AND(D203="S. californicus",G203&gt;0),E203*[1]Sheet1!$D$9+N203*[1]Sheet1!$E$9,IF(D203="S. maritimus",F203*[1]Sheet1!$C$10+E203*[1]Sheet1!$D$10+G203*[1]Sheet1!$F$10+[1]Sheet1!$L$10,IF(D203="S. americanus",F203*[1]Sheet1!$C$6+E203*[1]Sheet1!$D$6+[1]Sheet1!$L$6,IF(AND(OR(D203="T. domingensis",D203="T. latifolia"),E203&gt;0),F203*[1]Sheet1!$C$4+E203*[1]Sheet1!$D$4+H203*[1]Sheet1!$J$4+I203*[1]Sheet1!$K$4+[1]Sheet1!$L$4,IF(AND(OR(D203="T. domingensis",D203="T. latifolia"),J203&gt;0),J203*[1]Sheet1!$G$5+K203*[1]Sheet1!$H$5+L203*[1]Sheet1!$I$5+[1]Sheet1!$L$5,0)))))))</f>
        <v>13.044531000000006</v>
      </c>
      <c r="P203">
        <f t="shared" si="10"/>
        <v>13.044531000000006</v>
      </c>
      <c r="S203">
        <f t="shared" si="11"/>
        <v>1.8869174937500002</v>
      </c>
    </row>
    <row r="204" spans="1:19">
      <c r="A204" s="7">
        <v>42501</v>
      </c>
      <c r="B204" s="6" t="s">
        <v>19</v>
      </c>
      <c r="C204" s="6">
        <v>22</v>
      </c>
      <c r="D204" s="6" t="s">
        <v>64</v>
      </c>
      <c r="F204" s="6">
        <v>2.04</v>
      </c>
      <c r="J204">
        <f>63+98+115+119+138+155+156+165+172</f>
        <v>1181</v>
      </c>
      <c r="K204">
        <v>9</v>
      </c>
      <c r="L204">
        <v>172</v>
      </c>
      <c r="N204" t="str">
        <f t="shared" si="9"/>
        <v>NA</v>
      </c>
      <c r="O204">
        <f>IF(AND(OR(D204="S. acutus",D204="S. californicus",D204="S. tabernaemontani"),G204=0),E204*[1]Sheet1!$D$7+[1]Sheet1!$L$7,IF(AND(OR(D204="S. acutus",D204="S. tabernaemontani"),G204&gt;0),E204*[1]Sheet1!$D$8+N204*[1]Sheet1!$E$8,IF(AND(D204="S. californicus",G204&gt;0),E204*[1]Sheet1!$D$9+N204*[1]Sheet1!$E$9,IF(D204="S. maritimus",F204*[1]Sheet1!$C$10+E204*[1]Sheet1!$D$10+G204*[1]Sheet1!$F$10+[1]Sheet1!$L$10,IF(D204="S. americanus",F204*[1]Sheet1!$C$6+E204*[1]Sheet1!$D$6+[1]Sheet1!$L$6,IF(AND(OR(D204="T. domingensis",D204="T. latifolia"),E204&gt;0),F204*[1]Sheet1!$C$4+E204*[1]Sheet1!$D$4+H204*[1]Sheet1!$J$4+I204*[1]Sheet1!$K$4+[1]Sheet1!$L$4,IF(AND(OR(D204="T. domingensis",D204="T. latifolia"),J204&gt;0),J204*[1]Sheet1!$G$5+K204*[1]Sheet1!$H$5+L204*[1]Sheet1!$I$5+[1]Sheet1!$L$5,0)))))))</f>
        <v>28.746322000000013</v>
      </c>
      <c r="P204">
        <f t="shared" si="10"/>
        <v>28.746322000000013</v>
      </c>
      <c r="S204">
        <f t="shared" si="11"/>
        <v>3.268510236</v>
      </c>
    </row>
    <row r="205" spans="1:19">
      <c r="A205" s="7">
        <v>42501</v>
      </c>
      <c r="B205" s="6" t="s">
        <v>19</v>
      </c>
      <c r="C205">
        <v>6</v>
      </c>
      <c r="D205" s="6" t="s">
        <v>61</v>
      </c>
      <c r="F205" s="6">
        <v>3.49</v>
      </c>
      <c r="J205">
        <f>75+98+115+119+138+155+156+165+172</f>
        <v>1193</v>
      </c>
      <c r="K205">
        <v>9</v>
      </c>
      <c r="L205">
        <v>172</v>
      </c>
      <c r="N205" t="str">
        <f t="shared" si="9"/>
        <v>NA</v>
      </c>
      <c r="O205">
        <f>IF(AND(OR(D205="S. acutus",D205="S. californicus",D205="S. tabernaemontani"),G205=0),E205*[1]Sheet1!$D$7+[1]Sheet1!$L$7,IF(AND(OR(D205="S. acutus",D205="S. tabernaemontani"),G205&gt;0),E205*[1]Sheet1!$D$8+N205*[1]Sheet1!$E$8,IF(AND(D205="S. californicus",G205&gt;0),E205*[1]Sheet1!$D$9+N205*[1]Sheet1!$E$9,IF(D205="S. maritimus",F205*[1]Sheet1!$C$10+E205*[1]Sheet1!$D$10+G205*[1]Sheet1!$F$10+[1]Sheet1!$L$10,IF(D205="S. americanus",F205*[1]Sheet1!$C$6+E205*[1]Sheet1!$D$6+[1]Sheet1!$L$6,IF(AND(OR(D205="T. domingensis",D205="T. latifolia"),E205&gt;0),F205*[1]Sheet1!$C$4+E205*[1]Sheet1!$D$4+H205*[1]Sheet1!$J$4+I205*[1]Sheet1!$K$4+[1]Sheet1!$L$4,IF(AND(OR(D205="T. domingensis",D205="T. latifolia"),J205&gt;0),J205*[1]Sheet1!$G$5+K205*[1]Sheet1!$H$5+L205*[1]Sheet1!$I$5+[1]Sheet1!$L$5,0)))))))</f>
        <v>29.871382000000004</v>
      </c>
      <c r="P205">
        <f t="shared" si="10"/>
        <v>29.871382000000004</v>
      </c>
      <c r="S205">
        <f t="shared" si="11"/>
        <v>9.5662200897500007</v>
      </c>
    </row>
    <row r="206" spans="1:19">
      <c r="A206" s="7">
        <v>42501</v>
      </c>
      <c r="B206" s="6" t="s">
        <v>19</v>
      </c>
      <c r="C206">
        <v>6</v>
      </c>
      <c r="D206" s="6" t="s">
        <v>61</v>
      </c>
      <c r="F206" s="6">
        <v>4.55</v>
      </c>
      <c r="J206">
        <f>60+98+138+147+153+170+172+192+197+205+205+220+219+233+236</f>
        <v>2645</v>
      </c>
      <c r="K206">
        <v>15</v>
      </c>
      <c r="L206">
        <v>236</v>
      </c>
      <c r="N206" t="str">
        <f t="shared" si="9"/>
        <v>NA</v>
      </c>
      <c r="O206">
        <f>IF(AND(OR(D206="S. acutus",D206="S. californicus",D206="S. tabernaemontani"),G206=0),E206*[1]Sheet1!$D$7+[1]Sheet1!$L$7,IF(AND(OR(D206="S. acutus",D206="S. tabernaemontani"),G206&gt;0),E206*[1]Sheet1!$D$8+N206*[1]Sheet1!$E$8,IF(AND(D206="S. californicus",G206&gt;0),E206*[1]Sheet1!$D$9+N206*[1]Sheet1!$E$9,IF(D206="S. maritimus",F206*[1]Sheet1!$C$10+E206*[1]Sheet1!$D$10+G206*[1]Sheet1!$F$10+[1]Sheet1!$L$10,IF(D206="S. americanus",F206*[1]Sheet1!$C$6+E206*[1]Sheet1!$D$6+[1]Sheet1!$L$6,IF(AND(OR(D206="T. domingensis",D206="T. latifolia"),E206&gt;0),F206*[1]Sheet1!$C$4+E206*[1]Sheet1!$D$4+H206*[1]Sheet1!$J$4+I206*[1]Sheet1!$K$4+[1]Sheet1!$L$4,IF(AND(OR(D206="T. domingensis",D206="T. latifolia"),J206&gt;0),J206*[1]Sheet1!$G$5+K206*[1]Sheet1!$H$5+L206*[1]Sheet1!$I$5+[1]Sheet1!$L$5,0)))))))</f>
        <v>104.589844</v>
      </c>
      <c r="P206">
        <f t="shared" si="10"/>
        <v>104.589844</v>
      </c>
      <c r="S206">
        <f t="shared" si="11"/>
        <v>16.259691743749997</v>
      </c>
    </row>
    <row r="207" spans="1:19">
      <c r="A207" s="7">
        <v>42501</v>
      </c>
      <c r="B207" s="6" t="s">
        <v>19</v>
      </c>
      <c r="C207">
        <v>6</v>
      </c>
      <c r="D207" s="6" t="s">
        <v>61</v>
      </c>
      <c r="F207" s="6">
        <v>3.08</v>
      </c>
      <c r="J207">
        <f>75+77+95+127+126+135+151+153+156</f>
        <v>1095</v>
      </c>
      <c r="K207">
        <v>9</v>
      </c>
      <c r="L207">
        <v>156</v>
      </c>
      <c r="N207" t="str">
        <f t="shared" si="9"/>
        <v>NA</v>
      </c>
      <c r="O207">
        <f>IF(AND(OR(D207="S. acutus",D207="S. californicus",D207="S. tabernaemontani"),G207=0),E207*[1]Sheet1!$D$7+[1]Sheet1!$L$7,IF(AND(OR(D207="S. acutus",D207="S. tabernaemontani"),G207&gt;0),E207*[1]Sheet1!$D$8+N207*[1]Sheet1!$E$8,IF(AND(D207="S. californicus",G207&gt;0),E207*[1]Sheet1!$D$9+N207*[1]Sheet1!$E$9,IF(D207="S. maritimus",F207*[1]Sheet1!$C$10+E207*[1]Sheet1!$D$10+G207*[1]Sheet1!$F$10+[1]Sheet1!$L$10,IF(D207="S. americanus",F207*[1]Sheet1!$C$6+E207*[1]Sheet1!$D$6+[1]Sheet1!$L$6,IF(AND(OR(D207="T. domingensis",D207="T. latifolia"),E207&gt;0),F207*[1]Sheet1!$C$4+E207*[1]Sheet1!$D$4+H207*[1]Sheet1!$J$4+I207*[1]Sheet1!$K$4+[1]Sheet1!$L$4,IF(AND(OR(D207="T. domingensis",D207="T. latifolia"),J207&gt;0),J207*[1]Sheet1!$G$5+K207*[1]Sheet1!$H$5+L207*[1]Sheet1!$I$5+[1]Sheet1!$L$5,0)))))))</f>
        <v>25.503312000000001</v>
      </c>
      <c r="P207">
        <f t="shared" si="10"/>
        <v>25.503312000000001</v>
      </c>
      <c r="S207">
        <f t="shared" si="11"/>
        <v>7.4505948439999994</v>
      </c>
    </row>
    <row r="208" spans="1:19">
      <c r="A208" s="7">
        <v>42501</v>
      </c>
      <c r="B208" s="6" t="s">
        <v>19</v>
      </c>
      <c r="C208">
        <v>6</v>
      </c>
      <c r="D208" s="6" t="s">
        <v>61</v>
      </c>
      <c r="F208" s="6">
        <v>4.0999999999999996</v>
      </c>
      <c r="J208">
        <f>66+100+101+130+133+154+171+181+184+193</f>
        <v>1413</v>
      </c>
      <c r="K208">
        <v>10</v>
      </c>
      <c r="L208">
        <v>193</v>
      </c>
      <c r="N208" t="str">
        <f t="shared" si="9"/>
        <v>NA</v>
      </c>
      <c r="O208">
        <f>IF(AND(OR(D208="S. acutus",D208="S. californicus",D208="S. tabernaemontani"),G208=0),E208*[1]Sheet1!$D$7+[1]Sheet1!$L$7,IF(AND(OR(D208="S. acutus",D208="S. tabernaemontani"),G208&gt;0),E208*[1]Sheet1!$D$8+N208*[1]Sheet1!$E$8,IF(AND(D208="S. californicus",G208&gt;0),E208*[1]Sheet1!$D$9+N208*[1]Sheet1!$E$9,IF(D208="S. maritimus",F208*[1]Sheet1!$C$10+E208*[1]Sheet1!$D$10+G208*[1]Sheet1!$F$10+[1]Sheet1!$L$10,IF(D208="S. americanus",F208*[1]Sheet1!$C$6+E208*[1]Sheet1!$D$6+[1]Sheet1!$L$6,IF(AND(OR(D208="T. domingensis",D208="T. latifolia"),E208&gt;0),F208*[1]Sheet1!$C$4+E208*[1]Sheet1!$D$4+H208*[1]Sheet1!$J$4+I208*[1]Sheet1!$K$4+[1]Sheet1!$L$4,IF(AND(OR(D208="T. domingensis",D208="T. latifolia"),J208&gt;0),J208*[1]Sheet1!$G$5+K208*[1]Sheet1!$H$5+L208*[1]Sheet1!$I$5+[1]Sheet1!$L$5,0)))))))</f>
        <v>37.148984000000013</v>
      </c>
      <c r="P208">
        <f t="shared" si="10"/>
        <v>37.148984000000013</v>
      </c>
      <c r="S208">
        <f t="shared" si="11"/>
        <v>13.202531974999998</v>
      </c>
    </row>
    <row r="209" spans="1:19">
      <c r="A209" s="7">
        <v>42501</v>
      </c>
      <c r="B209" s="6" t="s">
        <v>19</v>
      </c>
      <c r="C209">
        <v>6</v>
      </c>
      <c r="D209" s="6" t="s">
        <v>61</v>
      </c>
      <c r="F209" s="6">
        <v>1.39</v>
      </c>
      <c r="J209">
        <f>26+50+60+76+90+96</f>
        <v>398</v>
      </c>
      <c r="K209">
        <v>6</v>
      </c>
      <c r="L209">
        <v>96</v>
      </c>
      <c r="N209" t="str">
        <f t="shared" si="9"/>
        <v>NA</v>
      </c>
      <c r="O209">
        <f>IF(AND(OR(D209="S. acutus",D209="S. californicus",D209="S. tabernaemontani"),G209=0),E209*[1]Sheet1!$D$7+[1]Sheet1!$L$7,IF(AND(OR(D209="S. acutus",D209="S. tabernaemontani"),G209&gt;0),E209*[1]Sheet1!$D$8+N209*[1]Sheet1!$E$8,IF(AND(D209="S. californicus",G209&gt;0),E209*[1]Sheet1!$D$9+N209*[1]Sheet1!$E$9,IF(D209="S. maritimus",F209*[1]Sheet1!$C$10+E209*[1]Sheet1!$D$10+G209*[1]Sheet1!$F$10+[1]Sheet1!$L$10,IF(D209="S. americanus",F209*[1]Sheet1!$C$6+E209*[1]Sheet1!$D$6+[1]Sheet1!$L$6,IF(AND(OR(D209="T. domingensis",D209="T. latifolia"),E209&gt;0),F209*[1]Sheet1!$C$4+E209*[1]Sheet1!$D$4+H209*[1]Sheet1!$J$4+I209*[1]Sheet1!$K$4+[1]Sheet1!$L$4,IF(AND(OR(D209="T. domingensis",D209="T. latifolia"),J209&gt;0),J209*[1]Sheet1!$G$5+K209*[1]Sheet1!$H$5+L209*[1]Sheet1!$I$5+[1]Sheet1!$L$5,0)))))))</f>
        <v>-0.70216400000000334</v>
      </c>
      <c r="P209" t="str">
        <f t="shared" si="10"/>
        <v xml:space="preserve"> </v>
      </c>
      <c r="S209">
        <f t="shared" si="11"/>
        <v>1.5174665097499997</v>
      </c>
    </row>
    <row r="210" spans="1:19">
      <c r="A210" s="7">
        <v>42501</v>
      </c>
      <c r="B210" s="6" t="s">
        <v>19</v>
      </c>
      <c r="C210">
        <v>6</v>
      </c>
      <c r="D210" s="6" t="s">
        <v>61</v>
      </c>
      <c r="F210" s="6">
        <v>2.0299999999999998</v>
      </c>
      <c r="J210">
        <f>98+124+135+152+168+170+185</f>
        <v>1032</v>
      </c>
      <c r="K210">
        <v>7</v>
      </c>
      <c r="L210">
        <v>185</v>
      </c>
      <c r="N210" t="str">
        <f t="shared" si="9"/>
        <v>NA</v>
      </c>
      <c r="O210">
        <f>IF(AND(OR(D210="S. acutus",D210="S. californicus",D210="S. tabernaemontani"),G210=0),E210*[1]Sheet1!$D$7+[1]Sheet1!$L$7,IF(AND(OR(D210="S. acutus",D210="S. tabernaemontani"),G210&gt;0),E210*[1]Sheet1!$D$8+N210*[1]Sheet1!$E$8,IF(AND(D210="S. californicus",G210&gt;0),E210*[1]Sheet1!$D$9+N210*[1]Sheet1!$E$9,IF(D210="S. maritimus",F210*[1]Sheet1!$C$10+E210*[1]Sheet1!$D$10+G210*[1]Sheet1!$F$10+[1]Sheet1!$L$10,IF(D210="S. americanus",F210*[1]Sheet1!$C$6+E210*[1]Sheet1!$D$6+[1]Sheet1!$L$6,IF(AND(OR(D210="T. domingensis",D210="T. latifolia"),E210&gt;0),F210*[1]Sheet1!$C$4+E210*[1]Sheet1!$D$4+H210*[1]Sheet1!$J$4+I210*[1]Sheet1!$K$4+[1]Sheet1!$L$4,IF(AND(OR(D210="T. domingensis",D210="T. latifolia"),J210&gt;0),J210*[1]Sheet1!$G$5+K210*[1]Sheet1!$H$5+L210*[1]Sheet1!$I$5+[1]Sheet1!$L$5,0)))))))</f>
        <v>24.905348000000004</v>
      </c>
      <c r="P210">
        <f t="shared" si="10"/>
        <v>24.905348000000004</v>
      </c>
      <c r="S210">
        <f t="shared" si="11"/>
        <v>3.2365445577499989</v>
      </c>
    </row>
    <row r="211" spans="1:19">
      <c r="A211" s="7">
        <v>42501</v>
      </c>
      <c r="B211" s="6" t="s">
        <v>19</v>
      </c>
      <c r="C211">
        <v>6</v>
      </c>
      <c r="D211" s="6" t="s">
        <v>61</v>
      </c>
      <c r="F211" s="6">
        <v>1.55</v>
      </c>
      <c r="J211">
        <f>98+99+112+129+130</f>
        <v>568</v>
      </c>
      <c r="K211">
        <v>5</v>
      </c>
      <c r="L211">
        <v>130</v>
      </c>
      <c r="N211" t="str">
        <f t="shared" si="9"/>
        <v>NA</v>
      </c>
      <c r="O211">
        <f>IF(AND(OR(D211="S. acutus",D211="S. californicus",D211="S. tabernaemontani"),G211=0),E211*[1]Sheet1!$D$7+[1]Sheet1!$L$7,IF(AND(OR(D211="S. acutus",D211="S. tabernaemontani"),G211&gt;0),E211*[1]Sheet1!$D$8+N211*[1]Sheet1!$E$8,IF(AND(D211="S. californicus",G211&gt;0),E211*[1]Sheet1!$D$9+N211*[1]Sheet1!$E$9,IF(D211="S. maritimus",F211*[1]Sheet1!$C$10+E211*[1]Sheet1!$D$10+G211*[1]Sheet1!$F$10+[1]Sheet1!$L$10,IF(D211="S. americanus",F211*[1]Sheet1!$C$6+E211*[1]Sheet1!$D$6+[1]Sheet1!$L$6,IF(AND(OR(D211="T. domingensis",D211="T. latifolia"),E211&gt;0),F211*[1]Sheet1!$C$4+E211*[1]Sheet1!$D$4+H211*[1]Sheet1!$J$4+I211*[1]Sheet1!$K$4+[1]Sheet1!$L$4,IF(AND(OR(D211="T. domingensis",D211="T. latifolia"),J211&gt;0),J211*[1]Sheet1!$G$5+K211*[1]Sheet1!$H$5+L211*[1]Sheet1!$I$5+[1]Sheet1!$L$5,0)))))))</f>
        <v>12.016209000000003</v>
      </c>
      <c r="P211">
        <f t="shared" si="10"/>
        <v>12.016209000000003</v>
      </c>
      <c r="S211">
        <f t="shared" si="11"/>
        <v>1.8869174937500002</v>
      </c>
    </row>
    <row r="212" spans="1:19">
      <c r="A212" s="7">
        <v>42501</v>
      </c>
      <c r="B212" s="6" t="s">
        <v>19</v>
      </c>
      <c r="C212">
        <v>6</v>
      </c>
      <c r="D212" s="6" t="s">
        <v>61</v>
      </c>
      <c r="F212">
        <f>0.05</f>
        <v>0.05</v>
      </c>
      <c r="J212">
        <f>48</f>
        <v>48</v>
      </c>
      <c r="K212">
        <v>1</v>
      </c>
      <c r="L212">
        <v>48</v>
      </c>
      <c r="N212" t="str">
        <f t="shared" si="9"/>
        <v>NA</v>
      </c>
      <c r="O212">
        <f>IF(AND(OR(D212="S. acutus",D212="S. californicus",D212="S. tabernaemontani"),G212=0),E212*[1]Sheet1!$D$7+[1]Sheet1!$L$7,IF(AND(OR(D212="S. acutus",D212="S. tabernaemontani"),G212&gt;0),E212*[1]Sheet1!$D$8+N212*[1]Sheet1!$E$8,IF(AND(D212="S. californicus",G212&gt;0),E212*[1]Sheet1!$D$9+N212*[1]Sheet1!$E$9,IF(D212="S. maritimus",F212*[1]Sheet1!$C$10+E212*[1]Sheet1!$D$10+G212*[1]Sheet1!$F$10+[1]Sheet1!$L$10,IF(D212="S. americanus",F212*[1]Sheet1!$C$6+E212*[1]Sheet1!$D$6+[1]Sheet1!$L$6,IF(AND(OR(D212="T. domingensis",D212="T. latifolia"),E212&gt;0),F212*[1]Sheet1!$C$4+E212*[1]Sheet1!$D$4+H212*[1]Sheet1!$J$4+I212*[1]Sheet1!$K$4+[1]Sheet1!$L$4,IF(AND(OR(D212="T. domingensis",D212="T. latifolia"),J212&gt;0),J212*[1]Sheet1!$G$5+K212*[1]Sheet1!$H$5+L212*[1]Sheet1!$I$5+[1]Sheet1!$L$5,0)))))))</f>
        <v>16.055110999999997</v>
      </c>
      <c r="P212">
        <f t="shared" si="10"/>
        <v>16.055110999999997</v>
      </c>
      <c r="S212">
        <f t="shared" si="11"/>
        <v>1.9634937500000002E-3</v>
      </c>
    </row>
    <row r="213" spans="1:19">
      <c r="A213" s="7">
        <v>42501</v>
      </c>
      <c r="B213" s="6" t="s">
        <v>19</v>
      </c>
      <c r="C213">
        <v>6</v>
      </c>
      <c r="D213" s="6" t="s">
        <v>61</v>
      </c>
      <c r="F213" s="6">
        <v>2.86</v>
      </c>
      <c r="J213">
        <f>60+104+107+125+139+141+155+160+168+174</f>
        <v>1333</v>
      </c>
      <c r="K213">
        <v>10</v>
      </c>
      <c r="L213">
        <v>174</v>
      </c>
      <c r="N213" t="str">
        <f t="shared" si="9"/>
        <v>NA</v>
      </c>
      <c r="O213">
        <f>IF(AND(OR(D213="S. acutus",D213="S. californicus",D213="S. tabernaemontani"),G213=0),E213*[1]Sheet1!$D$7+[1]Sheet1!$L$7,IF(AND(OR(D213="S. acutus",D213="S. tabernaemontani"),G213&gt;0),E213*[1]Sheet1!$D$8+N213*[1]Sheet1!$E$8,IF(AND(D213="S. californicus",G213&gt;0),E213*[1]Sheet1!$D$9+N213*[1]Sheet1!$E$9,IF(D213="S. maritimus",F213*[1]Sheet1!$C$10+E213*[1]Sheet1!$D$10+G213*[1]Sheet1!$F$10+[1]Sheet1!$L$10,IF(D213="S. americanus",F213*[1]Sheet1!$C$6+E213*[1]Sheet1!$D$6+[1]Sheet1!$L$6,IF(AND(OR(D213="T. domingensis",D213="T. latifolia"),E213&gt;0),F213*[1]Sheet1!$C$4+E213*[1]Sheet1!$D$4+H213*[1]Sheet1!$J$4+I213*[1]Sheet1!$K$4+[1]Sheet1!$L$4,IF(AND(OR(D213="T. domingensis",D213="T. latifolia"),J213&gt;0),J213*[1]Sheet1!$G$5+K213*[1]Sheet1!$H$5+L213*[1]Sheet1!$I$5+[1]Sheet1!$L$5,0)))))))</f>
        <v>35.372239000000015</v>
      </c>
      <c r="P213">
        <f t="shared" si="10"/>
        <v>35.372239000000015</v>
      </c>
      <c r="S213">
        <f t="shared" si="11"/>
        <v>6.4242373909999992</v>
      </c>
    </row>
    <row r="214" spans="1:19">
      <c r="A214" s="7">
        <v>42501</v>
      </c>
      <c r="B214" s="6" t="s">
        <v>19</v>
      </c>
      <c r="C214">
        <v>6</v>
      </c>
      <c r="D214" s="6" t="s">
        <v>61</v>
      </c>
      <c r="F214" s="6">
        <v>1.1000000000000001</v>
      </c>
      <c r="J214">
        <f>50+68+90+100+108</f>
        <v>416</v>
      </c>
      <c r="K214">
        <v>5</v>
      </c>
      <c r="L214">
        <v>108</v>
      </c>
      <c r="N214" t="str">
        <f t="shared" si="9"/>
        <v>NA</v>
      </c>
      <c r="O214">
        <f>IF(AND(OR(D214="S. acutus",D214="S. californicus",D214="S. tabernaemontani"),G214=0),E214*[1]Sheet1!$D$7+[1]Sheet1!$L$7,IF(AND(OR(D214="S. acutus",D214="S. tabernaemontani"),G214&gt;0),E214*[1]Sheet1!$D$8+N214*[1]Sheet1!$E$8,IF(AND(D214="S. californicus",G214&gt;0),E214*[1]Sheet1!$D$9+N214*[1]Sheet1!$E$9,IF(D214="S. maritimus",F214*[1]Sheet1!$C$10+E214*[1]Sheet1!$D$10+G214*[1]Sheet1!$F$10+[1]Sheet1!$L$10,IF(D214="S. americanus",F214*[1]Sheet1!$C$6+E214*[1]Sheet1!$D$6+[1]Sheet1!$L$6,IF(AND(OR(D214="T. domingensis",D214="T. latifolia"),E214&gt;0),F214*[1]Sheet1!$C$4+E214*[1]Sheet1!$D$4+H214*[1]Sheet1!$J$4+I214*[1]Sheet1!$K$4+[1]Sheet1!$L$4,IF(AND(OR(D214="T. domingensis",D214="T. latifolia"),J214&gt;0),J214*[1]Sheet1!$G$5+K214*[1]Sheet1!$H$5+L214*[1]Sheet1!$I$5+[1]Sheet1!$L$5,0)))))))</f>
        <v>4.3928390000000022</v>
      </c>
      <c r="P214">
        <f t="shared" si="10"/>
        <v>4.3928390000000022</v>
      </c>
      <c r="S214">
        <f t="shared" si="11"/>
        <v>0.95033097500000008</v>
      </c>
    </row>
    <row r="215" spans="1:19">
      <c r="A215" s="7">
        <v>42501</v>
      </c>
      <c r="B215" s="6" t="s">
        <v>19</v>
      </c>
      <c r="C215">
        <v>6</v>
      </c>
      <c r="D215" s="6" t="s">
        <v>61</v>
      </c>
      <c r="F215" s="6">
        <v>3.03</v>
      </c>
      <c r="J215">
        <f>101+117+139+182+200+202+203+212+212+236</f>
        <v>1804</v>
      </c>
      <c r="K215">
        <v>10</v>
      </c>
      <c r="L215">
        <v>236</v>
      </c>
      <c r="N215" t="str">
        <f t="shared" si="9"/>
        <v>NA</v>
      </c>
      <c r="O215">
        <f>IF(AND(OR(D215="S. acutus",D215="S. californicus",D215="S. tabernaemontani"),G215=0),E215*[1]Sheet1!$D$7+[1]Sheet1!$L$7,IF(AND(OR(D215="S. acutus",D215="S. tabernaemontani"),G215&gt;0),E215*[1]Sheet1!$D$8+N215*[1]Sheet1!$E$8,IF(AND(D215="S. californicus",G215&gt;0),E215*[1]Sheet1!$D$9+N215*[1]Sheet1!$E$9,IF(D215="S. maritimus",F215*[1]Sheet1!$C$10+E215*[1]Sheet1!$D$10+G215*[1]Sheet1!$F$10+[1]Sheet1!$L$10,IF(D215="S. americanus",F215*[1]Sheet1!$C$6+E215*[1]Sheet1!$D$6+[1]Sheet1!$L$6,IF(AND(OR(D215="T. domingensis",D215="T. latifolia"),E215&gt;0),F215*[1]Sheet1!$C$4+E215*[1]Sheet1!$D$4+H215*[1]Sheet1!$J$4+I215*[1]Sheet1!$K$4+[1]Sheet1!$L$4,IF(AND(OR(D215="T. domingensis",D215="T. latifolia"),J215&gt;0),J215*[1]Sheet1!$G$5+K215*[1]Sheet1!$H$5+L215*[1]Sheet1!$I$5+[1]Sheet1!$L$5,0)))))))</f>
        <v>60.853654000000027</v>
      </c>
      <c r="P215">
        <f t="shared" si="10"/>
        <v>60.853654000000027</v>
      </c>
      <c r="S215">
        <f t="shared" si="11"/>
        <v>7.2106559077499996</v>
      </c>
    </row>
    <row r="216" spans="1:19">
      <c r="A216" s="7">
        <v>42501</v>
      </c>
      <c r="B216" s="6" t="s">
        <v>19</v>
      </c>
      <c r="C216">
        <v>6</v>
      </c>
      <c r="D216" s="6" t="s">
        <v>61</v>
      </c>
      <c r="F216" s="6">
        <v>1.89</v>
      </c>
      <c r="J216">
        <f>89+105+110+135+165+166</f>
        <v>770</v>
      </c>
      <c r="K216">
        <v>6</v>
      </c>
      <c r="L216">
        <v>166</v>
      </c>
      <c r="N216" t="str">
        <f t="shared" si="9"/>
        <v>NA</v>
      </c>
      <c r="O216">
        <f>IF(AND(OR(D216="S. acutus",D216="S. californicus",D216="S. tabernaemontani"),G216=0),E216*[1]Sheet1!$D$7+[1]Sheet1!$L$7,IF(AND(OR(D216="S. acutus",D216="S. tabernaemontani"),G216&gt;0),E216*[1]Sheet1!$D$8+N216*[1]Sheet1!$E$8,IF(AND(D216="S. californicus",G216&gt;0),E216*[1]Sheet1!$D$9+N216*[1]Sheet1!$E$9,IF(D216="S. maritimus",F216*[1]Sheet1!$C$10+E216*[1]Sheet1!$D$10+G216*[1]Sheet1!$F$10+[1]Sheet1!$L$10,IF(D216="S. americanus",F216*[1]Sheet1!$C$6+E216*[1]Sheet1!$D$6+[1]Sheet1!$L$6,IF(AND(OR(D216="T. domingensis",D216="T. latifolia"),E216&gt;0),F216*[1]Sheet1!$C$4+E216*[1]Sheet1!$D$4+H216*[1]Sheet1!$J$4+I216*[1]Sheet1!$K$4+[1]Sheet1!$L$4,IF(AND(OR(D216="T. domingensis",D216="T. latifolia"),J216&gt;0),J216*[1]Sheet1!$G$5+K216*[1]Sheet1!$H$5+L216*[1]Sheet1!$I$5+[1]Sheet1!$L$5,0)))))))</f>
        <v>13.087545999999996</v>
      </c>
      <c r="P216">
        <f t="shared" si="10"/>
        <v>13.087545999999996</v>
      </c>
      <c r="S216">
        <f t="shared" si="11"/>
        <v>2.8055184097499999</v>
      </c>
    </row>
    <row r="217" spans="1:19">
      <c r="A217" s="7">
        <v>42501</v>
      </c>
      <c r="B217" s="6" t="s">
        <v>19</v>
      </c>
      <c r="C217">
        <v>6</v>
      </c>
      <c r="D217" s="6" t="s">
        <v>61</v>
      </c>
      <c r="F217" s="6">
        <v>0.49</v>
      </c>
      <c r="J217">
        <f>19+49</f>
        <v>68</v>
      </c>
      <c r="K217">
        <v>2</v>
      </c>
      <c r="L217">
        <v>49</v>
      </c>
      <c r="N217" t="str">
        <f t="shared" si="9"/>
        <v>NA</v>
      </c>
      <c r="O217">
        <f>IF(AND(OR(D217="S. acutus",D217="S. californicus",D217="S. tabernaemontani"),G217=0),E217*[1]Sheet1!$D$7+[1]Sheet1!$L$7,IF(AND(OR(D217="S. acutus",D217="S. tabernaemontani"),G217&gt;0),E217*[1]Sheet1!$D$8+N217*[1]Sheet1!$E$8,IF(AND(D217="S. californicus",G217&gt;0),E217*[1]Sheet1!$D$9+N217*[1]Sheet1!$E$9,IF(D217="S. maritimus",F217*[1]Sheet1!$C$10+E217*[1]Sheet1!$D$10+G217*[1]Sheet1!$F$10+[1]Sheet1!$L$10,IF(D217="S. americanus",F217*[1]Sheet1!$C$6+E217*[1]Sheet1!$D$6+[1]Sheet1!$L$6,IF(AND(OR(D217="T. domingensis",D217="T. latifolia"),E217&gt;0),F217*[1]Sheet1!$C$4+E217*[1]Sheet1!$D$4+H217*[1]Sheet1!$J$4+I217*[1]Sheet1!$K$4+[1]Sheet1!$L$4,IF(AND(OR(D217="T. domingensis",D217="T. latifolia"),J217&gt;0),J217*[1]Sheet1!$G$5+K217*[1]Sheet1!$H$5+L217*[1]Sheet1!$I$5+[1]Sheet1!$L$5,0)))))))</f>
        <v>10.606612999999999</v>
      </c>
      <c r="P217">
        <f t="shared" si="10"/>
        <v>10.606612999999999</v>
      </c>
      <c r="S217">
        <f t="shared" si="11"/>
        <v>0.18857393974999997</v>
      </c>
    </row>
    <row r="218" spans="1:19">
      <c r="A218" s="7">
        <v>42501</v>
      </c>
      <c r="B218" s="6" t="s">
        <v>19</v>
      </c>
      <c r="C218">
        <v>6</v>
      </c>
      <c r="D218" s="6" t="s">
        <v>61</v>
      </c>
      <c r="E218">
        <v>173</v>
      </c>
      <c r="F218" s="6">
        <v>2.06</v>
      </c>
      <c r="H218">
        <v>31</v>
      </c>
      <c r="I218">
        <v>0.8</v>
      </c>
      <c r="N218" t="str">
        <f t="shared" si="9"/>
        <v>NA</v>
      </c>
      <c r="O218">
        <f>IF(AND(OR(D218="S. acutus",D218="S. californicus",D218="S. tabernaemontani"),G218=0),E218*[1]Sheet1!$D$7+[1]Sheet1!$L$7,IF(AND(OR(D218="S. acutus",D218="S. tabernaemontani"),G218&gt;0),E218*[1]Sheet1!$D$8+N218*[1]Sheet1!$E$8,IF(AND(D218="S. californicus",G218&gt;0),E218*[1]Sheet1!$D$9+N218*[1]Sheet1!$E$9,IF(D218="S. maritimus",F218*[1]Sheet1!$C$10+E218*[1]Sheet1!$D$10+G218*[1]Sheet1!$F$10+[1]Sheet1!$L$10,IF(D218="S. americanus",F218*[1]Sheet1!$C$6+E218*[1]Sheet1!$D$6+[1]Sheet1!$L$6,IF(AND(OR(D218="T. domingensis",D218="T. latifolia"),E218&gt;0),F218*[1]Sheet1!$C$4+E218*[1]Sheet1!$D$4+H218*[1]Sheet1!$J$4+I218*[1]Sheet1!$K$4+[1]Sheet1!$L$4,IF(AND(OR(D218="T. domingensis",D218="T. latifolia"),J218&gt;0),J218*[1]Sheet1!$G$5+K218*[1]Sheet1!$H$5+L218*[1]Sheet1!$I$5+[1]Sheet1!$L$5,0)))))))</f>
        <v>36.882666220000004</v>
      </c>
      <c r="P218">
        <f t="shared" si="10"/>
        <v>36.882666220000004</v>
      </c>
      <c r="S218">
        <f t="shared" si="11"/>
        <v>3.3329128309999998</v>
      </c>
    </row>
    <row r="219" spans="1:19">
      <c r="A219" s="7">
        <v>42501</v>
      </c>
      <c r="B219" s="6" t="s">
        <v>19</v>
      </c>
      <c r="C219">
        <v>6</v>
      </c>
      <c r="D219" s="6" t="s">
        <v>61</v>
      </c>
      <c r="F219" s="6">
        <v>1.54</v>
      </c>
      <c r="J219">
        <f>63+109+119+130+130+152+161+173+185+188+183</f>
        <v>1593</v>
      </c>
      <c r="K219">
        <v>11</v>
      </c>
      <c r="L219">
        <v>188</v>
      </c>
      <c r="N219" t="str">
        <f t="shared" si="9"/>
        <v>NA</v>
      </c>
      <c r="O219">
        <f>IF(AND(OR(D219="S. acutus",D219="S. californicus",D219="S. tabernaemontani"),G219=0),E219*[1]Sheet1!$D$7+[1]Sheet1!$L$7,IF(AND(OR(D219="S. acutus",D219="S. tabernaemontani"),G219&gt;0),E219*[1]Sheet1!$D$8+N219*[1]Sheet1!$E$8,IF(AND(D219="S. californicus",G219&gt;0),E219*[1]Sheet1!$D$9+N219*[1]Sheet1!$E$9,IF(D219="S. maritimus",F219*[1]Sheet1!$C$10+E219*[1]Sheet1!$D$10+G219*[1]Sheet1!$F$10+[1]Sheet1!$L$10,IF(D219="S. americanus",F219*[1]Sheet1!$C$6+E219*[1]Sheet1!$D$6+[1]Sheet1!$L$6,IF(AND(OR(D219="T. domingensis",D219="T. latifolia"),E219&gt;0),F219*[1]Sheet1!$C$4+E219*[1]Sheet1!$D$4+H219*[1]Sheet1!$J$4+I219*[1]Sheet1!$K$4+[1]Sheet1!$L$4,IF(AND(OR(D219="T. domingensis",D219="T. latifolia"),J219&gt;0),J219*[1]Sheet1!$G$5+K219*[1]Sheet1!$H$5+L219*[1]Sheet1!$I$5+[1]Sheet1!$L$5,0)))))))</f>
        <v>48.50875600000002</v>
      </c>
      <c r="P219">
        <f t="shared" si="10"/>
        <v>48.50875600000002</v>
      </c>
      <c r="S219">
        <f t="shared" si="11"/>
        <v>1.8626487109999998</v>
      </c>
    </row>
    <row r="220" spans="1:19">
      <c r="A220" s="7">
        <v>42501</v>
      </c>
      <c r="B220" s="6" t="s">
        <v>19</v>
      </c>
      <c r="C220">
        <v>6</v>
      </c>
      <c r="D220" s="6" t="s">
        <v>61</v>
      </c>
      <c r="F220" s="6">
        <v>1.2</v>
      </c>
      <c r="J220">
        <f>88+108+116</f>
        <v>312</v>
      </c>
      <c r="K220">
        <v>3</v>
      </c>
      <c r="L220">
        <v>116</v>
      </c>
      <c r="N220" t="str">
        <f t="shared" si="9"/>
        <v>NA</v>
      </c>
      <c r="O220">
        <f>IF(AND(OR(D220="S. acutus",D220="S. californicus",D220="S. tabernaemontani"),G220=0),E220*[1]Sheet1!$D$7+[1]Sheet1!$L$7,IF(AND(OR(D220="S. acutus",D220="S. tabernaemontani"),G220&gt;0),E220*[1]Sheet1!$D$8+N220*[1]Sheet1!$E$8,IF(AND(D220="S. californicus",G220&gt;0),E220*[1]Sheet1!$D$9+N220*[1]Sheet1!$E$9,IF(D220="S. maritimus",F220*[1]Sheet1!$C$10+E220*[1]Sheet1!$D$10+G220*[1]Sheet1!$F$10+[1]Sheet1!$L$10,IF(D220="S. americanus",F220*[1]Sheet1!$C$6+E220*[1]Sheet1!$D$6+[1]Sheet1!$L$6,IF(AND(OR(D220="T. domingensis",D220="T. latifolia"),E220&gt;0),F220*[1]Sheet1!$C$4+E220*[1]Sheet1!$D$4+H220*[1]Sheet1!$J$4+I220*[1]Sheet1!$K$4+[1]Sheet1!$L$4,IF(AND(OR(D220="T. domingensis",D220="T. latifolia"),J220&gt;0),J220*[1]Sheet1!$G$5+K220*[1]Sheet1!$H$5+L220*[1]Sheet1!$I$5+[1]Sheet1!$L$5,0)))))))</f>
        <v>6.2770649999999968</v>
      </c>
      <c r="P220">
        <f t="shared" si="10"/>
        <v>6.2770649999999968</v>
      </c>
      <c r="S220">
        <f t="shared" si="11"/>
        <v>1.1309723999999999</v>
      </c>
    </row>
    <row r="221" spans="1:19">
      <c r="A221" s="7">
        <v>42501</v>
      </c>
      <c r="B221" s="6" t="s">
        <v>19</v>
      </c>
      <c r="C221">
        <v>6</v>
      </c>
      <c r="D221" s="6" t="s">
        <v>61</v>
      </c>
      <c r="F221" s="6">
        <v>4.2</v>
      </c>
      <c r="J221">
        <f>108+130+161+156+180+195+206+214+212+223</f>
        <v>1785</v>
      </c>
      <c r="K221">
        <v>11</v>
      </c>
      <c r="L221">
        <v>223</v>
      </c>
      <c r="N221" t="str">
        <f t="shared" si="9"/>
        <v>NA</v>
      </c>
      <c r="O221">
        <f>IF(AND(OR(D221="S. acutus",D221="S. californicus",D221="S. tabernaemontani"),G221=0),E221*[1]Sheet1!$D$7+[1]Sheet1!$L$7,IF(AND(OR(D221="S. acutus",D221="S. tabernaemontani"),G221&gt;0),E221*[1]Sheet1!$D$8+N221*[1]Sheet1!$E$8,IF(AND(D221="S. californicus",G221&gt;0),E221*[1]Sheet1!$D$9+N221*[1]Sheet1!$E$9,IF(D221="S. maritimus",F221*[1]Sheet1!$C$10+E221*[1]Sheet1!$D$10+G221*[1]Sheet1!$F$10+[1]Sheet1!$L$10,IF(D221="S. americanus",F221*[1]Sheet1!$C$6+E221*[1]Sheet1!$D$6+[1]Sheet1!$L$6,IF(AND(OR(D221="T. domingensis",D221="T. latifolia"),E221&gt;0),F221*[1]Sheet1!$C$4+E221*[1]Sheet1!$D$4+H221*[1]Sheet1!$J$4+I221*[1]Sheet1!$K$4+[1]Sheet1!$L$4,IF(AND(OR(D221="T. domingensis",D221="T. latifolia"),J221&gt;0),J221*[1]Sheet1!$G$5+K221*[1]Sheet1!$H$5+L221*[1]Sheet1!$I$5+[1]Sheet1!$L$5,0)))))))</f>
        <v>55.966141000000015</v>
      </c>
      <c r="P221">
        <f t="shared" si="10"/>
        <v>55.966141000000015</v>
      </c>
      <c r="S221">
        <f t="shared" si="11"/>
        <v>13.854411900000001</v>
      </c>
    </row>
    <row r="222" spans="1:19">
      <c r="A222" s="7">
        <v>42501</v>
      </c>
      <c r="B222" s="6" t="s">
        <v>19</v>
      </c>
      <c r="C222">
        <v>6</v>
      </c>
      <c r="D222" s="6" t="s">
        <v>61</v>
      </c>
      <c r="E222">
        <v>188</v>
      </c>
      <c r="F222" s="6">
        <v>3.25</v>
      </c>
      <c r="H222">
        <v>30</v>
      </c>
      <c r="I222">
        <v>1.8</v>
      </c>
      <c r="N222" t="str">
        <f t="shared" si="9"/>
        <v>NA</v>
      </c>
      <c r="O222">
        <f>IF(AND(OR(D222="S. acutus",D222="S. californicus",D222="S. tabernaemontani"),G222=0),E222*[1]Sheet1!$D$7+[1]Sheet1!$L$7,IF(AND(OR(D222="S. acutus",D222="S. tabernaemontani"),G222&gt;0),E222*[1]Sheet1!$D$8+N222*[1]Sheet1!$E$8,IF(AND(D222="S. californicus",G222&gt;0),E222*[1]Sheet1!$D$9+N222*[1]Sheet1!$E$9,IF(D222="S. maritimus",F222*[1]Sheet1!$C$10+E222*[1]Sheet1!$D$10+G222*[1]Sheet1!$F$10+[1]Sheet1!$L$10,IF(D222="S. americanus",F222*[1]Sheet1!$C$6+E222*[1]Sheet1!$D$6+[1]Sheet1!$L$6,IF(AND(OR(D222="T. domingensis",D222="T. latifolia"),E222&gt;0),F222*[1]Sheet1!$C$4+E222*[1]Sheet1!$D$4+H222*[1]Sheet1!$J$4+I222*[1]Sheet1!$K$4+[1]Sheet1!$L$4,IF(AND(OR(D222="T. domingensis",D222="T. latifolia"),J222&gt;0),J222*[1]Sheet1!$G$5+K222*[1]Sheet1!$H$5+L222*[1]Sheet1!$I$5+[1]Sheet1!$L$5,0)))))))</f>
        <v>80.909305250000017</v>
      </c>
      <c r="P222">
        <f t="shared" si="10"/>
        <v>80.909305250000017</v>
      </c>
      <c r="S222">
        <f t="shared" si="11"/>
        <v>8.2957610937500004</v>
      </c>
    </row>
    <row r="223" spans="1:19">
      <c r="A223" s="7">
        <v>42501</v>
      </c>
      <c r="B223" s="6" t="s">
        <v>19</v>
      </c>
      <c r="C223">
        <v>6</v>
      </c>
      <c r="D223" s="6" t="s">
        <v>61</v>
      </c>
      <c r="F223" s="6">
        <v>3.5</v>
      </c>
      <c r="J223">
        <f>99+85+105+106+152+164+167+179</f>
        <v>1057</v>
      </c>
      <c r="K223">
        <v>8</v>
      </c>
      <c r="L223">
        <v>179</v>
      </c>
      <c r="N223" t="str">
        <f t="shared" si="9"/>
        <v>NA</v>
      </c>
      <c r="O223">
        <f>IF(AND(OR(D223="S. acutus",D223="S. californicus",D223="S. tabernaemontani"),G223=0),E223*[1]Sheet1!$D$7+[1]Sheet1!$L$7,IF(AND(OR(D223="S. acutus",D223="S. tabernaemontani"),G223&gt;0),E223*[1]Sheet1!$D$8+N223*[1]Sheet1!$E$8,IF(AND(D223="S. californicus",G223&gt;0),E223*[1]Sheet1!$D$9+N223*[1]Sheet1!$E$9,IF(D223="S. maritimus",F223*[1]Sheet1!$C$10+E223*[1]Sheet1!$D$10+G223*[1]Sheet1!$F$10+[1]Sheet1!$L$10,IF(D223="S. americanus",F223*[1]Sheet1!$C$6+E223*[1]Sheet1!$D$6+[1]Sheet1!$L$6,IF(AND(OR(D223="T. domingensis",D223="T. latifolia"),E223&gt;0),F223*[1]Sheet1!$C$4+E223*[1]Sheet1!$D$4+H223*[1]Sheet1!$J$4+I223*[1]Sheet1!$K$4+[1]Sheet1!$L$4,IF(AND(OR(D223="T. domingensis",D223="T. latifolia"),J223&gt;0),J223*[1]Sheet1!$G$5+K223*[1]Sheet1!$H$5+L223*[1]Sheet1!$I$5+[1]Sheet1!$L$5,0)))))))</f>
        <v>22.03434</v>
      </c>
      <c r="P223">
        <f t="shared" si="10"/>
        <v>22.03434</v>
      </c>
      <c r="S223">
        <f t="shared" si="11"/>
        <v>9.6211193749999993</v>
      </c>
    </row>
    <row r="224" spans="1:19">
      <c r="A224" s="7">
        <v>42501</v>
      </c>
      <c r="B224" s="6" t="s">
        <v>19</v>
      </c>
      <c r="C224">
        <v>6</v>
      </c>
      <c r="D224" s="6" t="s">
        <v>61</v>
      </c>
      <c r="F224" s="6">
        <v>1.5</v>
      </c>
      <c r="J224">
        <f>109+103+111+123+133+138+163+164</f>
        <v>1044</v>
      </c>
      <c r="K224">
        <v>8</v>
      </c>
      <c r="L224">
        <v>164</v>
      </c>
      <c r="N224" t="str">
        <f t="shared" si="9"/>
        <v>NA</v>
      </c>
      <c r="O224">
        <f>IF(AND(OR(D224="S. acutus",D224="S. californicus",D224="S. tabernaemontani"),G224=0),E224*[1]Sheet1!$D$7+[1]Sheet1!$L$7,IF(AND(OR(D224="S. acutus",D224="S. tabernaemontani"),G224&gt;0),E224*[1]Sheet1!$D$8+N224*[1]Sheet1!$E$8,IF(AND(D224="S. californicus",G224&gt;0),E224*[1]Sheet1!$D$9+N224*[1]Sheet1!$E$9,IF(D224="S. maritimus",F224*[1]Sheet1!$C$10+E224*[1]Sheet1!$D$10+G224*[1]Sheet1!$F$10+[1]Sheet1!$L$10,IF(D224="S. americanus",F224*[1]Sheet1!$C$6+E224*[1]Sheet1!$D$6+[1]Sheet1!$L$6,IF(AND(OR(D224="T. domingensis",D224="T. latifolia"),E224&gt;0),F224*[1]Sheet1!$C$4+E224*[1]Sheet1!$D$4+H224*[1]Sheet1!$J$4+I224*[1]Sheet1!$K$4+[1]Sheet1!$L$4,IF(AND(OR(D224="T. domingensis",D224="T. latifolia"),J224&gt;0),J224*[1]Sheet1!$G$5+K224*[1]Sheet1!$H$5+L224*[1]Sheet1!$I$5+[1]Sheet1!$L$5,0)))))))</f>
        <v>25.33420000000001</v>
      </c>
      <c r="P224">
        <f t="shared" si="10"/>
        <v>25.33420000000001</v>
      </c>
      <c r="S224">
        <f t="shared" si="11"/>
        <v>1.767144375</v>
      </c>
    </row>
    <row r="225" spans="1:19">
      <c r="A225" s="7">
        <v>42501</v>
      </c>
      <c r="B225" s="6" t="s">
        <v>19</v>
      </c>
      <c r="C225">
        <v>6</v>
      </c>
      <c r="D225" s="6" t="s">
        <v>61</v>
      </c>
      <c r="F225" s="6">
        <v>3.18</v>
      </c>
      <c r="J225">
        <f>105+105+115+131+151+152+172</f>
        <v>931</v>
      </c>
      <c r="K225">
        <v>7</v>
      </c>
      <c r="L225">
        <v>172</v>
      </c>
      <c r="N225" t="str">
        <f t="shared" si="9"/>
        <v>NA</v>
      </c>
      <c r="O225">
        <f>IF(AND(OR(D225="S. acutus",D225="S. californicus",D225="S. tabernaemontani"),G225=0),E225*[1]Sheet1!$D$7+[1]Sheet1!$L$7,IF(AND(OR(D225="S. acutus",D225="S. tabernaemontani"),G225&gt;0),E225*[1]Sheet1!$D$8+N225*[1]Sheet1!$E$8,IF(AND(D225="S. californicus",G225&gt;0),E225*[1]Sheet1!$D$9+N225*[1]Sheet1!$E$9,IF(D225="S. maritimus",F225*[1]Sheet1!$C$10+E225*[1]Sheet1!$D$10+G225*[1]Sheet1!$F$10+[1]Sheet1!$L$10,IF(D225="S. americanus",F225*[1]Sheet1!$C$6+E225*[1]Sheet1!$D$6+[1]Sheet1!$L$6,IF(AND(OR(D225="T. domingensis",D225="T. latifolia"),E225&gt;0),F225*[1]Sheet1!$C$4+E225*[1]Sheet1!$D$4+H225*[1]Sheet1!$J$4+I225*[1]Sheet1!$K$4+[1]Sheet1!$L$4,IF(AND(OR(D225="T. domingensis",D225="T. latifolia"),J225&gt;0),J225*[1]Sheet1!$G$5+K225*[1]Sheet1!$H$5+L225*[1]Sheet1!$I$5+[1]Sheet1!$L$5,0)))))))</f>
        <v>19.352278000000005</v>
      </c>
      <c r="P225">
        <f t="shared" si="10"/>
        <v>19.352278000000005</v>
      </c>
      <c r="S225">
        <f t="shared" si="11"/>
        <v>7.9422536790000002</v>
      </c>
    </row>
    <row r="226" spans="1:19">
      <c r="A226" s="7">
        <v>42501</v>
      </c>
      <c r="B226" s="6" t="s">
        <v>19</v>
      </c>
      <c r="C226">
        <v>6</v>
      </c>
      <c r="D226" s="6" t="s">
        <v>61</v>
      </c>
      <c r="F226" s="6">
        <v>2.08</v>
      </c>
      <c r="J226">
        <f>60+88+111+125+132+150+154+168+170+171</f>
        <v>1329</v>
      </c>
      <c r="K226">
        <v>10</v>
      </c>
      <c r="L226">
        <v>171</v>
      </c>
      <c r="N226" t="str">
        <f t="shared" si="9"/>
        <v>NA</v>
      </c>
      <c r="O226">
        <f>IF(AND(OR(D226="S. acutus",D226="S. californicus",D226="S. tabernaemontani"),G226=0),E226*[1]Sheet1!$D$7+[1]Sheet1!$L$7,IF(AND(OR(D226="S. acutus",D226="S. tabernaemontani"),G226&gt;0),E226*[1]Sheet1!$D$8+N226*[1]Sheet1!$E$8,IF(AND(D226="S. californicus",G226&gt;0),E226*[1]Sheet1!$D$9+N226*[1]Sheet1!$E$9,IF(D226="S. maritimus",F226*[1]Sheet1!$C$10+E226*[1]Sheet1!$D$10+G226*[1]Sheet1!$F$10+[1]Sheet1!$L$10,IF(D226="S. americanus",F226*[1]Sheet1!$C$6+E226*[1]Sheet1!$D$6+[1]Sheet1!$L$6,IF(AND(OR(D226="T. domingensis",D226="T. latifolia"),E226&gt;0),F226*[1]Sheet1!$C$4+E226*[1]Sheet1!$D$4+H226*[1]Sheet1!$J$4+I226*[1]Sheet1!$K$4+[1]Sheet1!$L$4,IF(AND(OR(D226="T. domingensis",D226="T. latifolia"),J226&gt;0),J226*[1]Sheet1!$G$5+K226*[1]Sheet1!$H$5+L226*[1]Sheet1!$I$5+[1]Sheet1!$L$5,0)))))))</f>
        <v>35.900954000000006</v>
      </c>
      <c r="P226">
        <f t="shared" si="10"/>
        <v>35.900954000000006</v>
      </c>
      <c r="S226">
        <f t="shared" si="11"/>
        <v>3.3979437440000004</v>
      </c>
    </row>
    <row r="227" spans="1:19">
      <c r="A227" s="7">
        <v>42501</v>
      </c>
      <c r="B227" s="6" t="s">
        <v>19</v>
      </c>
      <c r="C227">
        <v>6</v>
      </c>
      <c r="D227" s="6" t="s">
        <v>61</v>
      </c>
      <c r="F227" s="6">
        <v>1.1000000000000001</v>
      </c>
      <c r="J227">
        <f>29+54+64+68+91+93</f>
        <v>399</v>
      </c>
      <c r="K227">
        <v>6</v>
      </c>
      <c r="L227">
        <v>93</v>
      </c>
      <c r="N227" t="str">
        <f t="shared" si="9"/>
        <v>NA</v>
      </c>
      <c r="O227">
        <f>IF(AND(OR(D227="S. acutus",D227="S. californicus",D227="S. tabernaemontani"),G227=0),E227*[1]Sheet1!$D$7+[1]Sheet1!$L$7,IF(AND(OR(D227="S. acutus",D227="S. tabernaemontani"),G227&gt;0),E227*[1]Sheet1!$D$8+N227*[1]Sheet1!$E$8,IF(AND(D227="S. californicus",G227&gt;0),E227*[1]Sheet1!$D$9+N227*[1]Sheet1!$E$9,IF(D227="S. maritimus",F227*[1]Sheet1!$C$10+E227*[1]Sheet1!$D$10+G227*[1]Sheet1!$F$10+[1]Sheet1!$L$10,IF(D227="S. americanus",F227*[1]Sheet1!$C$6+E227*[1]Sheet1!$D$6+[1]Sheet1!$L$6,IF(AND(OR(D227="T. domingensis",D227="T. latifolia"),E227&gt;0),F227*[1]Sheet1!$C$4+E227*[1]Sheet1!$D$4+H227*[1]Sheet1!$J$4+I227*[1]Sheet1!$K$4+[1]Sheet1!$L$4,IF(AND(OR(D227="T. domingensis",D227="T. latifolia"),J227&gt;0),J227*[1]Sheet1!$G$5+K227*[1]Sheet1!$H$5+L227*[1]Sheet1!$I$5+[1]Sheet1!$L$5,0)))))))</f>
        <v>0.29532599999999576</v>
      </c>
      <c r="P227">
        <f t="shared" si="10"/>
        <v>0.29532599999999576</v>
      </c>
      <c r="S227">
        <f t="shared" si="11"/>
        <v>0.95033097500000008</v>
      </c>
    </row>
    <row r="228" spans="1:19">
      <c r="A228" s="7">
        <v>42501</v>
      </c>
      <c r="B228" s="6" t="s">
        <v>19</v>
      </c>
      <c r="C228">
        <v>6</v>
      </c>
      <c r="D228" s="6" t="s">
        <v>61</v>
      </c>
      <c r="F228" s="6">
        <v>2.8</v>
      </c>
      <c r="J228">
        <f>83+104+104+124+146+148+150</f>
        <v>859</v>
      </c>
      <c r="K228">
        <v>7</v>
      </c>
      <c r="L228">
        <v>150</v>
      </c>
      <c r="N228" t="str">
        <f t="shared" si="9"/>
        <v>NA</v>
      </c>
      <c r="O228">
        <f>IF(AND(OR(D228="S. acutus",D228="S. californicus",D228="S. tabernaemontani"),G228=0),E228*[1]Sheet1!$D$7+[1]Sheet1!$L$7,IF(AND(OR(D228="S. acutus",D228="S. tabernaemontani"),G228&gt;0),E228*[1]Sheet1!$D$8+N228*[1]Sheet1!$E$8,IF(AND(D228="S. californicus",G228&gt;0),E228*[1]Sheet1!$D$9+N228*[1]Sheet1!$E$9,IF(D228="S. maritimus",F228*[1]Sheet1!$C$10+E228*[1]Sheet1!$D$10+G228*[1]Sheet1!$F$10+[1]Sheet1!$L$10,IF(D228="S. americanus",F228*[1]Sheet1!$C$6+E228*[1]Sheet1!$D$6+[1]Sheet1!$L$6,IF(AND(OR(D228="T. domingensis",D228="T. latifolia"),E228&gt;0),F228*[1]Sheet1!$C$4+E228*[1]Sheet1!$D$4+H228*[1]Sheet1!$J$4+I228*[1]Sheet1!$K$4+[1]Sheet1!$L$4,IF(AND(OR(D228="T. domingensis",D228="T. latifolia"),J228&gt;0),J228*[1]Sheet1!$G$5+K228*[1]Sheet1!$H$5+L228*[1]Sheet1!$I$5+[1]Sheet1!$L$5,0)))))))</f>
        <v>19.229308000000003</v>
      </c>
      <c r="P228">
        <f t="shared" si="10"/>
        <v>19.229308000000003</v>
      </c>
      <c r="S228">
        <f t="shared" si="11"/>
        <v>6.1575163999999987</v>
      </c>
    </row>
    <row r="229" spans="1:19">
      <c r="A229" s="7">
        <v>42501</v>
      </c>
      <c r="B229" s="6" t="s">
        <v>19</v>
      </c>
      <c r="C229">
        <v>6</v>
      </c>
      <c r="D229" s="6" t="s">
        <v>61</v>
      </c>
      <c r="F229" s="6">
        <v>1.42</v>
      </c>
      <c r="J229">
        <f>56+75+56+64+71+66+86</f>
        <v>474</v>
      </c>
      <c r="K229">
        <v>7</v>
      </c>
      <c r="L229">
        <v>86</v>
      </c>
      <c r="N229" t="str">
        <f t="shared" si="9"/>
        <v>NA</v>
      </c>
      <c r="O229">
        <f>IF(AND(OR(D229="S. acutus",D229="S. californicus",D229="S. tabernaemontani"),G229=0),E229*[1]Sheet1!$D$7+[1]Sheet1!$L$7,IF(AND(OR(D229="S. acutus",D229="S. tabernaemontani"),G229&gt;0),E229*[1]Sheet1!$D$8+N229*[1]Sheet1!$E$8,IF(AND(D229="S. californicus",G229&gt;0),E229*[1]Sheet1!$D$9+N229*[1]Sheet1!$E$9,IF(D229="S. maritimus",F229*[1]Sheet1!$C$10+E229*[1]Sheet1!$D$10+G229*[1]Sheet1!$F$10+[1]Sheet1!$L$10,IF(D229="S. americanus",F229*[1]Sheet1!$C$6+E229*[1]Sheet1!$D$6+[1]Sheet1!$L$6,IF(AND(OR(D229="T. domingensis",D229="T. latifolia"),E229&gt;0),F229*[1]Sheet1!$C$4+E229*[1]Sheet1!$D$4+H229*[1]Sheet1!$J$4+I229*[1]Sheet1!$K$4+[1]Sheet1!$L$4,IF(AND(OR(D229="T. domingensis",D229="T. latifolia"),J229&gt;0),J229*[1]Sheet1!$G$5+K229*[1]Sheet1!$H$5+L229*[1]Sheet1!$I$5+[1]Sheet1!$L$5,0)))))))</f>
        <v>2.4133130000000023</v>
      </c>
      <c r="P229">
        <f t="shared" si="10"/>
        <v>2.4133130000000023</v>
      </c>
      <c r="S229">
        <f t="shared" si="11"/>
        <v>1.5836755189999998</v>
      </c>
    </row>
    <row r="230" spans="1:19">
      <c r="A230" s="7">
        <v>42501</v>
      </c>
      <c r="B230" s="6" t="s">
        <v>19</v>
      </c>
      <c r="C230">
        <v>6</v>
      </c>
      <c r="D230" s="6" t="s">
        <v>61</v>
      </c>
      <c r="F230" s="6">
        <v>0.61</v>
      </c>
      <c r="J230">
        <f>11+32+39+40</f>
        <v>122</v>
      </c>
      <c r="K230">
        <v>4</v>
      </c>
      <c r="L230">
        <v>40</v>
      </c>
      <c r="N230" t="str">
        <f t="shared" si="9"/>
        <v>NA</v>
      </c>
      <c r="O230">
        <f>IF(AND(OR(D230="S. acutus",D230="S. californicus",D230="S. tabernaemontani"),G230=0),E230*[1]Sheet1!$D$7+[1]Sheet1!$L$7,IF(AND(OR(D230="S. acutus",D230="S. tabernaemontani"),G230&gt;0),E230*[1]Sheet1!$D$8+N230*[1]Sheet1!$E$8,IF(AND(D230="S. californicus",G230&gt;0),E230*[1]Sheet1!$D$9+N230*[1]Sheet1!$E$9,IF(D230="S. maritimus",F230*[1]Sheet1!$C$10+E230*[1]Sheet1!$D$10+G230*[1]Sheet1!$F$10+[1]Sheet1!$L$10,IF(D230="S. americanus",F230*[1]Sheet1!$C$6+E230*[1]Sheet1!$D$6+[1]Sheet1!$L$6,IF(AND(OR(D230="T. domingensis",D230="T. latifolia"),E230&gt;0),F230*[1]Sheet1!$C$4+E230*[1]Sheet1!$D$4+H230*[1]Sheet1!$J$4+I230*[1]Sheet1!$K$4+[1]Sheet1!$L$4,IF(AND(OR(D230="T. domingensis",D230="T. latifolia"),J230&gt;0),J230*[1]Sheet1!$G$5+K230*[1]Sheet1!$H$5+L230*[1]Sheet1!$I$5+[1]Sheet1!$L$5,0)))))))</f>
        <v>4.335881999999998</v>
      </c>
      <c r="P230">
        <f t="shared" si="10"/>
        <v>4.335881999999998</v>
      </c>
      <c r="S230">
        <f t="shared" si="11"/>
        <v>0.29224640974999999</v>
      </c>
    </row>
    <row r="231" spans="1:19">
      <c r="A231" s="7">
        <v>42501</v>
      </c>
      <c r="B231" s="6" t="s">
        <v>19</v>
      </c>
      <c r="C231">
        <v>6</v>
      </c>
      <c r="D231" s="6" t="s">
        <v>61</v>
      </c>
      <c r="F231" s="6">
        <v>2.5299999999999998</v>
      </c>
      <c r="J231">
        <f>87+89+116+123+138+150</f>
        <v>703</v>
      </c>
      <c r="K231">
        <v>6</v>
      </c>
      <c r="L231">
        <v>150</v>
      </c>
      <c r="N231" t="str">
        <f t="shared" si="9"/>
        <v>NA</v>
      </c>
      <c r="O231">
        <f>IF(AND(OR(D231="S. acutus",D231="S. californicus",D231="S. tabernaemontani"),G231=0),E231*[1]Sheet1!$D$7+[1]Sheet1!$L$7,IF(AND(OR(D231="S. acutus",D231="S. tabernaemontani"),G231&gt;0),E231*[1]Sheet1!$D$8+N231*[1]Sheet1!$E$8,IF(AND(D231="S. californicus",G231&gt;0),E231*[1]Sheet1!$D$9+N231*[1]Sheet1!$E$9,IF(D231="S. maritimus",F231*[1]Sheet1!$C$10+E231*[1]Sheet1!$D$10+G231*[1]Sheet1!$F$10+[1]Sheet1!$L$10,IF(D231="S. americanus",F231*[1]Sheet1!$C$6+E231*[1]Sheet1!$D$6+[1]Sheet1!$L$6,IF(AND(OR(D231="T. domingensis",D231="T. latifolia"),E231&gt;0),F231*[1]Sheet1!$C$4+E231*[1]Sheet1!$D$4+H231*[1]Sheet1!$J$4+I231*[1]Sheet1!$K$4+[1]Sheet1!$L$4,IF(AND(OR(D231="T. domingensis",D231="T. latifolia"),J231&gt;0),J231*[1]Sheet1!$G$5+K231*[1]Sheet1!$H$5+L231*[1]Sheet1!$I$5+[1]Sheet1!$L$5,0)))))))</f>
        <v>11.625881000000007</v>
      </c>
      <c r="P231">
        <f t="shared" si="10"/>
        <v>11.625881000000007</v>
      </c>
      <c r="S231">
        <f t="shared" si="11"/>
        <v>5.0272508577499995</v>
      </c>
    </row>
    <row r="232" spans="1:19">
      <c r="A232" s="7">
        <v>42501</v>
      </c>
      <c r="B232" s="6" t="s">
        <v>19</v>
      </c>
      <c r="C232">
        <v>6</v>
      </c>
      <c r="D232" s="6" t="s">
        <v>61</v>
      </c>
      <c r="F232" s="6">
        <v>2.85</v>
      </c>
      <c r="J232">
        <f>88+119+146+151+169+175+175</f>
        <v>1023</v>
      </c>
      <c r="K232">
        <v>7</v>
      </c>
      <c r="L232">
        <v>175</v>
      </c>
      <c r="N232" t="str">
        <f t="shared" si="9"/>
        <v>NA</v>
      </c>
      <c r="O232">
        <f>IF(AND(OR(D232="S. acutus",D232="S. californicus",D232="S. tabernaemontani"),G232=0),E232*[1]Sheet1!$D$7+[1]Sheet1!$L$7,IF(AND(OR(D232="S. acutus",D232="S. tabernaemontani"),G232&gt;0),E232*[1]Sheet1!$D$8+N232*[1]Sheet1!$E$8,IF(AND(D232="S. californicus",G232&gt;0),E232*[1]Sheet1!$D$9+N232*[1]Sheet1!$E$9,IF(D232="S. maritimus",F232*[1]Sheet1!$C$10+E232*[1]Sheet1!$D$10+G232*[1]Sheet1!$F$10+[1]Sheet1!$L$10,IF(D232="S. americanus",F232*[1]Sheet1!$C$6+E232*[1]Sheet1!$D$6+[1]Sheet1!$L$6,IF(AND(OR(D232="T. domingensis",D232="T. latifolia"),E232&gt;0),F232*[1]Sheet1!$C$4+E232*[1]Sheet1!$D$4+H232*[1]Sheet1!$J$4+I232*[1]Sheet1!$K$4+[1]Sheet1!$L$4,IF(AND(OR(D232="T. domingensis",D232="T. latifolia"),J232&gt;0),J232*[1]Sheet1!$G$5+K232*[1]Sheet1!$H$5+L232*[1]Sheet1!$I$5+[1]Sheet1!$L$5,0)))))))</f>
        <v>27.074003000000005</v>
      </c>
      <c r="P232">
        <f t="shared" si="10"/>
        <v>27.074003000000005</v>
      </c>
      <c r="S232">
        <f t="shared" si="11"/>
        <v>6.3793911937500001</v>
      </c>
    </row>
    <row r="233" spans="1:19">
      <c r="A233" s="7">
        <v>42501</v>
      </c>
      <c r="B233" s="6" t="s">
        <v>19</v>
      </c>
      <c r="C233">
        <v>6</v>
      </c>
      <c r="D233" s="6" t="s">
        <v>61</v>
      </c>
      <c r="F233" s="6">
        <v>1.41</v>
      </c>
      <c r="J233">
        <f>67+78+80+84</f>
        <v>309</v>
      </c>
      <c r="K233">
        <v>4</v>
      </c>
      <c r="L233">
        <v>84</v>
      </c>
      <c r="N233" t="str">
        <f t="shared" si="9"/>
        <v>NA</v>
      </c>
      <c r="O233">
        <f>IF(AND(OR(D233="S. acutus",D233="S. californicus",D233="S. tabernaemontani"),G233=0),E233*[1]Sheet1!$D$7+[1]Sheet1!$L$7,IF(AND(OR(D233="S. acutus",D233="S. tabernaemontani"),G233&gt;0),E233*[1]Sheet1!$D$8+N233*[1]Sheet1!$E$8,IF(AND(D233="S. californicus",G233&gt;0),E233*[1]Sheet1!$D$9+N233*[1]Sheet1!$E$9,IF(D233="S. maritimus",F233*[1]Sheet1!$C$10+E233*[1]Sheet1!$D$10+G233*[1]Sheet1!$F$10+[1]Sheet1!$L$10,IF(D233="S. americanus",F233*[1]Sheet1!$C$6+E233*[1]Sheet1!$D$6+[1]Sheet1!$L$6,IF(AND(OR(D233="T. domingensis",D233="T. latifolia"),E233&gt;0),F233*[1]Sheet1!$C$4+E233*[1]Sheet1!$D$4+H233*[1]Sheet1!$J$4+I233*[1]Sheet1!$K$4+[1]Sheet1!$L$4,IF(AND(OR(D233="T. domingensis",D233="T. latifolia"),J233&gt;0),J233*[1]Sheet1!$G$5+K233*[1]Sheet1!$H$5+L233*[1]Sheet1!$I$5+[1]Sheet1!$L$5,0)))))))</f>
        <v>8.6132869999999997</v>
      </c>
      <c r="P233">
        <f t="shared" si="10"/>
        <v>8.6132869999999997</v>
      </c>
      <c r="S233">
        <f t="shared" si="11"/>
        <v>1.5614487697499997</v>
      </c>
    </row>
    <row r="234" spans="1:19">
      <c r="A234" s="7">
        <v>42501</v>
      </c>
      <c r="B234" s="6" t="s">
        <v>19</v>
      </c>
      <c r="C234">
        <v>6</v>
      </c>
      <c r="D234" s="6" t="s">
        <v>61</v>
      </c>
      <c r="F234" s="6">
        <v>2.94</v>
      </c>
      <c r="J234">
        <f>81+110+132+149+156+164+169+172</f>
        <v>1133</v>
      </c>
      <c r="K234">
        <v>8</v>
      </c>
      <c r="L234">
        <v>172</v>
      </c>
      <c r="N234" t="str">
        <f t="shared" si="9"/>
        <v>NA</v>
      </c>
      <c r="O234">
        <f>IF(AND(OR(D234="S. acutus",D234="S. californicus",D234="S. tabernaemontani"),G234=0),E234*[1]Sheet1!$D$7+[1]Sheet1!$L$7,IF(AND(OR(D234="S. acutus",D234="S. tabernaemontani"),G234&gt;0),E234*[1]Sheet1!$D$8+N234*[1]Sheet1!$E$8,IF(AND(D234="S. californicus",G234&gt;0),E234*[1]Sheet1!$D$9+N234*[1]Sheet1!$E$9,IF(D234="S. maritimus",F234*[1]Sheet1!$C$10+E234*[1]Sheet1!$D$10+G234*[1]Sheet1!$F$10+[1]Sheet1!$L$10,IF(D234="S. americanus",F234*[1]Sheet1!$C$6+E234*[1]Sheet1!$D$6+[1]Sheet1!$L$6,IF(AND(OR(D234="T. domingensis",D234="T. latifolia"),E234&gt;0),F234*[1]Sheet1!$C$4+E234*[1]Sheet1!$D$4+H234*[1]Sheet1!$J$4+I234*[1]Sheet1!$K$4+[1]Sheet1!$L$4,IF(AND(OR(D234="T. domingensis",D234="T. latifolia"),J234&gt;0),J234*[1]Sheet1!$G$5+K234*[1]Sheet1!$H$5+L234*[1]Sheet1!$I$5+[1]Sheet1!$L$5,0)))))))</f>
        <v>31.268435000000011</v>
      </c>
      <c r="P234">
        <f t="shared" si="10"/>
        <v>31.268435000000011</v>
      </c>
      <c r="S234">
        <f t="shared" si="11"/>
        <v>6.7886618309999989</v>
      </c>
    </row>
    <row r="235" spans="1:19">
      <c r="A235" s="7">
        <v>42501</v>
      </c>
      <c r="B235" s="6" t="s">
        <v>19</v>
      </c>
      <c r="C235">
        <v>6</v>
      </c>
      <c r="D235" s="6" t="s">
        <v>61</v>
      </c>
      <c r="F235" s="6">
        <v>3.24</v>
      </c>
      <c r="J235">
        <f>88+117+140+148+156+172+172+189+194+205+211</f>
        <v>1792</v>
      </c>
      <c r="K235">
        <v>11</v>
      </c>
      <c r="L235">
        <v>211</v>
      </c>
      <c r="N235" t="str">
        <f t="shared" si="9"/>
        <v>NA</v>
      </c>
      <c r="O235">
        <f>IF(AND(OR(D235="S. acutus",D235="S. californicus",D235="S. tabernaemontani"),G235=0),E235*[1]Sheet1!$D$7+[1]Sheet1!$L$7,IF(AND(OR(D235="S. acutus",D235="S. tabernaemontani"),G235&gt;0),E235*[1]Sheet1!$D$8+N235*[1]Sheet1!$E$8,IF(AND(D235="S. californicus",G235&gt;0),E235*[1]Sheet1!$D$9+N235*[1]Sheet1!$E$9,IF(D235="S. maritimus",F235*[1]Sheet1!$C$10+E235*[1]Sheet1!$D$10+G235*[1]Sheet1!$F$10+[1]Sheet1!$L$10,IF(D235="S. americanus",F235*[1]Sheet1!$C$6+E235*[1]Sheet1!$D$6+[1]Sheet1!$L$6,IF(AND(OR(D235="T. domingensis",D235="T. latifolia"),E235&gt;0),F235*[1]Sheet1!$C$4+E235*[1]Sheet1!$D$4+H235*[1]Sheet1!$J$4+I235*[1]Sheet1!$K$4+[1]Sheet1!$L$4,IF(AND(OR(D235="T. domingensis",D235="T. latifolia"),J235&gt;0),J235*[1]Sheet1!$G$5+K235*[1]Sheet1!$H$5+L235*[1]Sheet1!$I$5+[1]Sheet1!$L$5,0)))))))</f>
        <v>60.237366000000009</v>
      </c>
      <c r="P235">
        <f t="shared" si="10"/>
        <v>60.237366000000009</v>
      </c>
      <c r="S235">
        <f t="shared" si="11"/>
        <v>8.2447887960000017</v>
      </c>
    </row>
    <row r="236" spans="1:19">
      <c r="A236" s="7">
        <v>42501</v>
      </c>
      <c r="B236" s="6" t="s">
        <v>19</v>
      </c>
      <c r="C236">
        <v>6</v>
      </c>
      <c r="D236" s="6" t="s">
        <v>61</v>
      </c>
      <c r="F236" s="6">
        <v>3.01</v>
      </c>
      <c r="J236">
        <f>118+76+102+126+129+144+165+170</f>
        <v>1030</v>
      </c>
      <c r="K236">
        <v>8</v>
      </c>
      <c r="L236">
        <v>170</v>
      </c>
      <c r="N236" t="str">
        <f t="shared" si="9"/>
        <v>NA</v>
      </c>
      <c r="O236">
        <f>IF(AND(OR(D236="S. acutus",D236="S. californicus",D236="S. tabernaemontani"),G236=0),E236*[1]Sheet1!$D$7+[1]Sheet1!$L$7,IF(AND(OR(D236="S. acutus",D236="S. tabernaemontani"),G236&gt;0),E236*[1]Sheet1!$D$8+N236*[1]Sheet1!$E$8,IF(AND(D236="S. californicus",G236&gt;0),E236*[1]Sheet1!$D$9+N236*[1]Sheet1!$E$9,IF(D236="S. maritimus",F236*[1]Sheet1!$C$10+E236*[1]Sheet1!$D$10+G236*[1]Sheet1!$F$10+[1]Sheet1!$L$10,IF(D236="S. americanus",F236*[1]Sheet1!$C$6+E236*[1]Sheet1!$D$6+[1]Sheet1!$L$6,IF(AND(OR(D236="T. domingensis",D236="T. latifolia"),E236&gt;0),F236*[1]Sheet1!$C$4+E236*[1]Sheet1!$D$4+H236*[1]Sheet1!$J$4+I236*[1]Sheet1!$K$4+[1]Sheet1!$L$4,IF(AND(OR(D236="T. domingensis",D236="T. latifolia"),J236&gt;0),J236*[1]Sheet1!$G$5+K236*[1]Sheet1!$H$5+L236*[1]Sheet1!$I$5+[1]Sheet1!$L$5,0)))))))</f>
        <v>22.21416</v>
      </c>
      <c r="P236">
        <f t="shared" si="10"/>
        <v>22.21416</v>
      </c>
      <c r="S236">
        <f t="shared" si="11"/>
        <v>7.1157798897499989</v>
      </c>
    </row>
    <row r="237" spans="1:19">
      <c r="A237" s="7">
        <v>42501</v>
      </c>
      <c r="B237" s="6" t="s">
        <v>19</v>
      </c>
      <c r="C237">
        <v>6</v>
      </c>
      <c r="D237" s="6" t="s">
        <v>61</v>
      </c>
      <c r="F237" s="6">
        <v>1.74</v>
      </c>
      <c r="J237">
        <f>64+62+84+103+131+126+132</f>
        <v>702</v>
      </c>
      <c r="K237">
        <v>7</v>
      </c>
      <c r="L237">
        <v>132</v>
      </c>
      <c r="N237" t="str">
        <f t="shared" si="9"/>
        <v>NA</v>
      </c>
      <c r="O237">
        <f>IF(AND(OR(D237="S. acutus",D237="S. californicus",D237="S. tabernaemontani"),G237=0),E237*[1]Sheet1!$D$7+[1]Sheet1!$L$7,IF(AND(OR(D237="S. acutus",D237="S. tabernaemontani"),G237&gt;0),E237*[1]Sheet1!$D$8+N237*[1]Sheet1!$E$8,IF(AND(D237="S. californicus",G237&gt;0),E237*[1]Sheet1!$D$9+N237*[1]Sheet1!$E$9,IF(D237="S. maritimus",F237*[1]Sheet1!$C$10+E237*[1]Sheet1!$D$10+G237*[1]Sheet1!$F$10+[1]Sheet1!$L$10,IF(D237="S. americanus",F237*[1]Sheet1!$C$6+E237*[1]Sheet1!$D$6+[1]Sheet1!$L$6,IF(AND(OR(D237="T. domingensis",D237="T. latifolia"),E237&gt;0),F237*[1]Sheet1!$C$4+E237*[1]Sheet1!$D$4+H237*[1]Sheet1!$J$4+I237*[1]Sheet1!$K$4+[1]Sheet1!$L$4,IF(AND(OR(D237="T. domingensis",D237="T. latifolia"),J237&gt;0),J237*[1]Sheet1!$G$5+K237*[1]Sheet1!$H$5+L237*[1]Sheet1!$I$5+[1]Sheet1!$L$5,0)))))))</f>
        <v>9.9321830000000091</v>
      </c>
      <c r="P237">
        <f t="shared" si="10"/>
        <v>9.9321830000000091</v>
      </c>
      <c r="S237">
        <f t="shared" si="11"/>
        <v>2.3778694709999999</v>
      </c>
    </row>
    <row r="238" spans="1:19">
      <c r="A238" s="7">
        <v>42501</v>
      </c>
      <c r="B238" s="6" t="s">
        <v>19</v>
      </c>
      <c r="C238">
        <v>6</v>
      </c>
      <c r="D238" s="6" t="s">
        <v>61</v>
      </c>
      <c r="F238" s="6">
        <v>1.39</v>
      </c>
      <c r="J238">
        <f>10+19+37+43+46</f>
        <v>155</v>
      </c>
      <c r="K238">
        <v>5</v>
      </c>
      <c r="L238">
        <v>46</v>
      </c>
      <c r="N238" t="str">
        <f t="shared" si="9"/>
        <v>NA</v>
      </c>
      <c r="O238">
        <f>IF(AND(OR(D238="S. acutus",D238="S. californicus",D238="S. tabernaemontani"),G238=0),E238*[1]Sheet1!$D$7+[1]Sheet1!$L$7,IF(AND(OR(D238="S. acutus",D238="S. tabernaemontani"),G238&gt;0),E238*[1]Sheet1!$D$8+N238*[1]Sheet1!$E$8,IF(AND(D238="S. californicus",G238&gt;0),E238*[1]Sheet1!$D$9+N238*[1]Sheet1!$E$9,IF(D238="S. maritimus",F238*[1]Sheet1!$C$10+E238*[1]Sheet1!$D$10+G238*[1]Sheet1!$F$10+[1]Sheet1!$L$10,IF(D238="S. americanus",F238*[1]Sheet1!$C$6+E238*[1]Sheet1!$D$6+[1]Sheet1!$L$6,IF(AND(OR(D238="T. domingensis",D238="T. latifolia"),E238&gt;0),F238*[1]Sheet1!$C$4+E238*[1]Sheet1!$D$4+H238*[1]Sheet1!$J$4+I238*[1]Sheet1!$K$4+[1]Sheet1!$L$4,IF(AND(OR(D238="T. domingensis",D238="T. latifolia"),J238&gt;0),J238*[1]Sheet1!$G$5+K238*[1]Sheet1!$H$5+L238*[1]Sheet1!$I$5+[1]Sheet1!$L$5,0)))))))</f>
        <v>-1.400026000000004</v>
      </c>
      <c r="P238" t="str">
        <f t="shared" si="10"/>
        <v xml:space="preserve"> </v>
      </c>
      <c r="S238">
        <f t="shared" si="11"/>
        <v>1.5174665097499997</v>
      </c>
    </row>
    <row r="239" spans="1:19">
      <c r="A239" s="7">
        <v>42501</v>
      </c>
      <c r="B239" s="6" t="s">
        <v>19</v>
      </c>
      <c r="C239">
        <v>6</v>
      </c>
      <c r="D239" s="6" t="s">
        <v>61</v>
      </c>
      <c r="F239" s="6">
        <v>1.0900000000000001</v>
      </c>
      <c r="J239">
        <f>55+65+77+86</f>
        <v>283</v>
      </c>
      <c r="K239">
        <v>4</v>
      </c>
      <c r="L239">
        <v>86</v>
      </c>
      <c r="N239" t="str">
        <f t="shared" si="9"/>
        <v>NA</v>
      </c>
      <c r="O239">
        <f>IF(AND(OR(D239="S. acutus",D239="S. californicus",D239="S. tabernaemontani"),G239=0),E239*[1]Sheet1!$D$7+[1]Sheet1!$L$7,IF(AND(OR(D239="S. acutus",D239="S. tabernaemontani"),G239&gt;0),E239*[1]Sheet1!$D$8+N239*[1]Sheet1!$E$8,IF(AND(D239="S. californicus",G239&gt;0),E239*[1]Sheet1!$D$9+N239*[1]Sheet1!$E$9,IF(D239="S. maritimus",F239*[1]Sheet1!$C$10+E239*[1]Sheet1!$D$10+G239*[1]Sheet1!$F$10+[1]Sheet1!$L$10,IF(D239="S. americanus",F239*[1]Sheet1!$C$6+E239*[1]Sheet1!$D$6+[1]Sheet1!$L$6,IF(AND(OR(D239="T. domingensis",D239="T. latifolia"),E239&gt;0),F239*[1]Sheet1!$C$4+E239*[1]Sheet1!$D$4+H239*[1]Sheet1!$J$4+I239*[1]Sheet1!$K$4+[1]Sheet1!$L$4,IF(AND(OR(D239="T. domingensis",D239="T. latifolia"),J239&gt;0),J239*[1]Sheet1!$G$5+K239*[1]Sheet1!$H$5+L239*[1]Sheet1!$I$5+[1]Sheet1!$L$5,0)))))))</f>
        <v>5.5731670000000015</v>
      </c>
      <c r="P239">
        <f t="shared" si="10"/>
        <v>5.5731670000000015</v>
      </c>
      <c r="S239">
        <f t="shared" si="11"/>
        <v>0.93313076975000009</v>
      </c>
    </row>
    <row r="240" spans="1:19">
      <c r="A240" s="7">
        <v>42501</v>
      </c>
      <c r="B240" s="6" t="s">
        <v>19</v>
      </c>
      <c r="C240">
        <v>6</v>
      </c>
      <c r="D240" s="6" t="s">
        <v>61</v>
      </c>
      <c r="F240" s="6">
        <v>1.1399999999999999</v>
      </c>
      <c r="J240">
        <f>23+43+47+57+74+75</f>
        <v>319</v>
      </c>
      <c r="K240">
        <v>6</v>
      </c>
      <c r="L240">
        <v>75</v>
      </c>
      <c r="N240" t="str">
        <f t="shared" si="9"/>
        <v>NA</v>
      </c>
      <c r="O240">
        <f>IF(AND(OR(D240="S. acutus",D240="S. californicus",D240="S. tabernaemontani"),G240=0),E240*[1]Sheet1!$D$7+[1]Sheet1!$L$7,IF(AND(OR(D240="S. acutus",D240="S. tabernaemontani"),G240&gt;0),E240*[1]Sheet1!$D$8+N240*[1]Sheet1!$E$8,IF(AND(D240="S. californicus",G240&gt;0),E240*[1]Sheet1!$D$9+N240*[1]Sheet1!$E$9,IF(D240="S. maritimus",F240*[1]Sheet1!$C$10+E240*[1]Sheet1!$D$10+G240*[1]Sheet1!$F$10+[1]Sheet1!$L$10,IF(D240="S. americanus",F240*[1]Sheet1!$C$6+E240*[1]Sheet1!$D$6+[1]Sheet1!$L$6,IF(AND(OR(D240="T. domingensis",D240="T. latifolia"),E240&gt;0),F240*[1]Sheet1!$C$4+E240*[1]Sheet1!$D$4+H240*[1]Sheet1!$J$4+I240*[1]Sheet1!$K$4+[1]Sheet1!$L$4,IF(AND(OR(D240="T. domingensis",D240="T. latifolia"),J240&gt;0),J240*[1]Sheet1!$G$5+K240*[1]Sheet1!$H$5+L240*[1]Sheet1!$I$5+[1]Sheet1!$L$5,0)))))))</f>
        <v>-1.782664000000004</v>
      </c>
      <c r="P240" t="str">
        <f t="shared" si="10"/>
        <v xml:space="preserve"> </v>
      </c>
      <c r="S240">
        <f t="shared" si="11"/>
        <v>1.0207025909999998</v>
      </c>
    </row>
    <row r="241" spans="1:19">
      <c r="A241" s="7">
        <v>42501</v>
      </c>
      <c r="B241" s="6" t="s">
        <v>19</v>
      </c>
      <c r="C241">
        <v>6</v>
      </c>
      <c r="D241" s="6" t="s">
        <v>61</v>
      </c>
      <c r="F241" s="6">
        <v>1.1000000000000001</v>
      </c>
      <c r="J241">
        <f>34+49+70+77+89</f>
        <v>319</v>
      </c>
      <c r="K241">
        <v>5</v>
      </c>
      <c r="L241">
        <v>89</v>
      </c>
      <c r="N241" t="str">
        <f t="shared" si="9"/>
        <v>NA</v>
      </c>
      <c r="O241">
        <f>IF(AND(OR(D241="S. acutus",D241="S. californicus",D241="S. tabernaemontani"),G241=0),E241*[1]Sheet1!$D$7+[1]Sheet1!$L$7,IF(AND(OR(D241="S. acutus",D241="S. tabernaemontani"),G241&gt;0),E241*[1]Sheet1!$D$8+N241*[1]Sheet1!$E$8,IF(AND(D241="S. californicus",G241&gt;0),E241*[1]Sheet1!$D$9+N241*[1]Sheet1!$E$9,IF(D241="S. maritimus",F241*[1]Sheet1!$C$10+E241*[1]Sheet1!$D$10+G241*[1]Sheet1!$F$10+[1]Sheet1!$L$10,IF(D241="S. americanus",F241*[1]Sheet1!$C$6+E241*[1]Sheet1!$D$6+[1]Sheet1!$L$6,IF(AND(OR(D241="T. domingensis",D241="T. latifolia"),E241&gt;0),F241*[1]Sheet1!$C$4+E241*[1]Sheet1!$D$4+H241*[1]Sheet1!$J$4+I241*[1]Sheet1!$K$4+[1]Sheet1!$L$4,IF(AND(OR(D241="T. domingensis",D241="T. latifolia"),J241&gt;0),J241*[1]Sheet1!$G$5+K241*[1]Sheet1!$H$5+L241*[1]Sheet1!$I$5+[1]Sheet1!$L$5,0)))))))</f>
        <v>1.0222589999999983</v>
      </c>
      <c r="P241">
        <f t="shared" si="10"/>
        <v>1.0222589999999983</v>
      </c>
      <c r="S241">
        <f t="shared" si="11"/>
        <v>0.95033097500000008</v>
      </c>
    </row>
    <row r="242" spans="1:19">
      <c r="A242" s="7">
        <v>42501</v>
      </c>
      <c r="B242" s="6" t="s">
        <v>19</v>
      </c>
      <c r="C242">
        <v>5</v>
      </c>
      <c r="D242" s="6" t="s">
        <v>63</v>
      </c>
      <c r="E242">
        <v>48</v>
      </c>
      <c r="F242" s="6">
        <v>0.36</v>
      </c>
      <c r="N242">
        <f t="shared" si="9"/>
        <v>1.6286002559999997</v>
      </c>
      <c r="O242">
        <f>IF(AND(OR(D242="S. acutus",D242="S. californicus",D242="S. tabernaemontani"),G242=0),E242*[1]Sheet1!$D$7+[1]Sheet1!$L$7,IF(AND(OR(D242="S. acutus",D242="S. tabernaemontani"),G242&gt;0),E242*[1]Sheet1!$D$8+N242*[1]Sheet1!$E$8,IF(AND(D242="S. californicus",G242&gt;0),E242*[1]Sheet1!$D$9+N242*[1]Sheet1!$E$9,IF(D242="S. maritimus",F242*[1]Sheet1!$C$10+E242*[1]Sheet1!$D$10+G242*[1]Sheet1!$F$10+[1]Sheet1!$L$10,IF(D242="S. americanus",F242*[1]Sheet1!$C$6+E242*[1]Sheet1!$D$6+[1]Sheet1!$L$6,IF(AND(OR(D242="T. domingensis",D242="T. latifolia"),E242&gt;0),F242*[1]Sheet1!$C$4+E242*[1]Sheet1!$D$4+H242*[1]Sheet1!$J$4+I242*[1]Sheet1!$K$4+[1]Sheet1!$L$4,IF(AND(OR(D242="T. domingensis",D242="T. latifolia"),J242&gt;0),J242*[1]Sheet1!$G$5+K242*[1]Sheet1!$H$5+L242*[1]Sheet1!$I$5+[1]Sheet1!$L$5,0)))))))</f>
        <v>-1.2255569999999998</v>
      </c>
      <c r="P242" t="str">
        <f t="shared" si="10"/>
        <v xml:space="preserve"> </v>
      </c>
      <c r="S242">
        <f t="shared" si="11"/>
        <v>0.10178751599999999</v>
      </c>
    </row>
    <row r="243" spans="1:19">
      <c r="A243" s="7">
        <v>42501</v>
      </c>
      <c r="B243" s="6" t="s">
        <v>19</v>
      </c>
      <c r="C243">
        <v>5</v>
      </c>
      <c r="D243" s="6" t="s">
        <v>63</v>
      </c>
      <c r="E243">
        <v>136</v>
      </c>
      <c r="F243" s="6">
        <v>0.3</v>
      </c>
      <c r="N243">
        <f t="shared" si="9"/>
        <v>3.2044217999999995</v>
      </c>
      <c r="O243">
        <f>IF(AND(OR(D243="S. acutus",D243="S. californicus",D243="S. tabernaemontani"),G243=0),E243*[1]Sheet1!$D$7+[1]Sheet1!$L$7,IF(AND(OR(D243="S. acutus",D243="S. tabernaemontani"),G243&gt;0),E243*[1]Sheet1!$D$8+N243*[1]Sheet1!$E$8,IF(AND(D243="S. californicus",G243&gt;0),E243*[1]Sheet1!$D$9+N243*[1]Sheet1!$E$9,IF(D243="S. maritimus",F243*[1]Sheet1!$C$10+E243*[1]Sheet1!$D$10+G243*[1]Sheet1!$F$10+[1]Sheet1!$L$10,IF(D243="S. americanus",F243*[1]Sheet1!$C$6+E243*[1]Sheet1!$D$6+[1]Sheet1!$L$6,IF(AND(OR(D243="T. domingensis",D243="T. latifolia"),E243&gt;0),F243*[1]Sheet1!$C$4+E243*[1]Sheet1!$D$4+H243*[1]Sheet1!$J$4+I243*[1]Sheet1!$K$4+[1]Sheet1!$L$4,IF(AND(OR(D243="T. domingensis",D243="T. latifolia"),J243&gt;0),J243*[1]Sheet1!$G$5+K243*[1]Sheet1!$H$5+L243*[1]Sheet1!$I$5+[1]Sheet1!$L$5,0)))))))</f>
        <v>4.9436830000000009</v>
      </c>
      <c r="P243">
        <f t="shared" si="10"/>
        <v>4.9436830000000009</v>
      </c>
      <c r="S243">
        <f t="shared" si="11"/>
        <v>7.0685774999999992E-2</v>
      </c>
    </row>
    <row r="244" spans="1:19">
      <c r="A244" s="7">
        <v>42501</v>
      </c>
      <c r="B244" s="6" t="s">
        <v>19</v>
      </c>
      <c r="C244">
        <v>5</v>
      </c>
      <c r="D244" t="s">
        <v>63</v>
      </c>
      <c r="E244">
        <v>75</v>
      </c>
      <c r="F244" s="6">
        <v>0.57999999999999996</v>
      </c>
      <c r="N244">
        <f t="shared" si="9"/>
        <v>6.6051929749999987</v>
      </c>
      <c r="O244">
        <f>IF(AND(OR(D244="S. acutus",D244="S. californicus",D244="S. tabernaemontani"),G244=0),E244*[1]Sheet1!$D$7+[1]Sheet1!$L$7,IF(AND(OR(D244="S. acutus",D244="S. tabernaemontani"),G244&gt;0),E244*[1]Sheet1!$D$8+N244*[1]Sheet1!$E$8,IF(AND(D244="S. californicus",G244&gt;0),E244*[1]Sheet1!$D$9+N244*[1]Sheet1!$E$9,IF(D244="S. maritimus",F244*[1]Sheet1!$C$10+E244*[1]Sheet1!$D$10+G244*[1]Sheet1!$F$10+[1]Sheet1!$L$10,IF(D244="S. americanus",F244*[1]Sheet1!$C$6+E244*[1]Sheet1!$D$6+[1]Sheet1!$L$6,IF(AND(OR(D244="T. domingensis",D244="T. latifolia"),E244&gt;0),F244*[1]Sheet1!$C$4+E244*[1]Sheet1!$D$4+H244*[1]Sheet1!$J$4+I244*[1]Sheet1!$K$4+[1]Sheet1!$L$4,IF(AND(OR(D244="T. domingensis",D244="T. latifolia"),J244&gt;0),J244*[1]Sheet1!$G$5+K244*[1]Sheet1!$H$5+L244*[1]Sheet1!$I$5+[1]Sheet1!$L$5,0)))))))</f>
        <v>0.66727800000000048</v>
      </c>
      <c r="P244">
        <f t="shared" si="10"/>
        <v>0.66727800000000048</v>
      </c>
      <c r="S244">
        <f t="shared" si="11"/>
        <v>0.26420771899999995</v>
      </c>
    </row>
    <row r="245" spans="1:19">
      <c r="A245" s="7">
        <v>42501</v>
      </c>
      <c r="B245" s="6" t="s">
        <v>19</v>
      </c>
      <c r="C245">
        <v>5</v>
      </c>
      <c r="D245" t="s">
        <v>63</v>
      </c>
      <c r="E245">
        <v>60</v>
      </c>
      <c r="F245" s="6">
        <v>0.56000000000000005</v>
      </c>
      <c r="N245">
        <f t="shared" si="9"/>
        <v>4.9260131200000004</v>
      </c>
      <c r="O245">
        <f>IF(AND(OR(D245="S. acutus",D245="S. californicus",D245="S. tabernaemontani"),G245=0),E245*[1]Sheet1!$D$7+[1]Sheet1!$L$7,IF(AND(OR(D245="S. acutus",D245="S. tabernaemontani"),G245&gt;0),E245*[1]Sheet1!$D$8+N245*[1]Sheet1!$E$8,IF(AND(D245="S. californicus",G245&gt;0),E245*[1]Sheet1!$D$9+N245*[1]Sheet1!$E$9,IF(D245="S. maritimus",F245*[1]Sheet1!$C$10+E245*[1]Sheet1!$D$10+G245*[1]Sheet1!$F$10+[1]Sheet1!$L$10,IF(D245="S. americanus",F245*[1]Sheet1!$C$6+E245*[1]Sheet1!$D$6+[1]Sheet1!$L$6,IF(AND(OR(D245="T. domingensis",D245="T. latifolia"),E245&gt;0),F245*[1]Sheet1!$C$4+E245*[1]Sheet1!$D$4+H245*[1]Sheet1!$J$4+I245*[1]Sheet1!$K$4+[1]Sheet1!$L$4,IF(AND(OR(D245="T. domingensis",D245="T. latifolia"),J245&gt;0),J245*[1]Sheet1!$G$5+K245*[1]Sheet1!$H$5+L245*[1]Sheet1!$I$5+[1]Sheet1!$L$5,0)))))))</f>
        <v>-0.38429700000000011</v>
      </c>
      <c r="P245" t="str">
        <f t="shared" si="10"/>
        <v xml:space="preserve"> </v>
      </c>
      <c r="S245">
        <f t="shared" si="11"/>
        <v>0.24630065600000003</v>
      </c>
    </row>
    <row r="246" spans="1:19">
      <c r="A246" s="7">
        <v>42501</v>
      </c>
      <c r="B246" s="6" t="s">
        <v>19</v>
      </c>
      <c r="C246">
        <v>5</v>
      </c>
      <c r="D246" t="s">
        <v>63</v>
      </c>
      <c r="E246">
        <v>115</v>
      </c>
      <c r="F246" s="6">
        <v>0.74</v>
      </c>
      <c r="G246">
        <v>2</v>
      </c>
      <c r="N246">
        <f t="shared" si="9"/>
        <v>16.486540721666664</v>
      </c>
      <c r="O246">
        <f>IF(AND(OR(D246="S. acutus",D246="S. californicus",D246="S. tabernaemontani"),G246=0),E246*[1]Sheet1!$D$7+[1]Sheet1!$L$7,IF(AND(OR(D246="S. acutus",D246="S. tabernaemontani"),G246&gt;0),E246*[1]Sheet1!$D$8+N246*[1]Sheet1!$E$8,IF(AND(D246="S. californicus",G246&gt;0),E246*[1]Sheet1!$D$9+N246*[1]Sheet1!$E$9,IF(D246="S. maritimus",F246*[1]Sheet1!$C$10+E246*[1]Sheet1!$D$10+G246*[1]Sheet1!$F$10+[1]Sheet1!$L$10,IF(D246="S. americanus",F246*[1]Sheet1!$C$6+E246*[1]Sheet1!$D$6+[1]Sheet1!$L$6,IF(AND(OR(D246="T. domingensis",D246="T. latifolia"),E246&gt;0),F246*[1]Sheet1!$C$4+E246*[1]Sheet1!$D$4+H246*[1]Sheet1!$J$4+I246*[1]Sheet1!$K$4+[1]Sheet1!$L$4,IF(AND(OR(D246="T. domingensis",D246="T. latifolia"),J246&gt;0),J246*[1]Sheet1!$G$5+K246*[1]Sheet1!$H$5+L246*[1]Sheet1!$I$5+[1]Sheet1!$L$5,0)))))))</f>
        <v>4.9591979491243166</v>
      </c>
      <c r="P246">
        <f t="shared" si="10"/>
        <v>4.9591979491243166</v>
      </c>
      <c r="S246">
        <f t="shared" si="11"/>
        <v>0.43008367099999995</v>
      </c>
    </row>
    <row r="247" spans="1:19">
      <c r="A247" s="7">
        <v>42501</v>
      </c>
      <c r="B247" s="6" t="s">
        <v>19</v>
      </c>
      <c r="C247">
        <v>5</v>
      </c>
      <c r="D247" t="s">
        <v>63</v>
      </c>
      <c r="E247">
        <v>90</v>
      </c>
      <c r="F247" s="6">
        <v>0.82</v>
      </c>
      <c r="N247">
        <f t="shared" si="9"/>
        <v>15.843038369999997</v>
      </c>
      <c r="O247">
        <f>IF(AND(OR(D247="S. acutus",D247="S. californicus",D247="S. tabernaemontani"),G247=0),E247*[1]Sheet1!$D$7+[1]Sheet1!$L$7,IF(AND(OR(D247="S. acutus",D247="S. tabernaemontani"),G247&gt;0),E247*[1]Sheet1!$D$8+N247*[1]Sheet1!$E$8,IF(AND(D247="S. californicus",G247&gt;0),E247*[1]Sheet1!$D$9+N247*[1]Sheet1!$E$9,IF(D247="S. maritimus",F247*[1]Sheet1!$C$10+E247*[1]Sheet1!$D$10+G247*[1]Sheet1!$F$10+[1]Sheet1!$L$10,IF(D247="S. americanus",F247*[1]Sheet1!$C$6+E247*[1]Sheet1!$D$6+[1]Sheet1!$L$6,IF(AND(OR(D247="T. domingensis",D247="T. latifolia"),E247&gt;0),F247*[1]Sheet1!$C$4+E247*[1]Sheet1!$D$4+H247*[1]Sheet1!$J$4+I247*[1]Sheet1!$K$4+[1]Sheet1!$L$4,IF(AND(OR(D247="T. domingensis",D247="T. latifolia"),J247&gt;0),J247*[1]Sheet1!$G$5+K247*[1]Sheet1!$H$5+L247*[1]Sheet1!$I$5+[1]Sheet1!$L$5,0)))))))</f>
        <v>1.7188530000000002</v>
      </c>
      <c r="P247">
        <f t="shared" si="10"/>
        <v>1.7188530000000002</v>
      </c>
      <c r="S247">
        <f t="shared" si="11"/>
        <v>0.52810127899999992</v>
      </c>
    </row>
    <row r="248" spans="1:19">
      <c r="A248" s="7">
        <v>42501</v>
      </c>
      <c r="B248" s="6" t="s">
        <v>19</v>
      </c>
      <c r="C248">
        <v>5</v>
      </c>
      <c r="D248" t="s">
        <v>63</v>
      </c>
      <c r="E248">
        <v>123</v>
      </c>
      <c r="F248" s="6">
        <v>0.9</v>
      </c>
      <c r="G248">
        <v>4</v>
      </c>
      <c r="N248">
        <f t="shared" si="9"/>
        <v>26.083050974999999</v>
      </c>
      <c r="O248">
        <f>IF(AND(OR(D248="S. acutus",D248="S. californicus",D248="S. tabernaemontani"),G248=0),E248*[1]Sheet1!$D$7+[1]Sheet1!$L$7,IF(AND(OR(D248="S. acutus",D248="S. tabernaemontani"),G248&gt;0),E248*[1]Sheet1!$D$8+N248*[1]Sheet1!$E$8,IF(AND(D248="S. californicus",G248&gt;0),E248*[1]Sheet1!$D$9+N248*[1]Sheet1!$E$9,IF(D248="S. maritimus",F248*[1]Sheet1!$C$10+E248*[1]Sheet1!$D$10+G248*[1]Sheet1!$F$10+[1]Sheet1!$L$10,IF(D248="S. americanus",F248*[1]Sheet1!$C$6+E248*[1]Sheet1!$D$6+[1]Sheet1!$L$6,IF(AND(OR(D248="T. domingensis",D248="T. latifolia"),E248&gt;0),F248*[1]Sheet1!$C$4+E248*[1]Sheet1!$D$4+H248*[1]Sheet1!$J$4+I248*[1]Sheet1!$K$4+[1]Sheet1!$L$4,IF(AND(OR(D248="T. domingensis",D248="T. latifolia"),J248&gt;0),J248*[1]Sheet1!$G$5+K248*[1]Sheet1!$H$5+L248*[1]Sheet1!$I$5+[1]Sheet1!$L$5,0)))))))</f>
        <v>5.5762710161408773</v>
      </c>
      <c r="P248">
        <f t="shared" si="10"/>
        <v>5.5762710161408773</v>
      </c>
      <c r="S248">
        <f t="shared" si="11"/>
        <v>0.636171975</v>
      </c>
    </row>
    <row r="249" spans="1:19">
      <c r="A249" s="7">
        <v>42501</v>
      </c>
      <c r="B249" s="6" t="s">
        <v>19</v>
      </c>
      <c r="C249">
        <v>5</v>
      </c>
      <c r="D249" t="s">
        <v>63</v>
      </c>
      <c r="E249">
        <v>50</v>
      </c>
      <c r="F249" s="6">
        <v>0.77</v>
      </c>
      <c r="N249">
        <f t="shared" si="9"/>
        <v>7.7610362958333319</v>
      </c>
      <c r="O249">
        <f>IF(AND(OR(D249="S. acutus",D249="S. californicus",D249="S. tabernaemontani"),G249=0),E249*[1]Sheet1!$D$7+[1]Sheet1!$L$7,IF(AND(OR(D249="S. acutus",D249="S. tabernaemontani"),G249&gt;0),E249*[1]Sheet1!$D$8+N249*[1]Sheet1!$E$8,IF(AND(D249="S. californicus",G249&gt;0),E249*[1]Sheet1!$D$9+N249*[1]Sheet1!$E$9,IF(D249="S. maritimus",F249*[1]Sheet1!$C$10+E249*[1]Sheet1!$D$10+G249*[1]Sheet1!$F$10+[1]Sheet1!$L$10,IF(D249="S. americanus",F249*[1]Sheet1!$C$6+E249*[1]Sheet1!$D$6+[1]Sheet1!$L$6,IF(AND(OR(D249="T. domingensis",D249="T. latifolia"),E249&gt;0),F249*[1]Sheet1!$C$4+E249*[1]Sheet1!$D$4+H249*[1]Sheet1!$J$4+I249*[1]Sheet1!$K$4+[1]Sheet1!$L$4,IF(AND(OR(D249="T. domingensis",D249="T. latifolia"),J249&gt;0),J249*[1]Sheet1!$G$5+K249*[1]Sheet1!$H$5+L249*[1]Sheet1!$I$5+[1]Sheet1!$L$5,0)))))))</f>
        <v>-1.0853469999999996</v>
      </c>
      <c r="P249" t="str">
        <f t="shared" si="10"/>
        <v xml:space="preserve"> </v>
      </c>
      <c r="S249">
        <f t="shared" si="11"/>
        <v>0.46566217774999996</v>
      </c>
    </row>
    <row r="250" spans="1:19">
      <c r="A250" s="7">
        <v>42501</v>
      </c>
      <c r="B250" s="6" t="s">
        <v>19</v>
      </c>
      <c r="C250">
        <v>5</v>
      </c>
      <c r="D250" t="s">
        <v>63</v>
      </c>
      <c r="E250">
        <v>55</v>
      </c>
      <c r="F250" s="6">
        <v>0.81</v>
      </c>
      <c r="N250">
        <f t="shared" si="9"/>
        <v>9.4471538287500003</v>
      </c>
      <c r="O250">
        <f>IF(AND(OR(D250="S. acutus",D250="S. californicus",D250="S. tabernaemontani"),G250=0),E250*[1]Sheet1!$D$7+[1]Sheet1!$L$7,IF(AND(OR(D250="S. acutus",D250="S. tabernaemontani"),G250&gt;0),E250*[1]Sheet1!$D$8+N250*[1]Sheet1!$E$8,IF(AND(D250="S. californicus",G250&gt;0),E250*[1]Sheet1!$D$9+N250*[1]Sheet1!$E$9,IF(D250="S. maritimus",F250*[1]Sheet1!$C$10+E250*[1]Sheet1!$D$10+G250*[1]Sheet1!$F$10+[1]Sheet1!$L$10,IF(D250="S. americanus",F250*[1]Sheet1!$C$6+E250*[1]Sheet1!$D$6+[1]Sheet1!$L$6,IF(AND(OR(D250="T. domingensis",D250="T. latifolia"),E250&gt;0),F250*[1]Sheet1!$C$4+E250*[1]Sheet1!$D$4+H250*[1]Sheet1!$J$4+I250*[1]Sheet1!$K$4+[1]Sheet1!$L$4,IF(AND(OR(D250="T. domingensis",D250="T. latifolia"),J250&gt;0),J250*[1]Sheet1!$G$5+K250*[1]Sheet1!$H$5+L250*[1]Sheet1!$I$5+[1]Sheet1!$L$5,0)))))))</f>
        <v>-0.73482199999999986</v>
      </c>
      <c r="P250" t="str">
        <f t="shared" si="10"/>
        <v xml:space="preserve"> </v>
      </c>
      <c r="S250">
        <f t="shared" si="11"/>
        <v>0.51529929975000011</v>
      </c>
    </row>
    <row r="251" spans="1:19">
      <c r="A251" s="7">
        <v>42501</v>
      </c>
      <c r="B251" s="6" t="s">
        <v>19</v>
      </c>
      <c r="C251">
        <v>5</v>
      </c>
      <c r="D251" t="s">
        <v>63</v>
      </c>
      <c r="E251">
        <v>116</v>
      </c>
      <c r="F251" s="6">
        <v>0.85</v>
      </c>
      <c r="G251">
        <v>1</v>
      </c>
      <c r="N251">
        <f t="shared" si="9"/>
        <v>21.941388158333329</v>
      </c>
      <c r="O251">
        <f>IF(AND(OR(D251="S. acutus",D251="S. californicus",D251="S. tabernaemontani"),G251=0),E251*[1]Sheet1!$D$7+[1]Sheet1!$L$7,IF(AND(OR(D251="S. acutus",D251="S. tabernaemontani"),G251&gt;0),E251*[1]Sheet1!$D$8+N251*[1]Sheet1!$E$8,IF(AND(D251="S. californicus",G251&gt;0),E251*[1]Sheet1!$D$9+N251*[1]Sheet1!$E$9,IF(D251="S. maritimus",F251*[1]Sheet1!$C$10+E251*[1]Sheet1!$D$10+G251*[1]Sheet1!$F$10+[1]Sheet1!$L$10,IF(D251="S. americanus",F251*[1]Sheet1!$C$6+E251*[1]Sheet1!$D$6+[1]Sheet1!$L$6,IF(AND(OR(D251="T. domingensis",D251="T. latifolia"),E251&gt;0),F251*[1]Sheet1!$C$4+E251*[1]Sheet1!$D$4+H251*[1]Sheet1!$J$4+I251*[1]Sheet1!$K$4+[1]Sheet1!$L$4,IF(AND(OR(D251="T. domingensis",D251="T. latifolia"),J251&gt;0),J251*[1]Sheet1!$G$5+K251*[1]Sheet1!$H$5+L251*[1]Sheet1!$I$5+[1]Sheet1!$L$5,0)))))))</f>
        <v>5.173356045947676</v>
      </c>
      <c r="P251">
        <f t="shared" si="10"/>
        <v>5.173356045947676</v>
      </c>
      <c r="S251">
        <f t="shared" si="11"/>
        <v>0.56744969374999987</v>
      </c>
    </row>
    <row r="252" spans="1:19">
      <c r="A252" s="7">
        <v>42501</v>
      </c>
      <c r="B252" s="6" t="s">
        <v>19</v>
      </c>
      <c r="C252">
        <v>5</v>
      </c>
      <c r="D252" t="s">
        <v>63</v>
      </c>
      <c r="E252">
        <v>43</v>
      </c>
      <c r="F252" s="6">
        <v>1.01</v>
      </c>
      <c r="N252">
        <f t="shared" si="9"/>
        <v>11.483637186416665</v>
      </c>
      <c r="O252">
        <f>IF(AND(OR(D252="S. acutus",D252="S. californicus",D252="S. tabernaemontani"),G252=0),E252*[1]Sheet1!$D$7+[1]Sheet1!$L$7,IF(AND(OR(D252="S. acutus",D252="S. tabernaemontani"),G252&gt;0),E252*[1]Sheet1!$D$8+N252*[1]Sheet1!$E$8,IF(AND(D252="S. californicus",G252&gt;0),E252*[1]Sheet1!$D$9+N252*[1]Sheet1!$E$9,IF(D252="S. maritimus",F252*[1]Sheet1!$C$10+E252*[1]Sheet1!$D$10+G252*[1]Sheet1!$F$10+[1]Sheet1!$L$10,IF(D252="S. americanus",F252*[1]Sheet1!$C$6+E252*[1]Sheet1!$D$6+[1]Sheet1!$L$6,IF(AND(OR(D252="T. domingensis",D252="T. latifolia"),E252&gt;0),F252*[1]Sheet1!$C$4+E252*[1]Sheet1!$D$4+H252*[1]Sheet1!$J$4+I252*[1]Sheet1!$K$4+[1]Sheet1!$L$4,IF(AND(OR(D252="T. domingensis",D252="T. latifolia"),J252&gt;0),J252*[1]Sheet1!$G$5+K252*[1]Sheet1!$H$5+L252*[1]Sheet1!$I$5+[1]Sheet1!$L$5,0)))))))</f>
        <v>-1.576082</v>
      </c>
      <c r="P252" t="str">
        <f t="shared" si="10"/>
        <v xml:space="preserve"> </v>
      </c>
      <c r="S252">
        <f t="shared" si="11"/>
        <v>0.80118398974999994</v>
      </c>
    </row>
    <row r="253" spans="1:19">
      <c r="A253" s="7">
        <v>42501</v>
      </c>
      <c r="B253" s="6" t="s">
        <v>19</v>
      </c>
      <c r="C253">
        <v>5</v>
      </c>
      <c r="D253" t="s">
        <v>63</v>
      </c>
      <c r="E253">
        <v>54</v>
      </c>
      <c r="F253" s="6">
        <v>0.67</v>
      </c>
      <c r="N253">
        <f t="shared" si="9"/>
        <v>6.3461688795000004</v>
      </c>
      <c r="O253">
        <f>IF(AND(OR(D253="S. acutus",D253="S. californicus",D253="S. tabernaemontani"),G253=0),E253*[1]Sheet1!$D$7+[1]Sheet1!$L$7,IF(AND(OR(D253="S. acutus",D253="S. tabernaemontani"),G253&gt;0),E253*[1]Sheet1!$D$8+N253*[1]Sheet1!$E$8,IF(AND(D253="S. californicus",G253&gt;0),E253*[1]Sheet1!$D$9+N253*[1]Sheet1!$E$9,IF(D253="S. maritimus",F253*[1]Sheet1!$C$10+E253*[1]Sheet1!$D$10+G253*[1]Sheet1!$F$10+[1]Sheet1!$L$10,IF(D253="S. americanus",F253*[1]Sheet1!$C$6+E253*[1]Sheet1!$D$6+[1]Sheet1!$L$6,IF(AND(OR(D253="T. domingensis",D253="T. latifolia"),E253&gt;0),F253*[1]Sheet1!$C$4+E253*[1]Sheet1!$D$4+H253*[1]Sheet1!$J$4+I253*[1]Sheet1!$K$4+[1]Sheet1!$L$4,IF(AND(OR(D253="T. domingensis",D253="T. latifolia"),J253&gt;0),J253*[1]Sheet1!$G$5+K253*[1]Sheet1!$H$5+L253*[1]Sheet1!$I$5+[1]Sheet1!$L$5,0)))))))</f>
        <v>-0.80492699999999973</v>
      </c>
      <c r="P253" t="str">
        <f t="shared" si="10"/>
        <v xml:space="preserve"> </v>
      </c>
      <c r="S253">
        <f t="shared" si="11"/>
        <v>0.35256493775000003</v>
      </c>
    </row>
    <row r="254" spans="1:19">
      <c r="A254" s="7">
        <v>42501</v>
      </c>
      <c r="B254" s="6" t="s">
        <v>19</v>
      </c>
      <c r="C254">
        <v>5</v>
      </c>
      <c r="D254" t="s">
        <v>63</v>
      </c>
      <c r="E254">
        <v>89</v>
      </c>
      <c r="F254" s="6">
        <v>1.02</v>
      </c>
      <c r="N254">
        <f t="shared" si="9"/>
        <v>24.241450916999995</v>
      </c>
      <c r="O254">
        <f>IF(AND(OR(D254="S. acutus",D254="S. californicus",D254="S. tabernaemontani"),G254=0),E254*[1]Sheet1!$D$7+[1]Sheet1!$L$7,IF(AND(OR(D254="S. acutus",D254="S. tabernaemontani"),G254&gt;0),E254*[1]Sheet1!$D$8+N254*[1]Sheet1!$E$8,IF(AND(D254="S. californicus",G254&gt;0),E254*[1]Sheet1!$D$9+N254*[1]Sheet1!$E$9,IF(D254="S. maritimus",F254*[1]Sheet1!$C$10+E254*[1]Sheet1!$D$10+G254*[1]Sheet1!$F$10+[1]Sheet1!$L$10,IF(D254="S. americanus",F254*[1]Sheet1!$C$6+E254*[1]Sheet1!$D$6+[1]Sheet1!$L$6,IF(AND(OR(D254="T. domingensis",D254="T. latifolia"),E254&gt;0),F254*[1]Sheet1!$C$4+E254*[1]Sheet1!$D$4+H254*[1]Sheet1!$J$4+I254*[1]Sheet1!$K$4+[1]Sheet1!$L$4,IF(AND(OR(D254="T. domingensis",D254="T. latifolia"),J254&gt;0),J254*[1]Sheet1!$G$5+K254*[1]Sheet1!$H$5+L254*[1]Sheet1!$I$5+[1]Sheet1!$L$5,0)))))))</f>
        <v>1.6487480000000003</v>
      </c>
      <c r="P254">
        <f t="shared" si="10"/>
        <v>1.6487480000000003</v>
      </c>
      <c r="S254">
        <f t="shared" si="11"/>
        <v>0.817127559</v>
      </c>
    </row>
    <row r="255" spans="1:19">
      <c r="A255" s="7">
        <v>42501</v>
      </c>
      <c r="B255" s="6" t="s">
        <v>19</v>
      </c>
      <c r="C255">
        <v>5</v>
      </c>
      <c r="D255" t="s">
        <v>63</v>
      </c>
      <c r="E255">
        <v>97</v>
      </c>
      <c r="F255" s="6">
        <v>0.89</v>
      </c>
      <c r="G255">
        <v>2</v>
      </c>
      <c r="N255">
        <f t="shared" si="9"/>
        <v>20.114998631916666</v>
      </c>
      <c r="O255">
        <f>IF(AND(OR(D255="S. acutus",D255="S. californicus",D255="S. tabernaemontani"),G255=0),E255*[1]Sheet1!$D$7+[1]Sheet1!$L$7,IF(AND(OR(D255="S. acutus",D255="S. tabernaemontani"),G255&gt;0),E255*[1]Sheet1!$D$8+N255*[1]Sheet1!$E$8,IF(AND(D255="S. californicus",G255&gt;0),E255*[1]Sheet1!$D$9+N255*[1]Sheet1!$E$9,IF(D255="S. maritimus",F255*[1]Sheet1!$C$10+E255*[1]Sheet1!$D$10+G255*[1]Sheet1!$F$10+[1]Sheet1!$L$10,IF(D255="S. americanus",F255*[1]Sheet1!$C$6+E255*[1]Sheet1!$D$6+[1]Sheet1!$L$6,IF(AND(OR(D255="T. domingensis",D255="T. latifolia"),E255&gt;0),F255*[1]Sheet1!$C$4+E255*[1]Sheet1!$D$4+H255*[1]Sheet1!$J$4+I255*[1]Sheet1!$K$4+[1]Sheet1!$L$4,IF(AND(OR(D255="T. domingensis",D255="T. latifolia"),J255&gt;0),J255*[1]Sheet1!$G$5+K255*[1]Sheet1!$H$5+L255*[1]Sheet1!$I$5+[1]Sheet1!$L$5,0)))))))</f>
        <v>4.3829097594464859</v>
      </c>
      <c r="P255">
        <f t="shared" si="10"/>
        <v>4.3829097594464859</v>
      </c>
      <c r="S255">
        <f t="shared" si="11"/>
        <v>0.62211335975000004</v>
      </c>
    </row>
    <row r="256" spans="1:19">
      <c r="A256" s="7">
        <v>42501</v>
      </c>
      <c r="B256" s="6" t="s">
        <v>19</v>
      </c>
      <c r="C256">
        <v>5</v>
      </c>
      <c r="D256" t="s">
        <v>63</v>
      </c>
      <c r="E256">
        <v>84</v>
      </c>
      <c r="F256" s="6">
        <v>0.75</v>
      </c>
      <c r="N256">
        <f t="shared" si="9"/>
        <v>12.370010624999999</v>
      </c>
      <c r="O256">
        <f>IF(AND(OR(D256="S. acutus",D256="S. californicus",D256="S. tabernaemontani"),G256=0),E256*[1]Sheet1!$D$7+[1]Sheet1!$L$7,IF(AND(OR(D256="S. acutus",D256="S. tabernaemontani"),G256&gt;0),E256*[1]Sheet1!$D$8+N256*[1]Sheet1!$E$8,IF(AND(D256="S. californicus",G256&gt;0),E256*[1]Sheet1!$D$9+N256*[1]Sheet1!$E$9,IF(D256="S. maritimus",F256*[1]Sheet1!$C$10+E256*[1]Sheet1!$D$10+G256*[1]Sheet1!$F$10+[1]Sheet1!$L$10,IF(D256="S. americanus",F256*[1]Sheet1!$C$6+E256*[1]Sheet1!$D$6+[1]Sheet1!$L$6,IF(AND(OR(D256="T. domingensis",D256="T. latifolia"),E256&gt;0),F256*[1]Sheet1!$C$4+E256*[1]Sheet1!$D$4+H256*[1]Sheet1!$J$4+I256*[1]Sheet1!$K$4+[1]Sheet1!$L$4,IF(AND(OR(D256="T. domingensis",D256="T. latifolia"),J256&gt;0),J256*[1]Sheet1!$G$5+K256*[1]Sheet1!$H$5+L256*[1]Sheet1!$I$5+[1]Sheet1!$L$5,0)))))))</f>
        <v>1.2982230000000001</v>
      </c>
      <c r="P256">
        <f t="shared" si="10"/>
        <v>1.2982230000000001</v>
      </c>
      <c r="S256">
        <f t="shared" si="11"/>
        <v>0.44178609375</v>
      </c>
    </row>
    <row r="257" spans="1:19">
      <c r="A257" s="7">
        <v>42501</v>
      </c>
      <c r="B257" s="6" t="s">
        <v>19</v>
      </c>
      <c r="C257">
        <v>5</v>
      </c>
      <c r="D257" t="s">
        <v>63</v>
      </c>
      <c r="E257">
        <v>69</v>
      </c>
      <c r="F257" s="6">
        <v>0.85</v>
      </c>
      <c r="N257">
        <f t="shared" si="9"/>
        <v>13.051342956249997</v>
      </c>
      <c r="O257">
        <f>IF(AND(OR(D257="S. acutus",D257="S. californicus",D257="S. tabernaemontani"),G257=0),E257*[1]Sheet1!$D$7+[1]Sheet1!$L$7,IF(AND(OR(D257="S. acutus",D257="S. tabernaemontani"),G257&gt;0),E257*[1]Sheet1!$D$8+N257*[1]Sheet1!$E$8,IF(AND(D257="S. californicus",G257&gt;0),E257*[1]Sheet1!$D$9+N257*[1]Sheet1!$E$9,IF(D257="S. maritimus",F257*[1]Sheet1!$C$10+E257*[1]Sheet1!$D$10+G257*[1]Sheet1!$F$10+[1]Sheet1!$L$10,IF(D257="S. americanus",F257*[1]Sheet1!$C$6+E257*[1]Sheet1!$D$6+[1]Sheet1!$L$6,IF(AND(OR(D257="T. domingensis",D257="T. latifolia"),E257&gt;0),F257*[1]Sheet1!$C$4+E257*[1]Sheet1!$D$4+H257*[1]Sheet1!$J$4+I257*[1]Sheet1!$K$4+[1]Sheet1!$L$4,IF(AND(OR(D257="T. domingensis",D257="T. latifolia"),J257&gt;0),J257*[1]Sheet1!$G$5+K257*[1]Sheet1!$H$5+L257*[1]Sheet1!$I$5+[1]Sheet1!$L$5,0)))))))</f>
        <v>0.24664800000000042</v>
      </c>
      <c r="P257">
        <f t="shared" si="10"/>
        <v>0.24664800000000042</v>
      </c>
      <c r="S257">
        <f t="shared" si="11"/>
        <v>0.56744969374999987</v>
      </c>
    </row>
    <row r="258" spans="1:19">
      <c r="A258" s="7">
        <v>42501</v>
      </c>
      <c r="B258" s="6" t="s">
        <v>19</v>
      </c>
      <c r="C258">
        <v>5</v>
      </c>
      <c r="D258" t="s">
        <v>63</v>
      </c>
      <c r="E258">
        <v>109</v>
      </c>
      <c r="F258" s="6">
        <v>1.0900000000000001</v>
      </c>
      <c r="G258">
        <v>3</v>
      </c>
      <c r="N258">
        <f t="shared" si="9"/>
        <v>33.903751300916667</v>
      </c>
      <c r="O258">
        <f>IF(AND(OR(D258="S. acutus",D258="S. californicus",D258="S. tabernaemontani"),G258=0),E258*[1]Sheet1!$D$7+[1]Sheet1!$L$7,IF(AND(OR(D258="S. acutus",D258="S. tabernaemontani"),G258&gt;0),E258*[1]Sheet1!$D$8+N258*[1]Sheet1!$E$8,IF(AND(D258="S. californicus",G258&gt;0),E258*[1]Sheet1!$D$9+N258*[1]Sheet1!$E$9,IF(D258="S. maritimus",F258*[1]Sheet1!$C$10+E258*[1]Sheet1!$D$10+G258*[1]Sheet1!$F$10+[1]Sheet1!$L$10,IF(D258="S. americanus",F258*[1]Sheet1!$C$6+E258*[1]Sheet1!$D$6+[1]Sheet1!$L$6,IF(AND(OR(D258="T. domingensis",D258="T. latifolia"),E258&gt;0),F258*[1]Sheet1!$C$4+E258*[1]Sheet1!$D$4+H258*[1]Sheet1!$J$4+I258*[1]Sheet1!$K$4+[1]Sheet1!$L$4,IF(AND(OR(D258="T. domingensis",D258="T. latifolia"),J258&gt;0),J258*[1]Sheet1!$G$5+K258*[1]Sheet1!$H$5+L258*[1]Sheet1!$I$5+[1]Sheet1!$L$5,0)))))))</f>
        <v>5.2890052052656875</v>
      </c>
      <c r="P258">
        <f t="shared" si="10"/>
        <v>5.2890052052656875</v>
      </c>
      <c r="S258">
        <f t="shared" si="11"/>
        <v>0.93313076975000009</v>
      </c>
    </row>
    <row r="259" spans="1:19">
      <c r="A259" s="7">
        <v>42501</v>
      </c>
      <c r="B259" s="6" t="s">
        <v>19</v>
      </c>
      <c r="C259">
        <v>5</v>
      </c>
      <c r="D259" t="s">
        <v>63</v>
      </c>
      <c r="E259">
        <v>135</v>
      </c>
      <c r="F259" s="6">
        <v>1.28</v>
      </c>
      <c r="G259">
        <v>2</v>
      </c>
      <c r="N259">
        <f t="shared" si="9"/>
        <v>57.905786880000001</v>
      </c>
      <c r="O259">
        <f>IF(AND(OR(D259="S. acutus",D259="S. californicus",D259="S. tabernaemontani"),G259=0),E259*[1]Sheet1!$D$7+[1]Sheet1!$L$7,IF(AND(OR(D259="S. acutus",D259="S. tabernaemontani"),G259&gt;0),E259*[1]Sheet1!$D$8+N259*[1]Sheet1!$E$8,IF(AND(D259="S. californicus",G259&gt;0),E259*[1]Sheet1!$D$9+N259*[1]Sheet1!$E$9,IF(D259="S. maritimus",F259*[1]Sheet1!$C$10+E259*[1]Sheet1!$D$10+G259*[1]Sheet1!$F$10+[1]Sheet1!$L$10,IF(D259="S. americanus",F259*[1]Sheet1!$C$6+E259*[1]Sheet1!$D$6+[1]Sheet1!$L$6,IF(AND(OR(D259="T. domingensis",D259="T. latifolia"),E259&gt;0),F259*[1]Sheet1!$C$4+E259*[1]Sheet1!$D$4+H259*[1]Sheet1!$J$4+I259*[1]Sheet1!$K$4+[1]Sheet1!$L$4,IF(AND(OR(D259="T. domingensis",D259="T. latifolia"),J259&gt;0),J259*[1]Sheet1!$G$5+K259*[1]Sheet1!$H$5+L259*[1]Sheet1!$I$5+[1]Sheet1!$L$5,0)))))))</f>
        <v>7.0630769527441917</v>
      </c>
      <c r="P259">
        <f t="shared" si="10"/>
        <v>7.0630769527441917</v>
      </c>
      <c r="S259">
        <f t="shared" si="11"/>
        <v>1.286795264</v>
      </c>
    </row>
    <row r="260" spans="1:19">
      <c r="A260" s="7">
        <v>42501</v>
      </c>
      <c r="B260" s="6" t="s">
        <v>19</v>
      </c>
      <c r="C260">
        <v>5</v>
      </c>
      <c r="D260" t="s">
        <v>63</v>
      </c>
      <c r="E260">
        <v>87</v>
      </c>
      <c r="F260" s="6">
        <v>0.65</v>
      </c>
      <c r="N260">
        <f t="shared" ref="N260:N323" si="12">IF(OR(D260="S. acutus", D260="S. tabernaemontani", D260="S. californicus"),(1/3)*(3.14159)*((F260/2)^2)*E260,"NA")</f>
        <v>9.6230828687500001</v>
      </c>
      <c r="O260">
        <f>IF(AND(OR(D260="S. acutus",D260="S. californicus",D260="S. tabernaemontani"),G260=0),E260*[1]Sheet1!$D$7+[1]Sheet1!$L$7,IF(AND(OR(D260="S. acutus",D260="S. tabernaemontani"),G260&gt;0),E260*[1]Sheet1!$D$8+N260*[1]Sheet1!$E$8,IF(AND(D260="S. californicus",G260&gt;0),E260*[1]Sheet1!$D$9+N260*[1]Sheet1!$E$9,IF(D260="S. maritimus",F260*[1]Sheet1!$C$10+E260*[1]Sheet1!$D$10+G260*[1]Sheet1!$F$10+[1]Sheet1!$L$10,IF(D260="S. americanus",F260*[1]Sheet1!$C$6+E260*[1]Sheet1!$D$6+[1]Sheet1!$L$6,IF(AND(OR(D260="T. domingensis",D260="T. latifolia"),E260&gt;0),F260*[1]Sheet1!$C$4+E260*[1]Sheet1!$D$4+H260*[1]Sheet1!$J$4+I260*[1]Sheet1!$K$4+[1]Sheet1!$L$4,IF(AND(OR(D260="T. domingensis",D260="T. latifolia"),J260&gt;0),J260*[1]Sheet1!$G$5+K260*[1]Sheet1!$H$5+L260*[1]Sheet1!$I$5+[1]Sheet1!$L$5,0)))))))</f>
        <v>1.5085380000000006</v>
      </c>
      <c r="P260">
        <f t="shared" ref="P260:P323" si="13">IF(O260&lt;0," ",O260)</f>
        <v>1.5085380000000006</v>
      </c>
      <c r="S260">
        <f t="shared" ref="S260:S323" si="14">3.14159*((F260/2)^2)</f>
        <v>0.33183044375000004</v>
      </c>
    </row>
    <row r="261" spans="1:19">
      <c r="A261" s="7">
        <v>42501</v>
      </c>
      <c r="B261" s="6" t="s">
        <v>19</v>
      </c>
      <c r="C261">
        <v>5</v>
      </c>
      <c r="D261" t="s">
        <v>63</v>
      </c>
      <c r="E261">
        <v>94</v>
      </c>
      <c r="F261" s="6">
        <v>0.75</v>
      </c>
      <c r="G261">
        <v>2</v>
      </c>
      <c r="N261">
        <f t="shared" si="12"/>
        <v>13.842630937499997</v>
      </c>
      <c r="O261">
        <f>IF(AND(OR(D261="S. acutus",D261="S. californicus",D261="S. tabernaemontani"),G261=0),E261*[1]Sheet1!$D$7+[1]Sheet1!$L$7,IF(AND(OR(D261="S. acutus",D261="S. tabernaemontani"),G261&gt;0),E261*[1]Sheet1!$D$8+N261*[1]Sheet1!$E$8,IF(AND(D261="S. californicus",G261&gt;0),E261*[1]Sheet1!$D$9+N261*[1]Sheet1!$E$9,IF(D261="S. maritimus",F261*[1]Sheet1!$C$10+E261*[1]Sheet1!$D$10+G261*[1]Sheet1!$F$10+[1]Sheet1!$L$10,IF(D261="S. americanus",F261*[1]Sheet1!$C$6+E261*[1]Sheet1!$D$6+[1]Sheet1!$L$6,IF(AND(OR(D261="T. domingensis",D261="T. latifolia"),E261&gt;0),F261*[1]Sheet1!$C$4+E261*[1]Sheet1!$D$4+H261*[1]Sheet1!$J$4+I261*[1]Sheet1!$K$4+[1]Sheet1!$L$4,IF(AND(OR(D261="T. domingensis",D261="T. latifolia"),J261&gt;0),J261*[1]Sheet1!$G$5+K261*[1]Sheet1!$H$5+L261*[1]Sheet1!$I$5+[1]Sheet1!$L$5,0)))))))</f>
        <v>4.065412574555344</v>
      </c>
      <c r="P261">
        <f t="shared" si="13"/>
        <v>4.065412574555344</v>
      </c>
      <c r="S261">
        <f t="shared" si="14"/>
        <v>0.44178609375</v>
      </c>
    </row>
    <row r="262" spans="1:19">
      <c r="A262" s="7">
        <v>42501</v>
      </c>
      <c r="B262" s="6" t="s">
        <v>19</v>
      </c>
      <c r="C262">
        <v>5</v>
      </c>
      <c r="D262" t="s">
        <v>63</v>
      </c>
      <c r="E262">
        <v>123</v>
      </c>
      <c r="F262" s="6">
        <v>0.82</v>
      </c>
      <c r="G262">
        <v>2</v>
      </c>
      <c r="N262">
        <f t="shared" si="12"/>
        <v>21.652152438999995</v>
      </c>
      <c r="O262">
        <f>IF(AND(OR(D262="S. acutus",D262="S. californicus",D262="S. tabernaemontani"),G262=0),E262*[1]Sheet1!$D$7+[1]Sheet1!$L$7,IF(AND(OR(D262="S. acutus",D262="S. tabernaemontani"),G262&gt;0),E262*[1]Sheet1!$D$8+N262*[1]Sheet1!$E$8,IF(AND(D262="S. californicus",G262&gt;0),E262*[1]Sheet1!$D$9+N262*[1]Sheet1!$E$9,IF(D262="S. maritimus",F262*[1]Sheet1!$C$10+E262*[1]Sheet1!$D$10+G262*[1]Sheet1!$F$10+[1]Sheet1!$L$10,IF(D262="S. americanus",F262*[1]Sheet1!$C$6+E262*[1]Sheet1!$D$6+[1]Sheet1!$L$6,IF(AND(OR(D262="T. domingensis",D262="T. latifolia"),E262&gt;0),F262*[1]Sheet1!$C$4+E262*[1]Sheet1!$D$4+H262*[1]Sheet1!$J$4+I262*[1]Sheet1!$K$4+[1]Sheet1!$L$4,IF(AND(OR(D262="T. domingensis",D262="T. latifolia"),J262&gt;0),J262*[1]Sheet1!$G$5+K262*[1]Sheet1!$H$5+L262*[1]Sheet1!$I$5+[1]Sheet1!$L$5,0)))))))</f>
        <v>5.4335920954729957</v>
      </c>
      <c r="P262">
        <f t="shared" si="13"/>
        <v>5.4335920954729957</v>
      </c>
      <c r="S262">
        <f t="shared" si="14"/>
        <v>0.52810127899999992</v>
      </c>
    </row>
    <row r="263" spans="1:19">
      <c r="A263" s="7">
        <v>42501</v>
      </c>
      <c r="B263" s="6" t="s">
        <v>19</v>
      </c>
      <c r="C263">
        <v>5</v>
      </c>
      <c r="D263" t="s">
        <v>63</v>
      </c>
      <c r="E263">
        <v>100</v>
      </c>
      <c r="F263" s="6">
        <v>0.94</v>
      </c>
      <c r="G263">
        <v>1</v>
      </c>
      <c r="N263">
        <f t="shared" si="12"/>
        <v>23.132574366666663</v>
      </c>
      <c r="O263">
        <f>IF(AND(OR(D263="S. acutus",D263="S. californicus",D263="S. tabernaemontani"),G263=0),E263*[1]Sheet1!$D$7+[1]Sheet1!$L$7,IF(AND(OR(D263="S. acutus",D263="S. tabernaemontani"),G263&gt;0),E263*[1]Sheet1!$D$8+N263*[1]Sheet1!$E$8,IF(AND(D263="S. californicus",G263&gt;0),E263*[1]Sheet1!$D$9+N263*[1]Sheet1!$E$9,IF(D263="S. maritimus",F263*[1]Sheet1!$C$10+E263*[1]Sheet1!$D$10+G263*[1]Sheet1!$F$10+[1]Sheet1!$L$10,IF(D263="S. americanus",F263*[1]Sheet1!$C$6+E263*[1]Sheet1!$D$6+[1]Sheet1!$L$6,IF(AND(OR(D263="T. domingensis",D263="T. latifolia"),E263&gt;0),F263*[1]Sheet1!$C$4+E263*[1]Sheet1!$D$4+H263*[1]Sheet1!$J$4+I263*[1]Sheet1!$K$4+[1]Sheet1!$L$4,IF(AND(OR(D263="T. domingensis",D263="T. latifolia"),J263&gt;0),J263*[1]Sheet1!$G$5+K263*[1]Sheet1!$H$5+L263*[1]Sheet1!$I$5+[1]Sheet1!$L$5,0)))))))</f>
        <v>4.5955997139235967</v>
      </c>
      <c r="P263">
        <f t="shared" si="13"/>
        <v>4.5955997139235967</v>
      </c>
      <c r="S263">
        <f t="shared" si="14"/>
        <v>0.69397723099999997</v>
      </c>
    </row>
    <row r="264" spans="1:19">
      <c r="A264" s="7">
        <v>42501</v>
      </c>
      <c r="B264" s="6" t="s">
        <v>19</v>
      </c>
      <c r="C264">
        <v>5</v>
      </c>
      <c r="D264" t="s">
        <v>63</v>
      </c>
      <c r="E264">
        <v>58</v>
      </c>
      <c r="F264" s="6">
        <v>0.79</v>
      </c>
      <c r="N264">
        <f t="shared" si="12"/>
        <v>9.4765538751666671</v>
      </c>
      <c r="O264">
        <f>IF(AND(OR(D264="S. acutus",D264="S. californicus",D264="S. tabernaemontani"),G264=0),E264*[1]Sheet1!$D$7+[1]Sheet1!$L$7,IF(AND(OR(D264="S. acutus",D264="S. tabernaemontani"),G264&gt;0),E264*[1]Sheet1!$D$8+N264*[1]Sheet1!$E$8,IF(AND(D264="S. californicus",G264&gt;0),E264*[1]Sheet1!$D$9+N264*[1]Sheet1!$E$9,IF(D264="S. maritimus",F264*[1]Sheet1!$C$10+E264*[1]Sheet1!$D$10+G264*[1]Sheet1!$F$10+[1]Sheet1!$L$10,IF(D264="S. americanus",F264*[1]Sheet1!$C$6+E264*[1]Sheet1!$D$6+[1]Sheet1!$L$6,IF(AND(OR(D264="T. domingensis",D264="T. latifolia"),E264&gt;0),F264*[1]Sheet1!$C$4+E264*[1]Sheet1!$D$4+H264*[1]Sheet1!$J$4+I264*[1]Sheet1!$K$4+[1]Sheet1!$L$4,IF(AND(OR(D264="T. domingensis",D264="T. latifolia"),J264&gt;0),J264*[1]Sheet1!$G$5+K264*[1]Sheet1!$H$5+L264*[1]Sheet1!$I$5+[1]Sheet1!$L$5,0)))))))</f>
        <v>-0.52450699999999983</v>
      </c>
      <c r="P264" t="str">
        <f t="shared" si="13"/>
        <v xml:space="preserve"> </v>
      </c>
      <c r="S264">
        <f t="shared" si="14"/>
        <v>0.49016657975000005</v>
      </c>
    </row>
    <row r="265" spans="1:19">
      <c r="A265" s="7">
        <v>42501</v>
      </c>
      <c r="B265" s="6" t="s">
        <v>19</v>
      </c>
      <c r="C265">
        <v>5</v>
      </c>
      <c r="D265" t="s">
        <v>63</v>
      </c>
      <c r="E265">
        <v>110</v>
      </c>
      <c r="F265" s="6">
        <v>1.01</v>
      </c>
      <c r="N265">
        <f t="shared" si="12"/>
        <v>29.376746290833331</v>
      </c>
      <c r="O265">
        <f>IF(AND(OR(D265="S. acutus",D265="S. californicus",D265="S. tabernaemontani"),G265=0),E265*[1]Sheet1!$D$7+[1]Sheet1!$L$7,IF(AND(OR(D265="S. acutus",D265="S. tabernaemontani"),G265&gt;0),E265*[1]Sheet1!$D$8+N265*[1]Sheet1!$E$8,IF(AND(D265="S. californicus",G265&gt;0),E265*[1]Sheet1!$D$9+N265*[1]Sheet1!$E$9,IF(D265="S. maritimus",F265*[1]Sheet1!$C$10+E265*[1]Sheet1!$D$10+G265*[1]Sheet1!$F$10+[1]Sheet1!$L$10,IF(D265="S. americanus",F265*[1]Sheet1!$C$6+E265*[1]Sheet1!$D$6+[1]Sheet1!$L$6,IF(AND(OR(D265="T. domingensis",D265="T. latifolia"),E265&gt;0),F265*[1]Sheet1!$C$4+E265*[1]Sheet1!$D$4+H265*[1]Sheet1!$J$4+I265*[1]Sheet1!$K$4+[1]Sheet1!$L$4,IF(AND(OR(D265="T. domingensis",D265="T. latifolia"),J265&gt;0),J265*[1]Sheet1!$G$5+K265*[1]Sheet1!$H$5+L265*[1]Sheet1!$I$5+[1]Sheet1!$L$5,0)))))))</f>
        <v>3.1209530000000001</v>
      </c>
      <c r="P265">
        <f t="shared" si="13"/>
        <v>3.1209530000000001</v>
      </c>
      <c r="S265">
        <f t="shared" si="14"/>
        <v>0.80118398974999994</v>
      </c>
    </row>
    <row r="266" spans="1:19">
      <c r="A266" s="7">
        <v>42501</v>
      </c>
      <c r="B266" s="6" t="s">
        <v>19</v>
      </c>
      <c r="C266">
        <v>5</v>
      </c>
      <c r="D266" t="s">
        <v>63</v>
      </c>
      <c r="E266">
        <v>129</v>
      </c>
      <c r="F266" s="6">
        <v>1.07</v>
      </c>
      <c r="G266">
        <v>4</v>
      </c>
      <c r="N266">
        <f t="shared" si="12"/>
        <v>38.665668703249992</v>
      </c>
      <c r="O266">
        <f>IF(AND(OR(D266="S. acutus",D266="S. californicus",D266="S. tabernaemontani"),G266=0),E266*[1]Sheet1!$D$7+[1]Sheet1!$L$7,IF(AND(OR(D266="S. acutus",D266="S. tabernaemontani"),G266&gt;0),E266*[1]Sheet1!$D$8+N266*[1]Sheet1!$E$8,IF(AND(D266="S. californicus",G266&gt;0),E266*[1]Sheet1!$D$9+N266*[1]Sheet1!$E$9,IF(D266="S. maritimus",F266*[1]Sheet1!$C$10+E266*[1]Sheet1!$D$10+G266*[1]Sheet1!$F$10+[1]Sheet1!$L$10,IF(D266="S. americanus",F266*[1]Sheet1!$C$6+E266*[1]Sheet1!$D$6+[1]Sheet1!$L$6,IF(AND(OR(D266="T. domingensis",D266="T. latifolia"),E266&gt;0),F266*[1]Sheet1!$C$4+E266*[1]Sheet1!$D$4+H266*[1]Sheet1!$J$4+I266*[1]Sheet1!$K$4+[1]Sheet1!$L$4,IF(AND(OR(D266="T. domingensis",D266="T. latifolia"),J266&gt;0),J266*[1]Sheet1!$G$5+K266*[1]Sheet1!$H$5+L266*[1]Sheet1!$I$5+[1]Sheet1!$L$5,0)))))))</f>
        <v>6.2124852313464833</v>
      </c>
      <c r="P266">
        <f t="shared" si="13"/>
        <v>6.2124852313464833</v>
      </c>
      <c r="S266">
        <f t="shared" si="14"/>
        <v>0.89920159774999997</v>
      </c>
    </row>
    <row r="267" spans="1:19">
      <c r="A267" s="7">
        <v>42501</v>
      </c>
      <c r="B267" s="6" t="s">
        <v>19</v>
      </c>
      <c r="C267">
        <v>5</v>
      </c>
      <c r="D267" t="s">
        <v>63</v>
      </c>
      <c r="E267">
        <v>105</v>
      </c>
      <c r="F267" s="6">
        <v>1.1499999999999999</v>
      </c>
      <c r="G267">
        <v>2</v>
      </c>
      <c r="N267">
        <f t="shared" si="12"/>
        <v>36.35408678124999</v>
      </c>
      <c r="O267">
        <f>IF(AND(OR(D267="S. acutus",D267="S. californicus",D267="S. tabernaemontani"),G267=0),E267*[1]Sheet1!$D$7+[1]Sheet1!$L$7,IF(AND(OR(D267="S. acutus",D267="S. tabernaemontani"),G267&gt;0),E267*[1]Sheet1!$D$8+N267*[1]Sheet1!$E$8,IF(AND(D267="S. californicus",G267&gt;0),E267*[1]Sheet1!$D$9+N267*[1]Sheet1!$E$9,IF(D267="S. maritimus",F267*[1]Sheet1!$C$10+E267*[1]Sheet1!$D$10+G267*[1]Sheet1!$F$10+[1]Sheet1!$L$10,IF(D267="S. americanus",F267*[1]Sheet1!$C$6+E267*[1]Sheet1!$D$6+[1]Sheet1!$L$6,IF(AND(OR(D267="T. domingensis",D267="T. latifolia"),E267&gt;0),F267*[1]Sheet1!$C$4+E267*[1]Sheet1!$D$4+H267*[1]Sheet1!$J$4+I267*[1]Sheet1!$K$4+[1]Sheet1!$L$4,IF(AND(OR(D267="T. domingensis",D267="T. latifolia"),J267&gt;0),J267*[1]Sheet1!$G$5+K267*[1]Sheet1!$H$5+L267*[1]Sheet1!$I$5+[1]Sheet1!$L$5,0)))))))</f>
        <v>5.2138798130343531</v>
      </c>
      <c r="P267">
        <f t="shared" si="13"/>
        <v>5.2138798130343531</v>
      </c>
      <c r="S267">
        <f t="shared" si="14"/>
        <v>1.0386881937499999</v>
      </c>
    </row>
    <row r="268" spans="1:19">
      <c r="A268" s="7">
        <v>42501</v>
      </c>
      <c r="B268" s="6" t="s">
        <v>19</v>
      </c>
      <c r="C268">
        <v>5</v>
      </c>
      <c r="D268" s="6" t="s">
        <v>62</v>
      </c>
      <c r="E268">
        <v>136</v>
      </c>
      <c r="F268" s="6">
        <v>1.33</v>
      </c>
      <c r="N268">
        <f t="shared" si="12"/>
        <v>62.981130244666666</v>
      </c>
      <c r="O268">
        <f>IF(AND(OR(D268="S. acutus",D268="S. californicus",D268="S. tabernaemontani"),G268=0),E268*[1]Sheet1!$D$7+[1]Sheet1!$L$7,IF(AND(OR(D268="S. acutus",D268="S. tabernaemontani"),G268&gt;0),E268*[1]Sheet1!$D$8+N268*[1]Sheet1!$E$8,IF(AND(D268="S. californicus",G268&gt;0),E268*[1]Sheet1!$D$9+N268*[1]Sheet1!$E$9,IF(D268="S. maritimus",F268*[1]Sheet1!$C$10+E268*[1]Sheet1!$D$10+G268*[1]Sheet1!$F$10+[1]Sheet1!$L$10,IF(D268="S. americanus",F268*[1]Sheet1!$C$6+E268*[1]Sheet1!$D$6+[1]Sheet1!$L$6,IF(AND(OR(D268="T. domingensis",D268="T. latifolia"),E268&gt;0),F268*[1]Sheet1!$C$4+E268*[1]Sheet1!$D$4+H268*[1]Sheet1!$J$4+I268*[1]Sheet1!$K$4+[1]Sheet1!$L$4,IF(AND(OR(D268="T. domingensis",D268="T. latifolia"),J268&gt;0),J268*[1]Sheet1!$G$5+K268*[1]Sheet1!$H$5+L268*[1]Sheet1!$I$5+[1]Sheet1!$L$5,0)))))))</f>
        <v>4.9436830000000009</v>
      </c>
      <c r="P268">
        <f t="shared" si="13"/>
        <v>4.9436830000000009</v>
      </c>
      <c r="S268">
        <f t="shared" si="14"/>
        <v>1.3892896377500001</v>
      </c>
    </row>
    <row r="269" spans="1:19">
      <c r="A269" s="7">
        <v>42501</v>
      </c>
      <c r="B269" s="6" t="s">
        <v>19</v>
      </c>
      <c r="C269">
        <v>5</v>
      </c>
      <c r="D269" s="6" t="s">
        <v>62</v>
      </c>
      <c r="E269">
        <v>85</v>
      </c>
      <c r="F269" s="6">
        <v>1.36</v>
      </c>
      <c r="N269">
        <f t="shared" si="12"/>
        <v>41.159017786666666</v>
      </c>
      <c r="O269">
        <f>IF(AND(OR(D269="S. acutus",D269="S. californicus",D269="S. tabernaemontani"),G269=0),E269*[1]Sheet1!$D$7+[1]Sheet1!$L$7,IF(AND(OR(D269="S. acutus",D269="S. tabernaemontani"),G269&gt;0),E269*[1]Sheet1!$D$8+N269*[1]Sheet1!$E$8,IF(AND(D269="S. californicus",G269&gt;0),E269*[1]Sheet1!$D$9+N269*[1]Sheet1!$E$9,IF(D269="S. maritimus",F269*[1]Sheet1!$C$10+E269*[1]Sheet1!$D$10+G269*[1]Sheet1!$F$10+[1]Sheet1!$L$10,IF(D269="S. americanus",F269*[1]Sheet1!$C$6+E269*[1]Sheet1!$D$6+[1]Sheet1!$L$6,IF(AND(OR(D269="T. domingensis",D269="T. latifolia"),E269&gt;0),F269*[1]Sheet1!$C$4+E269*[1]Sheet1!$D$4+H269*[1]Sheet1!$J$4+I269*[1]Sheet1!$K$4+[1]Sheet1!$L$4,IF(AND(OR(D269="T. domingensis",D269="T. latifolia"),J269&gt;0),J269*[1]Sheet1!$G$5+K269*[1]Sheet1!$H$5+L269*[1]Sheet1!$I$5+[1]Sheet1!$L$5,0)))))))</f>
        <v>1.368328</v>
      </c>
      <c r="P269">
        <f t="shared" si="13"/>
        <v>1.368328</v>
      </c>
      <c r="S269">
        <f t="shared" si="14"/>
        <v>1.4526712160000002</v>
      </c>
    </row>
    <row r="270" spans="1:19">
      <c r="A270" s="7">
        <v>42501</v>
      </c>
      <c r="B270" s="6" t="s">
        <v>19</v>
      </c>
      <c r="C270">
        <v>5</v>
      </c>
      <c r="D270" s="6" t="s">
        <v>62</v>
      </c>
      <c r="E270">
        <v>56</v>
      </c>
      <c r="F270" s="6">
        <v>0.84</v>
      </c>
      <c r="N270">
        <f t="shared" si="12"/>
        <v>10.344627551999999</v>
      </c>
      <c r="O270">
        <f>IF(AND(OR(D270="S. acutus",D270="S. californicus",D270="S. tabernaemontani"),G270=0),E270*[1]Sheet1!$D$7+[1]Sheet1!$L$7,IF(AND(OR(D270="S. acutus",D270="S. tabernaemontani"),G270&gt;0),E270*[1]Sheet1!$D$8+N270*[1]Sheet1!$E$8,IF(AND(D270="S. californicus",G270&gt;0),E270*[1]Sheet1!$D$9+N270*[1]Sheet1!$E$9,IF(D270="S. maritimus",F270*[1]Sheet1!$C$10+E270*[1]Sheet1!$D$10+G270*[1]Sheet1!$F$10+[1]Sheet1!$L$10,IF(D270="S. americanus",F270*[1]Sheet1!$C$6+E270*[1]Sheet1!$D$6+[1]Sheet1!$L$6,IF(AND(OR(D270="T. domingensis",D270="T. latifolia"),E270&gt;0),F270*[1]Sheet1!$C$4+E270*[1]Sheet1!$D$4+H270*[1]Sheet1!$J$4+I270*[1]Sheet1!$K$4+[1]Sheet1!$L$4,IF(AND(OR(D270="T. domingensis",D270="T. latifolia"),J270&gt;0),J270*[1]Sheet1!$G$5+K270*[1]Sheet1!$H$5+L270*[1]Sheet1!$I$5+[1]Sheet1!$L$5,0)))))))</f>
        <v>-0.66471699999999956</v>
      </c>
      <c r="P270" t="str">
        <f t="shared" si="13"/>
        <v xml:space="preserve"> </v>
      </c>
      <c r="S270">
        <f t="shared" si="14"/>
        <v>0.55417647599999986</v>
      </c>
    </row>
    <row r="271" spans="1:19">
      <c r="A271" s="7">
        <v>42501</v>
      </c>
      <c r="B271" s="6" t="s">
        <v>19</v>
      </c>
      <c r="C271">
        <v>5</v>
      </c>
      <c r="D271" s="6" t="s">
        <v>62</v>
      </c>
      <c r="E271">
        <v>81</v>
      </c>
      <c r="F271" s="6">
        <v>1.08</v>
      </c>
      <c r="N271">
        <f t="shared" si="12"/>
        <v>24.734366388000002</v>
      </c>
      <c r="O271">
        <f>IF(AND(OR(D271="S. acutus",D271="S. californicus",D271="S. tabernaemontani"),G271=0),E271*[1]Sheet1!$D$7+[1]Sheet1!$L$7,IF(AND(OR(D271="S. acutus",D271="S. tabernaemontani"),G271&gt;0),E271*[1]Sheet1!$D$8+N271*[1]Sheet1!$E$8,IF(AND(D271="S. californicus",G271&gt;0),E271*[1]Sheet1!$D$9+N271*[1]Sheet1!$E$9,IF(D271="S. maritimus",F271*[1]Sheet1!$C$10+E271*[1]Sheet1!$D$10+G271*[1]Sheet1!$F$10+[1]Sheet1!$L$10,IF(D271="S. americanus",F271*[1]Sheet1!$C$6+E271*[1]Sheet1!$D$6+[1]Sheet1!$L$6,IF(AND(OR(D271="T. domingensis",D271="T. latifolia"),E271&gt;0),F271*[1]Sheet1!$C$4+E271*[1]Sheet1!$D$4+H271*[1]Sheet1!$J$4+I271*[1]Sheet1!$K$4+[1]Sheet1!$L$4,IF(AND(OR(D271="T. domingensis",D271="T. latifolia"),J271&gt;0),J271*[1]Sheet1!$G$5+K271*[1]Sheet1!$H$5+L271*[1]Sheet1!$I$5+[1]Sheet1!$L$5,0)))))))</f>
        <v>1.0879080000000005</v>
      </c>
      <c r="P271">
        <f t="shared" si="13"/>
        <v>1.0879080000000005</v>
      </c>
      <c r="S271">
        <f t="shared" si="14"/>
        <v>0.91608764400000009</v>
      </c>
    </row>
    <row r="272" spans="1:19">
      <c r="A272" s="7">
        <v>42501</v>
      </c>
      <c r="B272" s="6" t="s">
        <v>19</v>
      </c>
      <c r="C272">
        <v>5</v>
      </c>
      <c r="D272" s="6" t="s">
        <v>62</v>
      </c>
      <c r="E272">
        <v>21</v>
      </c>
      <c r="F272" s="6">
        <v>0.4</v>
      </c>
      <c r="N272">
        <f t="shared" si="12"/>
        <v>0.87964520000000002</v>
      </c>
      <c r="O272">
        <f>IF(AND(OR(D272="S. acutus",D272="S. californicus",D272="S. tabernaemontani"),G272=0),E272*[1]Sheet1!$D$7+[1]Sheet1!$L$7,IF(AND(OR(D272="S. acutus",D272="S. tabernaemontani"),G272&gt;0),E272*[1]Sheet1!$D$8+N272*[1]Sheet1!$E$8,IF(AND(D272="S. californicus",G272&gt;0),E272*[1]Sheet1!$D$9+N272*[1]Sheet1!$E$9,IF(D272="S. maritimus",F272*[1]Sheet1!$C$10+E272*[1]Sheet1!$D$10+G272*[1]Sheet1!$F$10+[1]Sheet1!$L$10,IF(D272="S. americanus",F272*[1]Sheet1!$C$6+E272*[1]Sheet1!$D$6+[1]Sheet1!$L$6,IF(AND(OR(D272="T. domingensis",D272="T. latifolia"),E272&gt;0),F272*[1]Sheet1!$C$4+E272*[1]Sheet1!$D$4+H272*[1]Sheet1!$J$4+I272*[1]Sheet1!$K$4+[1]Sheet1!$L$4,IF(AND(OR(D272="T. domingensis",D272="T. latifolia"),J272&gt;0),J272*[1]Sheet1!$G$5+K272*[1]Sheet1!$H$5+L272*[1]Sheet1!$I$5+[1]Sheet1!$L$5,0)))))))</f>
        <v>-3.1183920000000001</v>
      </c>
      <c r="P272" t="str">
        <f t="shared" si="13"/>
        <v xml:space="preserve"> </v>
      </c>
      <c r="S272">
        <f t="shared" si="14"/>
        <v>0.12566360000000001</v>
      </c>
    </row>
    <row r="273" spans="1:19">
      <c r="A273" s="7">
        <v>42501</v>
      </c>
      <c r="B273" s="6" t="s">
        <v>19</v>
      </c>
      <c r="C273">
        <v>5</v>
      </c>
      <c r="D273" s="6" t="s">
        <v>62</v>
      </c>
      <c r="E273">
        <v>112</v>
      </c>
      <c r="F273" s="6">
        <v>1.59</v>
      </c>
      <c r="N273">
        <f t="shared" si="12"/>
        <v>74.127701004000002</v>
      </c>
      <c r="O273">
        <f>IF(AND(OR(D273="S. acutus",D273="S. californicus",D273="S. tabernaemontani"),G273=0),E273*[1]Sheet1!$D$7+[1]Sheet1!$L$7,IF(AND(OR(D273="S. acutus",D273="S. tabernaemontani"),G273&gt;0),E273*[1]Sheet1!$D$8+N273*[1]Sheet1!$E$8,IF(AND(D273="S. californicus",G273&gt;0),E273*[1]Sheet1!$D$9+N273*[1]Sheet1!$E$9,IF(D273="S. maritimus",F273*[1]Sheet1!$C$10+E273*[1]Sheet1!$D$10+G273*[1]Sheet1!$F$10+[1]Sheet1!$L$10,IF(D273="S. americanus",F273*[1]Sheet1!$C$6+E273*[1]Sheet1!$D$6+[1]Sheet1!$L$6,IF(AND(OR(D273="T. domingensis",D273="T. latifolia"),E273&gt;0),F273*[1]Sheet1!$C$4+E273*[1]Sheet1!$D$4+H273*[1]Sheet1!$J$4+I273*[1]Sheet1!$K$4+[1]Sheet1!$L$4,IF(AND(OR(D273="T. domingensis",D273="T. latifolia"),J273&gt;0),J273*[1]Sheet1!$G$5+K273*[1]Sheet1!$H$5+L273*[1]Sheet1!$I$5+[1]Sheet1!$L$5,0)))))))</f>
        <v>3.2611630000000007</v>
      </c>
      <c r="P273">
        <f t="shared" si="13"/>
        <v>3.2611630000000007</v>
      </c>
      <c r="S273">
        <f t="shared" si="14"/>
        <v>1.9855634197500001</v>
      </c>
    </row>
    <row r="274" spans="1:19">
      <c r="A274" s="7">
        <v>42501</v>
      </c>
      <c r="B274" s="6" t="s">
        <v>19</v>
      </c>
      <c r="C274">
        <v>5</v>
      </c>
      <c r="D274" s="6" t="s">
        <v>62</v>
      </c>
      <c r="E274">
        <v>56</v>
      </c>
      <c r="F274" s="6">
        <v>0.69</v>
      </c>
      <c r="N274">
        <f t="shared" si="12"/>
        <v>6.9799846619999979</v>
      </c>
      <c r="O274">
        <f>IF(AND(OR(D274="S. acutus",D274="S. californicus",D274="S. tabernaemontani"),G274=0),E274*[1]Sheet1!$D$7+[1]Sheet1!$L$7,IF(AND(OR(D274="S. acutus",D274="S. tabernaemontani"),G274&gt;0),E274*[1]Sheet1!$D$8+N274*[1]Sheet1!$E$8,IF(AND(D274="S. californicus",G274&gt;0),E274*[1]Sheet1!$D$9+N274*[1]Sheet1!$E$9,IF(D274="S. maritimus",F274*[1]Sheet1!$C$10+E274*[1]Sheet1!$D$10+G274*[1]Sheet1!$F$10+[1]Sheet1!$L$10,IF(D274="S. americanus",F274*[1]Sheet1!$C$6+E274*[1]Sheet1!$D$6+[1]Sheet1!$L$6,IF(AND(OR(D274="T. domingensis",D274="T. latifolia"),E274&gt;0),F274*[1]Sheet1!$C$4+E274*[1]Sheet1!$D$4+H274*[1]Sheet1!$J$4+I274*[1]Sheet1!$K$4+[1]Sheet1!$L$4,IF(AND(OR(D274="T. domingensis",D274="T. latifolia"),J274&gt;0),J274*[1]Sheet1!$G$5+K274*[1]Sheet1!$H$5+L274*[1]Sheet1!$I$5+[1]Sheet1!$L$5,0)))))))</f>
        <v>-0.66471699999999956</v>
      </c>
      <c r="P274" t="str">
        <f t="shared" si="13"/>
        <v xml:space="preserve"> </v>
      </c>
      <c r="S274">
        <f t="shared" si="14"/>
        <v>0.37392774974999993</v>
      </c>
    </row>
    <row r="275" spans="1:19">
      <c r="A275" s="7">
        <v>42501</v>
      </c>
      <c r="B275" s="6" t="s">
        <v>19</v>
      </c>
      <c r="C275">
        <v>5</v>
      </c>
      <c r="D275" s="6" t="s">
        <v>62</v>
      </c>
      <c r="E275">
        <v>19</v>
      </c>
      <c r="F275" s="6">
        <v>0.3</v>
      </c>
      <c r="N275">
        <f t="shared" si="12"/>
        <v>0.44767657499999997</v>
      </c>
      <c r="O275">
        <f>IF(AND(OR(D275="S. acutus",D275="S. californicus",D275="S. tabernaemontani"),G275=0),E275*[1]Sheet1!$D$7+[1]Sheet1!$L$7,IF(AND(OR(D275="S. acutus",D275="S. tabernaemontani"),G275&gt;0),E275*[1]Sheet1!$D$8+N275*[1]Sheet1!$E$8,IF(AND(D275="S. californicus",G275&gt;0),E275*[1]Sheet1!$D$9+N275*[1]Sheet1!$E$9,IF(D275="S. maritimus",F275*[1]Sheet1!$C$10+E275*[1]Sheet1!$D$10+G275*[1]Sheet1!$F$10+[1]Sheet1!$L$10,IF(D275="S. americanus",F275*[1]Sheet1!$C$6+E275*[1]Sheet1!$D$6+[1]Sheet1!$L$6,IF(AND(OR(D275="T. domingensis",D275="T. latifolia"),E275&gt;0),F275*[1]Sheet1!$C$4+E275*[1]Sheet1!$D$4+H275*[1]Sheet1!$J$4+I275*[1]Sheet1!$K$4+[1]Sheet1!$L$4,IF(AND(OR(D275="T. domingensis",D275="T. latifolia"),J275&gt;0),J275*[1]Sheet1!$G$5+K275*[1]Sheet1!$H$5+L275*[1]Sheet1!$I$5+[1]Sheet1!$L$5,0)))))))</f>
        <v>-3.2586019999999998</v>
      </c>
      <c r="P275" t="str">
        <f t="shared" si="13"/>
        <v xml:space="preserve"> </v>
      </c>
      <c r="S275">
        <f t="shared" si="14"/>
        <v>7.0685774999999992E-2</v>
      </c>
    </row>
    <row r="276" spans="1:19">
      <c r="A276" s="7">
        <v>42501</v>
      </c>
      <c r="B276" s="6" t="s">
        <v>19</v>
      </c>
      <c r="C276">
        <v>5</v>
      </c>
      <c r="D276" s="6" t="s">
        <v>62</v>
      </c>
      <c r="E276">
        <v>8</v>
      </c>
      <c r="F276" s="6">
        <v>0.32</v>
      </c>
      <c r="N276">
        <f t="shared" si="12"/>
        <v>0.21446587733333333</v>
      </c>
      <c r="O276">
        <f>IF(AND(OR(D276="S. acutus",D276="S. californicus",D276="S. tabernaemontani"),G276=0),E276*[1]Sheet1!$D$7+[1]Sheet1!$L$7,IF(AND(OR(D276="S. acutus",D276="S. tabernaemontani"),G276&gt;0),E276*[1]Sheet1!$D$8+N276*[1]Sheet1!$E$8,IF(AND(D276="S. californicus",G276&gt;0),E276*[1]Sheet1!$D$9+N276*[1]Sheet1!$E$9,IF(D276="S. maritimus",F276*[1]Sheet1!$C$10+E276*[1]Sheet1!$D$10+G276*[1]Sheet1!$F$10+[1]Sheet1!$L$10,IF(D276="S. americanus",F276*[1]Sheet1!$C$6+E276*[1]Sheet1!$D$6+[1]Sheet1!$L$6,IF(AND(OR(D276="T. domingensis",D276="T. latifolia"),E276&gt;0),F276*[1]Sheet1!$C$4+E276*[1]Sheet1!$D$4+H276*[1]Sheet1!$J$4+I276*[1]Sheet1!$K$4+[1]Sheet1!$L$4,IF(AND(OR(D276="T. domingensis",D276="T. latifolia"),J276&gt;0),J276*[1]Sheet1!$G$5+K276*[1]Sheet1!$H$5+L276*[1]Sheet1!$I$5+[1]Sheet1!$L$5,0)))))))</f>
        <v>-4.029757</v>
      </c>
      <c r="P276" t="str">
        <f t="shared" si="13"/>
        <v xml:space="preserve"> </v>
      </c>
      <c r="S276">
        <f t="shared" si="14"/>
        <v>8.0424704E-2</v>
      </c>
    </row>
    <row r="277" spans="1:19">
      <c r="A277" s="7">
        <v>42501</v>
      </c>
      <c r="B277" s="6" t="s">
        <v>19</v>
      </c>
      <c r="C277">
        <v>5</v>
      </c>
      <c r="D277" s="6" t="s">
        <v>62</v>
      </c>
      <c r="E277">
        <v>103</v>
      </c>
      <c r="F277" s="6">
        <v>0.6</v>
      </c>
      <c r="N277">
        <f t="shared" si="12"/>
        <v>9.7075130999999981</v>
      </c>
      <c r="O277">
        <f>IF(AND(OR(D277="S. acutus",D277="S. californicus",D277="S. tabernaemontani"),G277=0),E277*[1]Sheet1!$D$7+[1]Sheet1!$L$7,IF(AND(OR(D277="S. acutus",D277="S. tabernaemontani"),G277&gt;0),E277*[1]Sheet1!$D$8+N277*[1]Sheet1!$E$8,IF(AND(D277="S. californicus",G277&gt;0),E277*[1]Sheet1!$D$9+N277*[1]Sheet1!$E$9,IF(D277="S. maritimus",F277*[1]Sheet1!$C$10+E277*[1]Sheet1!$D$10+G277*[1]Sheet1!$F$10+[1]Sheet1!$L$10,IF(D277="S. americanus",F277*[1]Sheet1!$C$6+E277*[1]Sheet1!$D$6+[1]Sheet1!$L$6,IF(AND(OR(D277="T. domingensis",D277="T. latifolia"),E277&gt;0),F277*[1]Sheet1!$C$4+E277*[1]Sheet1!$D$4+H277*[1]Sheet1!$J$4+I277*[1]Sheet1!$K$4+[1]Sheet1!$L$4,IF(AND(OR(D277="T. domingensis",D277="T. latifolia"),J277&gt;0),J277*[1]Sheet1!$G$5+K277*[1]Sheet1!$H$5+L277*[1]Sheet1!$I$5+[1]Sheet1!$L$5,0)))))))</f>
        <v>2.6302180000000002</v>
      </c>
      <c r="P277">
        <f t="shared" si="13"/>
        <v>2.6302180000000002</v>
      </c>
      <c r="S277">
        <f t="shared" si="14"/>
        <v>0.28274309999999997</v>
      </c>
    </row>
    <row r="278" spans="1:19">
      <c r="A278" s="7">
        <v>42501</v>
      </c>
      <c r="B278" s="6" t="s">
        <v>19</v>
      </c>
      <c r="C278">
        <v>5</v>
      </c>
      <c r="D278" s="6" t="s">
        <v>62</v>
      </c>
      <c r="E278">
        <v>70</v>
      </c>
      <c r="F278" s="6">
        <v>0.26</v>
      </c>
      <c r="N278">
        <f t="shared" si="12"/>
        <v>1.2388336566666667</v>
      </c>
      <c r="O278">
        <f>IF(AND(OR(D278="S. acutus",D278="S. californicus",D278="S. tabernaemontani"),G278=0),E278*[1]Sheet1!$D$7+[1]Sheet1!$L$7,IF(AND(OR(D278="S. acutus",D278="S. tabernaemontani"),G278&gt;0),E278*[1]Sheet1!$D$8+N278*[1]Sheet1!$E$8,IF(AND(D278="S. californicus",G278&gt;0),E278*[1]Sheet1!$D$9+N278*[1]Sheet1!$E$9,IF(D278="S. maritimus",F278*[1]Sheet1!$C$10+E278*[1]Sheet1!$D$10+G278*[1]Sheet1!$F$10+[1]Sheet1!$L$10,IF(D278="S. americanus",F278*[1]Sheet1!$C$6+E278*[1]Sheet1!$D$6+[1]Sheet1!$L$6,IF(AND(OR(D278="T. domingensis",D278="T. latifolia"),E278&gt;0),F278*[1]Sheet1!$C$4+E278*[1]Sheet1!$D$4+H278*[1]Sheet1!$J$4+I278*[1]Sheet1!$K$4+[1]Sheet1!$L$4,IF(AND(OR(D278="T. domingensis",D278="T. latifolia"),J278&gt;0),J278*[1]Sheet1!$G$5+K278*[1]Sheet1!$H$5+L278*[1]Sheet1!$I$5+[1]Sheet1!$L$5,0)))))))</f>
        <v>0.31675300000000028</v>
      </c>
      <c r="P278">
        <f t="shared" si="13"/>
        <v>0.31675300000000028</v>
      </c>
      <c r="S278">
        <f t="shared" si="14"/>
        <v>5.3092871000000007E-2</v>
      </c>
    </row>
    <row r="279" spans="1:19">
      <c r="A279" s="7">
        <v>42501</v>
      </c>
      <c r="B279" s="6" t="s">
        <v>19</v>
      </c>
      <c r="C279">
        <v>5</v>
      </c>
      <c r="D279" s="6" t="s">
        <v>62</v>
      </c>
      <c r="E279">
        <v>142</v>
      </c>
      <c r="F279" s="6">
        <v>0.85</v>
      </c>
      <c r="G279">
        <v>4</v>
      </c>
      <c r="N279">
        <f t="shared" si="12"/>
        <v>26.85928550416666</v>
      </c>
      <c r="O279">
        <f>IF(AND(OR(D279="S. acutus",D279="S. californicus",D279="S. tabernaemontani"),G279=0),E279*[1]Sheet1!$D$7+[1]Sheet1!$L$7,IF(AND(OR(D279="S. acutus",D279="S. tabernaemontani"),G279&gt;0),E279*[1]Sheet1!$D$8+N279*[1]Sheet1!$E$8,IF(AND(D279="S. californicus",G279&gt;0),E279*[1]Sheet1!$D$9+N279*[1]Sheet1!$E$9,IF(D279="S. maritimus",F279*[1]Sheet1!$C$10+E279*[1]Sheet1!$D$10+G279*[1]Sheet1!$F$10+[1]Sheet1!$L$10,IF(D279="S. americanus",F279*[1]Sheet1!$C$6+E279*[1]Sheet1!$D$6+[1]Sheet1!$L$6,IF(AND(OR(D279="T. domingensis",D279="T. latifolia"),E279&gt;0),F279*[1]Sheet1!$C$4+E279*[1]Sheet1!$D$4+H279*[1]Sheet1!$J$4+I279*[1]Sheet1!$K$4+[1]Sheet1!$L$4,IF(AND(OR(D279="T. domingensis",D279="T. latifolia"),J279&gt;0),J279*[1]Sheet1!$G$5+K279*[1]Sheet1!$H$5+L279*[1]Sheet1!$I$5+[1]Sheet1!$L$5,0)))))))</f>
        <v>5.0271736321673082</v>
      </c>
      <c r="P279">
        <f t="shared" si="13"/>
        <v>5.0271736321673082</v>
      </c>
      <c r="S279">
        <f t="shared" si="14"/>
        <v>0.56744969374999987</v>
      </c>
    </row>
    <row r="280" spans="1:19">
      <c r="A280" s="7">
        <v>42501</v>
      </c>
      <c r="B280" s="6" t="s">
        <v>19</v>
      </c>
      <c r="C280">
        <v>5</v>
      </c>
      <c r="D280" s="6" t="s">
        <v>62</v>
      </c>
      <c r="E280">
        <v>92</v>
      </c>
      <c r="F280" s="6">
        <v>0.92</v>
      </c>
      <c r="N280">
        <f t="shared" si="12"/>
        <v>20.385986949333333</v>
      </c>
      <c r="O280">
        <f>IF(AND(OR(D280="S. acutus",D280="S. californicus",D280="S. tabernaemontani"),G280=0),E280*[1]Sheet1!$D$7+[1]Sheet1!$L$7,IF(AND(OR(D280="S. acutus",D280="S. tabernaemontani"),G280&gt;0),E280*[1]Sheet1!$D$8+N280*[1]Sheet1!$E$8,IF(AND(D280="S. californicus",G280&gt;0),E280*[1]Sheet1!$D$9+N280*[1]Sheet1!$E$9,IF(D280="S. maritimus",F280*[1]Sheet1!$C$10+E280*[1]Sheet1!$D$10+G280*[1]Sheet1!$F$10+[1]Sheet1!$L$10,IF(D280="S. americanus",F280*[1]Sheet1!$C$6+E280*[1]Sheet1!$D$6+[1]Sheet1!$L$6,IF(AND(OR(D280="T. domingensis",D280="T. latifolia"),E280&gt;0),F280*[1]Sheet1!$C$4+E280*[1]Sheet1!$D$4+H280*[1]Sheet1!$J$4+I280*[1]Sheet1!$K$4+[1]Sheet1!$L$4,IF(AND(OR(D280="T. domingensis",D280="T. latifolia"),J280&gt;0),J280*[1]Sheet1!$G$5+K280*[1]Sheet1!$H$5+L280*[1]Sheet1!$I$5+[1]Sheet1!$L$5,0)))))))</f>
        <v>1.8590629999999999</v>
      </c>
      <c r="P280">
        <f t="shared" si="13"/>
        <v>1.8590629999999999</v>
      </c>
      <c r="S280">
        <f t="shared" si="14"/>
        <v>0.66476044400000001</v>
      </c>
    </row>
    <row r="281" spans="1:19">
      <c r="A281" s="7">
        <v>42501</v>
      </c>
      <c r="B281" s="6" t="s">
        <v>19</v>
      </c>
      <c r="C281">
        <v>5</v>
      </c>
      <c r="D281" s="6" t="s">
        <v>62</v>
      </c>
      <c r="E281">
        <v>167</v>
      </c>
      <c r="F281" s="6">
        <v>1.8</v>
      </c>
      <c r="N281">
        <f t="shared" si="12"/>
        <v>141.65429309999999</v>
      </c>
      <c r="O281">
        <f>IF(AND(OR(D281="S. acutus",D281="S. californicus",D281="S. tabernaemontani"),G281=0),E281*[1]Sheet1!$D$7+[1]Sheet1!$L$7,IF(AND(OR(D281="S. acutus",D281="S. tabernaemontani"),G281&gt;0),E281*[1]Sheet1!$D$8+N281*[1]Sheet1!$E$8,IF(AND(D281="S. californicus",G281&gt;0),E281*[1]Sheet1!$D$9+N281*[1]Sheet1!$E$9,IF(D281="S. maritimus",F281*[1]Sheet1!$C$10+E281*[1]Sheet1!$D$10+G281*[1]Sheet1!$F$10+[1]Sheet1!$L$10,IF(D281="S. americanus",F281*[1]Sheet1!$C$6+E281*[1]Sheet1!$D$6+[1]Sheet1!$L$6,IF(AND(OR(D281="T. domingensis",D281="T. latifolia"),E281&gt;0),F281*[1]Sheet1!$C$4+E281*[1]Sheet1!$D$4+H281*[1]Sheet1!$J$4+I281*[1]Sheet1!$K$4+[1]Sheet1!$L$4,IF(AND(OR(D281="T. domingensis",D281="T. latifolia"),J281&gt;0),J281*[1]Sheet1!$G$5+K281*[1]Sheet1!$H$5+L281*[1]Sheet1!$I$5+[1]Sheet1!$L$5,0)))))))</f>
        <v>7.1169380000000002</v>
      </c>
      <c r="P281">
        <f t="shared" si="13"/>
        <v>7.1169380000000002</v>
      </c>
      <c r="S281">
        <f t="shared" si="14"/>
        <v>2.5446879</v>
      </c>
    </row>
    <row r="282" spans="1:19">
      <c r="A282" s="7">
        <v>42501</v>
      </c>
      <c r="B282" s="6" t="s">
        <v>19</v>
      </c>
      <c r="C282">
        <v>5</v>
      </c>
      <c r="D282" s="6" t="s">
        <v>62</v>
      </c>
      <c r="E282">
        <v>47</v>
      </c>
      <c r="F282" s="6">
        <v>0.6</v>
      </c>
      <c r="N282">
        <f t="shared" si="12"/>
        <v>4.4296418999999991</v>
      </c>
      <c r="O282">
        <f>IF(AND(OR(D282="S. acutus",D282="S. californicus",D282="S. tabernaemontani"),G282=0),E282*[1]Sheet1!$D$7+[1]Sheet1!$L$7,IF(AND(OR(D282="S. acutus",D282="S. tabernaemontani"),G282&gt;0),E282*[1]Sheet1!$D$8+N282*[1]Sheet1!$E$8,IF(AND(D282="S. californicus",G282&gt;0),E282*[1]Sheet1!$D$9+N282*[1]Sheet1!$E$9,IF(D282="S. maritimus",F282*[1]Sheet1!$C$10+E282*[1]Sheet1!$D$10+G282*[1]Sheet1!$F$10+[1]Sheet1!$L$10,IF(D282="S. americanus",F282*[1]Sheet1!$C$6+E282*[1]Sheet1!$D$6+[1]Sheet1!$L$6,IF(AND(OR(D282="T. domingensis",D282="T. latifolia"),E282&gt;0),F282*[1]Sheet1!$C$4+E282*[1]Sheet1!$D$4+H282*[1]Sheet1!$J$4+I282*[1]Sheet1!$K$4+[1]Sheet1!$L$4,IF(AND(OR(D282="T. domingensis",D282="T. latifolia"),J282&gt;0),J282*[1]Sheet1!$G$5+K282*[1]Sheet1!$H$5+L282*[1]Sheet1!$I$5+[1]Sheet1!$L$5,0)))))))</f>
        <v>-1.2956619999999996</v>
      </c>
      <c r="P282" t="str">
        <f t="shared" si="13"/>
        <v xml:space="preserve"> </v>
      </c>
      <c r="S282">
        <f t="shared" si="14"/>
        <v>0.28274309999999997</v>
      </c>
    </row>
    <row r="283" spans="1:19">
      <c r="A283" s="7">
        <v>42501</v>
      </c>
      <c r="B283" s="6" t="s">
        <v>19</v>
      </c>
      <c r="C283">
        <v>5</v>
      </c>
      <c r="D283" s="6" t="s">
        <v>62</v>
      </c>
      <c r="E283">
        <v>51</v>
      </c>
      <c r="F283" s="6">
        <v>0.71</v>
      </c>
      <c r="N283">
        <f t="shared" si="12"/>
        <v>6.7306209557500001</v>
      </c>
      <c r="O283">
        <f>IF(AND(OR(D283="S. acutus",D283="S. californicus",D283="S. tabernaemontani"),G283=0),E283*[1]Sheet1!$D$7+[1]Sheet1!$L$7,IF(AND(OR(D283="S. acutus",D283="S. tabernaemontani"),G283&gt;0),E283*[1]Sheet1!$D$8+N283*[1]Sheet1!$E$8,IF(AND(D283="S. californicus",G283&gt;0),E283*[1]Sheet1!$D$9+N283*[1]Sheet1!$E$9,IF(D283="S. maritimus",F283*[1]Sheet1!$C$10+E283*[1]Sheet1!$D$10+G283*[1]Sheet1!$F$10+[1]Sheet1!$L$10,IF(D283="S. americanus",F283*[1]Sheet1!$C$6+E283*[1]Sheet1!$D$6+[1]Sheet1!$L$6,IF(AND(OR(D283="T. domingensis",D283="T. latifolia"),E283&gt;0),F283*[1]Sheet1!$C$4+E283*[1]Sheet1!$D$4+H283*[1]Sheet1!$J$4+I283*[1]Sheet1!$K$4+[1]Sheet1!$L$4,IF(AND(OR(D283="T. domingensis",D283="T. latifolia"),J283&gt;0),J283*[1]Sheet1!$G$5+K283*[1]Sheet1!$H$5+L283*[1]Sheet1!$I$5+[1]Sheet1!$L$5,0)))))))</f>
        <v>-1.0152419999999998</v>
      </c>
      <c r="P283" t="str">
        <f t="shared" si="13"/>
        <v xml:space="preserve"> </v>
      </c>
      <c r="S283">
        <f t="shared" si="14"/>
        <v>0.39591887974999995</v>
      </c>
    </row>
    <row r="284" spans="1:19">
      <c r="A284" s="7">
        <v>42501</v>
      </c>
      <c r="B284" s="6" t="s">
        <v>19</v>
      </c>
      <c r="C284">
        <v>5</v>
      </c>
      <c r="D284" s="6" t="s">
        <v>62</v>
      </c>
      <c r="E284">
        <v>121</v>
      </c>
      <c r="F284" s="6">
        <v>1.39</v>
      </c>
      <c r="N284">
        <f t="shared" si="12"/>
        <v>61.204482559916649</v>
      </c>
      <c r="O284">
        <f>IF(AND(OR(D284="S. acutus",D284="S. californicus",D284="S. tabernaemontani"),G284=0),E284*[1]Sheet1!$D$7+[1]Sheet1!$L$7,IF(AND(OR(D284="S. acutus",D284="S. tabernaemontani"),G284&gt;0),E284*[1]Sheet1!$D$8+N284*[1]Sheet1!$E$8,IF(AND(D284="S. californicus",G284&gt;0),E284*[1]Sheet1!$D$9+N284*[1]Sheet1!$E$9,IF(D284="S. maritimus",F284*[1]Sheet1!$C$10+E284*[1]Sheet1!$D$10+G284*[1]Sheet1!$F$10+[1]Sheet1!$L$10,IF(D284="S. americanus",F284*[1]Sheet1!$C$6+E284*[1]Sheet1!$D$6+[1]Sheet1!$L$6,IF(AND(OR(D284="T. domingensis",D284="T. latifolia"),E284&gt;0),F284*[1]Sheet1!$C$4+E284*[1]Sheet1!$D$4+H284*[1]Sheet1!$J$4+I284*[1]Sheet1!$K$4+[1]Sheet1!$L$4,IF(AND(OR(D284="T. domingensis",D284="T. latifolia"),J284&gt;0),J284*[1]Sheet1!$G$5+K284*[1]Sheet1!$H$5+L284*[1]Sheet1!$I$5+[1]Sheet1!$L$5,0)))))))</f>
        <v>3.8921079999999995</v>
      </c>
      <c r="P284">
        <f t="shared" si="13"/>
        <v>3.8921079999999995</v>
      </c>
      <c r="S284">
        <f t="shared" si="14"/>
        <v>1.5174665097499997</v>
      </c>
    </row>
    <row r="285" spans="1:19">
      <c r="A285" s="7">
        <v>42501</v>
      </c>
      <c r="B285" s="6" t="s">
        <v>19</v>
      </c>
      <c r="C285">
        <v>5</v>
      </c>
      <c r="D285" s="6" t="s">
        <v>62</v>
      </c>
      <c r="E285">
        <v>98</v>
      </c>
      <c r="F285" s="6">
        <v>0.79</v>
      </c>
      <c r="G285">
        <v>2</v>
      </c>
      <c r="N285">
        <f t="shared" si="12"/>
        <v>16.012108271833334</v>
      </c>
      <c r="O285">
        <f>IF(AND(OR(D285="S. acutus",D285="S. californicus",D285="S. tabernaemontani"),G285=0),E285*[1]Sheet1!$D$7+[1]Sheet1!$L$7,IF(AND(OR(D285="S. acutus",D285="S. tabernaemontani"),G285&gt;0),E285*[1]Sheet1!$D$8+N285*[1]Sheet1!$E$8,IF(AND(D285="S. californicus",G285&gt;0),E285*[1]Sheet1!$D$9+N285*[1]Sheet1!$E$9,IF(D285="S. maritimus",F285*[1]Sheet1!$C$10+E285*[1]Sheet1!$D$10+G285*[1]Sheet1!$F$10+[1]Sheet1!$L$10,IF(D285="S. americanus",F285*[1]Sheet1!$C$6+E285*[1]Sheet1!$D$6+[1]Sheet1!$L$6,IF(AND(OR(D285="T. domingensis",D285="T. latifolia"),E285&gt;0),F285*[1]Sheet1!$C$4+E285*[1]Sheet1!$D$4+H285*[1]Sheet1!$J$4+I285*[1]Sheet1!$K$4+[1]Sheet1!$L$4,IF(AND(OR(D285="T. domingensis",D285="T. latifolia"),J285&gt;0),J285*[1]Sheet1!$G$5+K285*[1]Sheet1!$H$5+L285*[1]Sheet1!$I$5+[1]Sheet1!$L$5,0)))))))</f>
        <v>3.3238551324697156</v>
      </c>
      <c r="P285">
        <f t="shared" si="13"/>
        <v>3.3238551324697156</v>
      </c>
      <c r="S285">
        <f t="shared" si="14"/>
        <v>0.49016657975000005</v>
      </c>
    </row>
    <row r="286" spans="1:19">
      <c r="A286" s="7">
        <v>42501</v>
      </c>
      <c r="B286" s="6" t="s">
        <v>19</v>
      </c>
      <c r="C286">
        <v>5</v>
      </c>
      <c r="D286" s="6" t="s">
        <v>62</v>
      </c>
      <c r="E286">
        <v>69</v>
      </c>
      <c r="F286" s="6">
        <v>0.81</v>
      </c>
      <c r="N286">
        <f t="shared" si="12"/>
        <v>11.851883894250001</v>
      </c>
      <c r="O286">
        <f>IF(AND(OR(D286="S. acutus",D286="S. californicus",D286="S. tabernaemontani"),G286=0),E286*[1]Sheet1!$D$7+[1]Sheet1!$L$7,IF(AND(OR(D286="S. acutus",D286="S. tabernaemontani"),G286&gt;0),E286*[1]Sheet1!$D$8+N286*[1]Sheet1!$E$8,IF(AND(D286="S. californicus",G286&gt;0),E286*[1]Sheet1!$D$9+N286*[1]Sheet1!$E$9,IF(D286="S. maritimus",F286*[1]Sheet1!$C$10+E286*[1]Sheet1!$D$10+G286*[1]Sheet1!$F$10+[1]Sheet1!$L$10,IF(D286="S. americanus",F286*[1]Sheet1!$C$6+E286*[1]Sheet1!$D$6+[1]Sheet1!$L$6,IF(AND(OR(D286="T. domingensis",D286="T. latifolia"),E286&gt;0),F286*[1]Sheet1!$C$4+E286*[1]Sheet1!$D$4+H286*[1]Sheet1!$J$4+I286*[1]Sheet1!$K$4+[1]Sheet1!$L$4,IF(AND(OR(D286="T. domingensis",D286="T. latifolia"),J286&gt;0),J286*[1]Sheet1!$G$5+K286*[1]Sheet1!$H$5+L286*[1]Sheet1!$I$5+[1]Sheet1!$L$5,0)))))))</f>
        <v>0.24664800000000042</v>
      </c>
      <c r="P286">
        <f t="shared" si="13"/>
        <v>0.24664800000000042</v>
      </c>
      <c r="S286">
        <f t="shared" si="14"/>
        <v>0.51529929975000011</v>
      </c>
    </row>
    <row r="287" spans="1:19">
      <c r="A287" s="7">
        <v>42501</v>
      </c>
      <c r="B287" s="6" t="s">
        <v>19</v>
      </c>
      <c r="C287">
        <v>5</v>
      </c>
      <c r="D287" s="6" t="s">
        <v>62</v>
      </c>
      <c r="E287">
        <v>38</v>
      </c>
      <c r="F287" s="6">
        <v>0.62</v>
      </c>
      <c r="N287">
        <f t="shared" si="12"/>
        <v>3.824152787333333</v>
      </c>
      <c r="O287">
        <f>IF(AND(OR(D287="S. acutus",D287="S. californicus",D287="S. tabernaemontani"),G287=0),E287*[1]Sheet1!$D$7+[1]Sheet1!$L$7,IF(AND(OR(D287="S. acutus",D287="S. tabernaemontani"),G287&gt;0),E287*[1]Sheet1!$D$8+N287*[1]Sheet1!$E$8,IF(AND(D287="S. californicus",G287&gt;0),E287*[1]Sheet1!$D$9+N287*[1]Sheet1!$E$9,IF(D287="S. maritimus",F287*[1]Sheet1!$C$10+E287*[1]Sheet1!$D$10+G287*[1]Sheet1!$F$10+[1]Sheet1!$L$10,IF(D287="S. americanus",F287*[1]Sheet1!$C$6+E287*[1]Sheet1!$D$6+[1]Sheet1!$L$6,IF(AND(OR(D287="T. domingensis",D287="T. latifolia"),E287&gt;0),F287*[1]Sheet1!$C$4+E287*[1]Sheet1!$D$4+H287*[1]Sheet1!$J$4+I287*[1]Sheet1!$K$4+[1]Sheet1!$L$4,IF(AND(OR(D287="T. domingensis",D287="T. latifolia"),J287&gt;0),J287*[1]Sheet1!$G$5+K287*[1]Sheet1!$H$5+L287*[1]Sheet1!$I$5+[1]Sheet1!$L$5,0)))))))</f>
        <v>-1.9266069999999997</v>
      </c>
      <c r="P287" t="str">
        <f t="shared" si="13"/>
        <v xml:space="preserve"> </v>
      </c>
      <c r="S287">
        <f t="shared" si="14"/>
        <v>0.301906799</v>
      </c>
    </row>
    <row r="288" spans="1:19">
      <c r="A288" s="7">
        <v>42501</v>
      </c>
      <c r="B288" s="6" t="s">
        <v>19</v>
      </c>
      <c r="C288">
        <v>5</v>
      </c>
      <c r="D288" s="6" t="s">
        <v>62</v>
      </c>
      <c r="E288">
        <v>26</v>
      </c>
      <c r="F288" s="6">
        <v>0.21</v>
      </c>
      <c r="N288">
        <f t="shared" si="12"/>
        <v>0.30017892449999994</v>
      </c>
      <c r="O288">
        <f>IF(AND(OR(D288="S. acutus",D288="S. californicus",D288="S. tabernaemontani"),G288=0),E288*[1]Sheet1!$D$7+[1]Sheet1!$L$7,IF(AND(OR(D288="S. acutus",D288="S. tabernaemontani"),G288&gt;0),E288*[1]Sheet1!$D$8+N288*[1]Sheet1!$E$8,IF(AND(D288="S. californicus",G288&gt;0),E288*[1]Sheet1!$D$9+N288*[1]Sheet1!$E$9,IF(D288="S. maritimus",F288*[1]Sheet1!$C$10+E288*[1]Sheet1!$D$10+G288*[1]Sheet1!$F$10+[1]Sheet1!$L$10,IF(D288="S. americanus",F288*[1]Sheet1!$C$6+E288*[1]Sheet1!$D$6+[1]Sheet1!$L$6,IF(AND(OR(D288="T. domingensis",D288="T. latifolia"),E288&gt;0),F288*[1]Sheet1!$C$4+E288*[1]Sheet1!$D$4+H288*[1]Sheet1!$J$4+I288*[1]Sheet1!$K$4+[1]Sheet1!$L$4,IF(AND(OR(D288="T. domingensis",D288="T. latifolia"),J288&gt;0),J288*[1]Sheet1!$G$5+K288*[1]Sheet1!$H$5+L288*[1]Sheet1!$I$5+[1]Sheet1!$L$5,0)))))))</f>
        <v>-2.7678669999999999</v>
      </c>
      <c r="P288" t="str">
        <f t="shared" si="13"/>
        <v xml:space="preserve"> </v>
      </c>
      <c r="S288">
        <f t="shared" si="14"/>
        <v>3.4636029749999991E-2</v>
      </c>
    </row>
    <row r="289" spans="1:19">
      <c r="A289" s="7">
        <v>42501</v>
      </c>
      <c r="B289" s="6" t="s">
        <v>19</v>
      </c>
      <c r="C289">
        <v>5</v>
      </c>
      <c r="D289" s="6" t="s">
        <v>62</v>
      </c>
      <c r="E289">
        <v>94</v>
      </c>
      <c r="F289" s="6">
        <v>0.72</v>
      </c>
      <c r="N289">
        <f t="shared" si="12"/>
        <v>12.757368671999998</v>
      </c>
      <c r="O289">
        <f>IF(AND(OR(D289="S. acutus",D289="S. californicus",D289="S. tabernaemontani"),G289=0),E289*[1]Sheet1!$D$7+[1]Sheet1!$L$7,IF(AND(OR(D289="S. acutus",D289="S. tabernaemontani"),G289&gt;0),E289*[1]Sheet1!$D$8+N289*[1]Sheet1!$E$8,IF(AND(D289="S. californicus",G289&gt;0),E289*[1]Sheet1!$D$9+N289*[1]Sheet1!$E$9,IF(D289="S. maritimus",F289*[1]Sheet1!$C$10+E289*[1]Sheet1!$D$10+G289*[1]Sheet1!$F$10+[1]Sheet1!$L$10,IF(D289="S. americanus",F289*[1]Sheet1!$C$6+E289*[1]Sheet1!$D$6+[1]Sheet1!$L$6,IF(AND(OR(D289="T. domingensis",D289="T. latifolia"),E289&gt;0),F289*[1]Sheet1!$C$4+E289*[1]Sheet1!$D$4+H289*[1]Sheet1!$J$4+I289*[1]Sheet1!$K$4+[1]Sheet1!$L$4,IF(AND(OR(D289="T. domingensis",D289="T. latifolia"),J289&gt;0),J289*[1]Sheet1!$G$5+K289*[1]Sheet1!$H$5+L289*[1]Sheet1!$I$5+[1]Sheet1!$L$5,0)))))))</f>
        <v>1.9992730000000005</v>
      </c>
      <c r="P289">
        <f t="shared" si="13"/>
        <v>1.9992730000000005</v>
      </c>
      <c r="S289">
        <f t="shared" si="14"/>
        <v>0.40715006399999998</v>
      </c>
    </row>
    <row r="290" spans="1:19">
      <c r="A290" s="7">
        <v>42501</v>
      </c>
      <c r="B290" s="6" t="s">
        <v>19</v>
      </c>
      <c r="C290">
        <v>5</v>
      </c>
      <c r="D290" s="6" t="s">
        <v>62</v>
      </c>
      <c r="E290">
        <v>106</v>
      </c>
      <c r="F290" s="6">
        <v>0.98</v>
      </c>
      <c r="N290">
        <f t="shared" si="12"/>
        <v>26.651783484666662</v>
      </c>
      <c r="O290">
        <f>IF(AND(OR(D290="S. acutus",D290="S. californicus",D290="S. tabernaemontani"),G290=0),E290*[1]Sheet1!$D$7+[1]Sheet1!$L$7,IF(AND(OR(D290="S. acutus",D290="S. tabernaemontani"),G290&gt;0),E290*[1]Sheet1!$D$8+N290*[1]Sheet1!$E$8,IF(AND(D290="S. californicus",G290&gt;0),E290*[1]Sheet1!$D$9+N290*[1]Sheet1!$E$9,IF(D290="S. maritimus",F290*[1]Sheet1!$C$10+E290*[1]Sheet1!$D$10+G290*[1]Sheet1!$F$10+[1]Sheet1!$L$10,IF(D290="S. americanus",F290*[1]Sheet1!$C$6+E290*[1]Sheet1!$D$6+[1]Sheet1!$L$6,IF(AND(OR(D290="T. domingensis",D290="T. latifolia"),E290&gt;0),F290*[1]Sheet1!$C$4+E290*[1]Sheet1!$D$4+H290*[1]Sheet1!$J$4+I290*[1]Sheet1!$K$4+[1]Sheet1!$L$4,IF(AND(OR(D290="T. domingensis",D290="T. latifolia"),J290&gt;0),J290*[1]Sheet1!$G$5+K290*[1]Sheet1!$H$5+L290*[1]Sheet1!$I$5+[1]Sheet1!$L$5,0)))))))</f>
        <v>2.8405330000000006</v>
      </c>
      <c r="P290">
        <f t="shared" si="13"/>
        <v>2.8405330000000006</v>
      </c>
      <c r="S290">
        <f t="shared" si="14"/>
        <v>0.7542957589999999</v>
      </c>
    </row>
    <row r="291" spans="1:19">
      <c r="A291" s="7">
        <v>42501</v>
      </c>
      <c r="B291" s="6" t="s">
        <v>19</v>
      </c>
      <c r="C291">
        <v>5</v>
      </c>
      <c r="D291" s="6" t="s">
        <v>62</v>
      </c>
      <c r="E291">
        <v>51</v>
      </c>
      <c r="F291" s="6">
        <v>0.77</v>
      </c>
      <c r="N291">
        <f t="shared" si="12"/>
        <v>7.9162570217499981</v>
      </c>
      <c r="O291">
        <f>IF(AND(OR(D291="S. acutus",D291="S. californicus",D291="S. tabernaemontani"),G291=0),E291*[1]Sheet1!$D$7+[1]Sheet1!$L$7,IF(AND(OR(D291="S. acutus",D291="S. tabernaemontani"),G291&gt;0),E291*[1]Sheet1!$D$8+N291*[1]Sheet1!$E$8,IF(AND(D291="S. californicus",G291&gt;0),E291*[1]Sheet1!$D$9+N291*[1]Sheet1!$E$9,IF(D291="S. maritimus",F291*[1]Sheet1!$C$10+E291*[1]Sheet1!$D$10+G291*[1]Sheet1!$F$10+[1]Sheet1!$L$10,IF(D291="S. americanus",F291*[1]Sheet1!$C$6+E291*[1]Sheet1!$D$6+[1]Sheet1!$L$6,IF(AND(OR(D291="T. domingensis",D291="T. latifolia"),E291&gt;0),F291*[1]Sheet1!$C$4+E291*[1]Sheet1!$D$4+H291*[1]Sheet1!$J$4+I291*[1]Sheet1!$K$4+[1]Sheet1!$L$4,IF(AND(OR(D291="T. domingensis",D291="T. latifolia"),J291&gt;0),J291*[1]Sheet1!$G$5+K291*[1]Sheet1!$H$5+L291*[1]Sheet1!$I$5+[1]Sheet1!$L$5,0)))))))</f>
        <v>-1.0152419999999998</v>
      </c>
      <c r="P291" t="str">
        <f t="shared" si="13"/>
        <v xml:space="preserve"> </v>
      </c>
      <c r="S291">
        <f t="shared" si="14"/>
        <v>0.46566217774999996</v>
      </c>
    </row>
    <row r="292" spans="1:19">
      <c r="A292" s="7">
        <v>42501</v>
      </c>
      <c r="B292" s="6" t="s">
        <v>19</v>
      </c>
      <c r="C292">
        <v>5</v>
      </c>
      <c r="D292" s="6" t="s">
        <v>62</v>
      </c>
      <c r="E292">
        <v>135</v>
      </c>
      <c r="F292" s="6">
        <v>0.74</v>
      </c>
      <c r="N292">
        <f t="shared" si="12"/>
        <v>19.353765194999998</v>
      </c>
      <c r="O292">
        <f>IF(AND(OR(D292="S. acutus",D292="S. californicus",D292="S. tabernaemontani"),G292=0),E292*[1]Sheet1!$D$7+[1]Sheet1!$L$7,IF(AND(OR(D292="S. acutus",D292="S. tabernaemontani"),G292&gt;0),E292*[1]Sheet1!$D$8+N292*[1]Sheet1!$E$8,IF(AND(D292="S. californicus",G292&gt;0),E292*[1]Sheet1!$D$9+N292*[1]Sheet1!$E$9,IF(D292="S. maritimus",F292*[1]Sheet1!$C$10+E292*[1]Sheet1!$D$10+G292*[1]Sheet1!$F$10+[1]Sheet1!$L$10,IF(D292="S. americanus",F292*[1]Sheet1!$C$6+E292*[1]Sheet1!$D$6+[1]Sheet1!$L$6,IF(AND(OR(D292="T. domingensis",D292="T. latifolia"),E292&gt;0),F292*[1]Sheet1!$C$4+E292*[1]Sheet1!$D$4+H292*[1]Sheet1!$J$4+I292*[1]Sheet1!$K$4+[1]Sheet1!$L$4,IF(AND(OR(D292="T. domingensis",D292="T. latifolia"),J292&gt;0),J292*[1]Sheet1!$G$5+K292*[1]Sheet1!$H$5+L292*[1]Sheet1!$I$5+[1]Sheet1!$L$5,0)))))))</f>
        <v>4.8735780000000011</v>
      </c>
      <c r="P292">
        <f t="shared" si="13"/>
        <v>4.8735780000000011</v>
      </c>
      <c r="S292">
        <f t="shared" si="14"/>
        <v>0.43008367099999995</v>
      </c>
    </row>
    <row r="293" spans="1:19">
      <c r="A293" s="7">
        <v>42501</v>
      </c>
      <c r="B293" s="6" t="s">
        <v>19</v>
      </c>
      <c r="C293">
        <v>5</v>
      </c>
      <c r="D293" s="6" t="s">
        <v>62</v>
      </c>
      <c r="E293">
        <v>33</v>
      </c>
      <c r="F293" s="6">
        <v>0.7</v>
      </c>
      <c r="N293">
        <f t="shared" si="12"/>
        <v>4.2332925249999995</v>
      </c>
      <c r="O293">
        <f>IF(AND(OR(D293="S. acutus",D293="S. californicus",D293="S. tabernaemontani"),G293=0),E293*[1]Sheet1!$D$7+[1]Sheet1!$L$7,IF(AND(OR(D293="S. acutus",D293="S. tabernaemontani"),G293&gt;0),E293*[1]Sheet1!$D$8+N293*[1]Sheet1!$E$8,IF(AND(D293="S. californicus",G293&gt;0),E293*[1]Sheet1!$D$9+N293*[1]Sheet1!$E$9,IF(D293="S. maritimus",F293*[1]Sheet1!$C$10+E293*[1]Sheet1!$D$10+G293*[1]Sheet1!$F$10+[1]Sheet1!$L$10,IF(D293="S. americanus",F293*[1]Sheet1!$C$6+E293*[1]Sheet1!$D$6+[1]Sheet1!$L$6,IF(AND(OR(D293="T. domingensis",D293="T. latifolia"),E293&gt;0),F293*[1]Sheet1!$C$4+E293*[1]Sheet1!$D$4+H293*[1]Sheet1!$J$4+I293*[1]Sheet1!$K$4+[1]Sheet1!$L$4,IF(AND(OR(D293="T. domingensis",D293="T. latifolia"),J293&gt;0),J293*[1]Sheet1!$G$5+K293*[1]Sheet1!$H$5+L293*[1]Sheet1!$I$5+[1]Sheet1!$L$5,0)))))))</f>
        <v>-2.2771319999999999</v>
      </c>
      <c r="P293" t="str">
        <f t="shared" si="13"/>
        <v xml:space="preserve"> </v>
      </c>
      <c r="S293">
        <f t="shared" si="14"/>
        <v>0.38484477499999992</v>
      </c>
    </row>
    <row r="294" spans="1:19">
      <c r="A294" s="7">
        <v>42501</v>
      </c>
      <c r="B294" s="6" t="s">
        <v>19</v>
      </c>
      <c r="C294">
        <v>5</v>
      </c>
      <c r="D294" s="6" t="s">
        <v>62</v>
      </c>
      <c r="E294">
        <v>71</v>
      </c>
      <c r="F294" s="6">
        <v>0.56999999999999995</v>
      </c>
      <c r="N294">
        <f t="shared" si="12"/>
        <v>6.0391569967499983</v>
      </c>
      <c r="O294">
        <f>IF(AND(OR(D294="S. acutus",D294="S. californicus",D294="S. tabernaemontani"),G294=0),E294*[1]Sheet1!$D$7+[1]Sheet1!$L$7,IF(AND(OR(D294="S. acutus",D294="S. tabernaemontani"),G294&gt;0),E294*[1]Sheet1!$D$8+N294*[1]Sheet1!$E$8,IF(AND(D294="S. californicus",G294&gt;0),E294*[1]Sheet1!$D$9+N294*[1]Sheet1!$E$9,IF(D294="S. maritimus",F294*[1]Sheet1!$C$10+E294*[1]Sheet1!$D$10+G294*[1]Sheet1!$F$10+[1]Sheet1!$L$10,IF(D294="S. americanus",F294*[1]Sheet1!$C$6+E294*[1]Sheet1!$D$6+[1]Sheet1!$L$6,IF(AND(OR(D294="T. domingensis",D294="T. latifolia"),E294&gt;0),F294*[1]Sheet1!$C$4+E294*[1]Sheet1!$D$4+H294*[1]Sheet1!$J$4+I294*[1]Sheet1!$K$4+[1]Sheet1!$L$4,IF(AND(OR(D294="T. domingensis",D294="T. latifolia"),J294&gt;0),J294*[1]Sheet1!$G$5+K294*[1]Sheet1!$H$5+L294*[1]Sheet1!$I$5+[1]Sheet1!$L$5,0)))))))</f>
        <v>0.38685800000000015</v>
      </c>
      <c r="P294">
        <f t="shared" si="13"/>
        <v>0.38685800000000015</v>
      </c>
      <c r="S294">
        <f t="shared" si="14"/>
        <v>0.25517564774999996</v>
      </c>
    </row>
    <row r="295" spans="1:19">
      <c r="A295" s="7">
        <v>42501</v>
      </c>
      <c r="B295" s="6" t="s">
        <v>19</v>
      </c>
      <c r="C295">
        <v>5</v>
      </c>
      <c r="D295" s="6" t="s">
        <v>62</v>
      </c>
      <c r="E295">
        <v>36</v>
      </c>
      <c r="F295" s="6">
        <v>0.41</v>
      </c>
      <c r="N295">
        <f t="shared" si="12"/>
        <v>1.5843038369999995</v>
      </c>
      <c r="O295">
        <f>IF(AND(OR(D295="S. acutus",D295="S. californicus",D295="S. tabernaemontani"),G295=0),E295*[1]Sheet1!$D$7+[1]Sheet1!$L$7,IF(AND(OR(D295="S. acutus",D295="S. tabernaemontani"),G295&gt;0),E295*[1]Sheet1!$D$8+N295*[1]Sheet1!$E$8,IF(AND(D295="S. californicus",G295&gt;0),E295*[1]Sheet1!$D$9+N295*[1]Sheet1!$E$9,IF(D295="S. maritimus",F295*[1]Sheet1!$C$10+E295*[1]Sheet1!$D$10+G295*[1]Sheet1!$F$10+[1]Sheet1!$L$10,IF(D295="S. americanus",F295*[1]Sheet1!$C$6+E295*[1]Sheet1!$D$6+[1]Sheet1!$L$6,IF(AND(OR(D295="T. domingensis",D295="T. latifolia"),E295&gt;0),F295*[1]Sheet1!$C$4+E295*[1]Sheet1!$D$4+H295*[1]Sheet1!$J$4+I295*[1]Sheet1!$K$4+[1]Sheet1!$L$4,IF(AND(OR(D295="T. domingensis",D295="T. latifolia"),J295&gt;0),J295*[1]Sheet1!$G$5+K295*[1]Sheet1!$H$5+L295*[1]Sheet1!$I$5+[1]Sheet1!$L$5,0)))))))</f>
        <v>-2.0668169999999999</v>
      </c>
      <c r="P295" t="str">
        <f t="shared" si="13"/>
        <v xml:space="preserve"> </v>
      </c>
      <c r="S295">
        <f t="shared" si="14"/>
        <v>0.13202531974999998</v>
      </c>
    </row>
    <row r="296" spans="1:19">
      <c r="A296" s="7">
        <v>42501</v>
      </c>
      <c r="B296" s="6" t="s">
        <v>19</v>
      </c>
      <c r="C296">
        <v>5</v>
      </c>
      <c r="D296" s="6" t="s">
        <v>62</v>
      </c>
      <c r="E296">
        <v>43</v>
      </c>
      <c r="F296" s="6">
        <v>0.54</v>
      </c>
      <c r="N296">
        <f t="shared" si="12"/>
        <v>3.2826473910000002</v>
      </c>
      <c r="O296">
        <f>IF(AND(OR(D296="S. acutus",D296="S. californicus",D296="S. tabernaemontani"),G296=0),E296*[1]Sheet1!$D$7+[1]Sheet1!$L$7,IF(AND(OR(D296="S. acutus",D296="S. tabernaemontani"),G296&gt;0),E296*[1]Sheet1!$D$8+N296*[1]Sheet1!$E$8,IF(AND(D296="S. californicus",G296&gt;0),E296*[1]Sheet1!$D$9+N296*[1]Sheet1!$E$9,IF(D296="S. maritimus",F296*[1]Sheet1!$C$10+E296*[1]Sheet1!$D$10+G296*[1]Sheet1!$F$10+[1]Sheet1!$L$10,IF(D296="S. americanus",F296*[1]Sheet1!$C$6+E296*[1]Sheet1!$D$6+[1]Sheet1!$L$6,IF(AND(OR(D296="T. domingensis",D296="T. latifolia"),E296&gt;0),F296*[1]Sheet1!$C$4+E296*[1]Sheet1!$D$4+H296*[1]Sheet1!$J$4+I296*[1]Sheet1!$K$4+[1]Sheet1!$L$4,IF(AND(OR(D296="T. domingensis",D296="T. latifolia"),J296&gt;0),J296*[1]Sheet1!$G$5+K296*[1]Sheet1!$H$5+L296*[1]Sheet1!$I$5+[1]Sheet1!$L$5,0)))))))</f>
        <v>-1.576082</v>
      </c>
      <c r="P296" t="str">
        <f t="shared" si="13"/>
        <v xml:space="preserve"> </v>
      </c>
      <c r="S296">
        <f t="shared" si="14"/>
        <v>0.22902191100000002</v>
      </c>
    </row>
    <row r="297" spans="1:19">
      <c r="A297" s="7">
        <v>42501</v>
      </c>
      <c r="B297" s="6" t="s">
        <v>19</v>
      </c>
      <c r="C297">
        <v>5</v>
      </c>
      <c r="D297" s="6" t="s">
        <v>62</v>
      </c>
      <c r="E297">
        <v>122</v>
      </c>
      <c r="F297" s="6">
        <v>1.31</v>
      </c>
      <c r="G297">
        <v>3</v>
      </c>
      <c r="N297">
        <f t="shared" si="12"/>
        <v>54.811373089833339</v>
      </c>
      <c r="O297">
        <f>IF(AND(OR(D297="S. acutus",D297="S. californicus",D297="S. tabernaemontani"),G297=0),E297*[1]Sheet1!$D$7+[1]Sheet1!$L$7,IF(AND(OR(D297="S. acutus",D297="S. tabernaemontani"),G297&gt;0),E297*[1]Sheet1!$D$8+N297*[1]Sheet1!$E$8,IF(AND(D297="S. californicus",G297&gt;0),E297*[1]Sheet1!$D$9+N297*[1]Sheet1!$E$9,IF(D297="S. maritimus",F297*[1]Sheet1!$C$10+E297*[1]Sheet1!$D$10+G297*[1]Sheet1!$F$10+[1]Sheet1!$L$10,IF(D297="S. americanus",F297*[1]Sheet1!$C$6+E297*[1]Sheet1!$D$6+[1]Sheet1!$L$6,IF(AND(OR(D297="T. domingensis",D297="T. latifolia"),E297&gt;0),F297*[1]Sheet1!$C$4+E297*[1]Sheet1!$D$4+H297*[1]Sheet1!$J$4+I297*[1]Sheet1!$K$4+[1]Sheet1!$L$4,IF(AND(OR(D297="T. domingensis",D297="T. latifolia"),J297&gt;0),J297*[1]Sheet1!$G$5+K297*[1]Sheet1!$H$5+L297*[1]Sheet1!$I$5+[1]Sheet1!$L$5,0)))))))</f>
        <v>6.1494103315830486</v>
      </c>
      <c r="P297">
        <f t="shared" si="13"/>
        <v>6.1494103315830486</v>
      </c>
      <c r="S297">
        <f t="shared" si="14"/>
        <v>1.34782064975</v>
      </c>
    </row>
    <row r="298" spans="1:19">
      <c r="A298" s="7">
        <v>42501</v>
      </c>
      <c r="B298" s="6" t="s">
        <v>19</v>
      </c>
      <c r="C298">
        <v>5</v>
      </c>
      <c r="D298" s="6" t="s">
        <v>62</v>
      </c>
      <c r="E298">
        <v>13</v>
      </c>
      <c r="F298" s="6">
        <v>0.32</v>
      </c>
      <c r="N298">
        <f t="shared" si="12"/>
        <v>0.34850705066666665</v>
      </c>
      <c r="O298">
        <f>IF(AND(OR(D298="S. acutus",D298="S. californicus",D298="S. tabernaemontani"),G298=0),E298*[1]Sheet1!$D$7+[1]Sheet1!$L$7,IF(AND(OR(D298="S. acutus",D298="S. tabernaemontani"),G298&gt;0),E298*[1]Sheet1!$D$8+N298*[1]Sheet1!$E$8,IF(AND(D298="S. californicus",G298&gt;0),E298*[1]Sheet1!$D$9+N298*[1]Sheet1!$E$9,IF(D298="S. maritimus",F298*[1]Sheet1!$C$10+E298*[1]Sheet1!$D$10+G298*[1]Sheet1!$F$10+[1]Sheet1!$L$10,IF(D298="S. americanus",F298*[1]Sheet1!$C$6+E298*[1]Sheet1!$D$6+[1]Sheet1!$L$6,IF(AND(OR(D298="T. domingensis",D298="T. latifolia"),E298&gt;0),F298*[1]Sheet1!$C$4+E298*[1]Sheet1!$D$4+H298*[1]Sheet1!$J$4+I298*[1]Sheet1!$K$4+[1]Sheet1!$L$4,IF(AND(OR(D298="T. domingensis",D298="T. latifolia"),J298&gt;0),J298*[1]Sheet1!$G$5+K298*[1]Sheet1!$H$5+L298*[1]Sheet1!$I$5+[1]Sheet1!$L$5,0)))))))</f>
        <v>-3.6792319999999998</v>
      </c>
      <c r="P298" t="str">
        <f t="shared" si="13"/>
        <v xml:space="preserve"> </v>
      </c>
      <c r="S298">
        <f t="shared" si="14"/>
        <v>8.0424704E-2</v>
      </c>
    </row>
    <row r="299" spans="1:19">
      <c r="A299" s="7">
        <v>42501</v>
      </c>
      <c r="B299" s="6" t="s">
        <v>19</v>
      </c>
      <c r="C299">
        <v>5</v>
      </c>
      <c r="D299" s="6" t="s">
        <v>62</v>
      </c>
      <c r="E299">
        <v>78</v>
      </c>
      <c r="F299" s="6">
        <v>0.77</v>
      </c>
      <c r="N299">
        <f t="shared" si="12"/>
        <v>12.107216621499997</v>
      </c>
      <c r="O299">
        <f>IF(AND(OR(D299="S. acutus",D299="S. californicus",D299="S. tabernaemontani"),G299=0),E299*[1]Sheet1!$D$7+[1]Sheet1!$L$7,IF(AND(OR(D299="S. acutus",D299="S. tabernaemontani"),G299&gt;0),E299*[1]Sheet1!$D$8+N299*[1]Sheet1!$E$8,IF(AND(D299="S. californicus",G299&gt;0),E299*[1]Sheet1!$D$9+N299*[1]Sheet1!$E$9,IF(D299="S. maritimus",F299*[1]Sheet1!$C$10+E299*[1]Sheet1!$D$10+G299*[1]Sheet1!$F$10+[1]Sheet1!$L$10,IF(D299="S. americanus",F299*[1]Sheet1!$C$6+E299*[1]Sheet1!$D$6+[1]Sheet1!$L$6,IF(AND(OR(D299="T. domingensis",D299="T. latifolia"),E299&gt;0),F299*[1]Sheet1!$C$4+E299*[1]Sheet1!$D$4+H299*[1]Sheet1!$J$4+I299*[1]Sheet1!$K$4+[1]Sheet1!$L$4,IF(AND(OR(D299="T. domingensis",D299="T. latifolia"),J299&gt;0),J299*[1]Sheet1!$G$5+K299*[1]Sheet1!$H$5+L299*[1]Sheet1!$I$5+[1]Sheet1!$L$5,0)))))))</f>
        <v>0.87759300000000007</v>
      </c>
      <c r="P299">
        <f t="shared" si="13"/>
        <v>0.87759300000000007</v>
      </c>
      <c r="S299">
        <f t="shared" si="14"/>
        <v>0.46566217774999996</v>
      </c>
    </row>
    <row r="300" spans="1:19">
      <c r="A300" s="7">
        <v>42501</v>
      </c>
      <c r="B300" s="6" t="s">
        <v>19</v>
      </c>
      <c r="C300">
        <v>5</v>
      </c>
      <c r="D300" s="6" t="s">
        <v>62</v>
      </c>
      <c r="E300">
        <v>65</v>
      </c>
      <c r="F300" s="6">
        <v>0.78</v>
      </c>
      <c r="N300">
        <f t="shared" si="12"/>
        <v>10.353109844999999</v>
      </c>
      <c r="O300">
        <f>IF(AND(OR(D300="S. acutus",D300="S. californicus",D300="S. tabernaemontani"),G300=0),E300*[1]Sheet1!$D$7+[1]Sheet1!$L$7,IF(AND(OR(D300="S. acutus",D300="S. tabernaemontani"),G300&gt;0),E300*[1]Sheet1!$D$8+N300*[1]Sheet1!$E$8,IF(AND(D300="S. californicus",G300&gt;0),E300*[1]Sheet1!$D$9+N300*[1]Sheet1!$E$9,IF(D300="S. maritimus",F300*[1]Sheet1!$C$10+E300*[1]Sheet1!$D$10+G300*[1]Sheet1!$F$10+[1]Sheet1!$L$10,IF(D300="S. americanus",F300*[1]Sheet1!$C$6+E300*[1]Sheet1!$D$6+[1]Sheet1!$L$6,IF(AND(OR(D300="T. domingensis",D300="T. latifolia"),E300&gt;0),F300*[1]Sheet1!$C$4+E300*[1]Sheet1!$D$4+H300*[1]Sheet1!$J$4+I300*[1]Sheet1!$K$4+[1]Sheet1!$L$4,IF(AND(OR(D300="T. domingensis",D300="T. latifolia"),J300&gt;0),J300*[1]Sheet1!$G$5+K300*[1]Sheet1!$H$5+L300*[1]Sheet1!$I$5+[1]Sheet1!$L$5,0)))))))</f>
        <v>-3.3771999999999913E-2</v>
      </c>
      <c r="P300" t="str">
        <f t="shared" si="13"/>
        <v xml:space="preserve"> </v>
      </c>
      <c r="S300">
        <f t="shared" si="14"/>
        <v>0.47783583900000004</v>
      </c>
    </row>
    <row r="301" spans="1:19">
      <c r="A301" s="7">
        <v>42501</v>
      </c>
      <c r="B301" s="6" t="s">
        <v>19</v>
      </c>
      <c r="C301">
        <v>5</v>
      </c>
      <c r="D301" s="6" t="s">
        <v>62</v>
      </c>
      <c r="E301">
        <v>23</v>
      </c>
      <c r="F301" s="6">
        <v>0.4</v>
      </c>
      <c r="N301">
        <f t="shared" si="12"/>
        <v>0.96342093333333334</v>
      </c>
      <c r="O301">
        <f>IF(AND(OR(D301="S. acutus",D301="S. californicus",D301="S. tabernaemontani"),G301=0),E301*[1]Sheet1!$D$7+[1]Sheet1!$L$7,IF(AND(OR(D301="S. acutus",D301="S. tabernaemontani"),G301&gt;0),E301*[1]Sheet1!$D$8+N301*[1]Sheet1!$E$8,IF(AND(D301="S. californicus",G301&gt;0),E301*[1]Sheet1!$D$9+N301*[1]Sheet1!$E$9,IF(D301="S. maritimus",F301*[1]Sheet1!$C$10+E301*[1]Sheet1!$D$10+G301*[1]Sheet1!$F$10+[1]Sheet1!$L$10,IF(D301="S. americanus",F301*[1]Sheet1!$C$6+E301*[1]Sheet1!$D$6+[1]Sheet1!$L$6,IF(AND(OR(D301="T. domingensis",D301="T. latifolia"),E301&gt;0),F301*[1]Sheet1!$C$4+E301*[1]Sheet1!$D$4+H301*[1]Sheet1!$J$4+I301*[1]Sheet1!$K$4+[1]Sheet1!$L$4,IF(AND(OR(D301="T. domingensis",D301="T. latifolia"),J301&gt;0),J301*[1]Sheet1!$G$5+K301*[1]Sheet1!$H$5+L301*[1]Sheet1!$I$5+[1]Sheet1!$L$5,0)))))))</f>
        <v>-2.9781819999999999</v>
      </c>
      <c r="P301" t="str">
        <f t="shared" si="13"/>
        <v xml:space="preserve"> </v>
      </c>
      <c r="S301">
        <f t="shared" si="14"/>
        <v>0.12566360000000001</v>
      </c>
    </row>
    <row r="302" spans="1:19">
      <c r="A302" s="7">
        <v>42501</v>
      </c>
      <c r="B302" s="6" t="s">
        <v>19</v>
      </c>
      <c r="C302">
        <v>5</v>
      </c>
      <c r="D302" s="6" t="s">
        <v>62</v>
      </c>
      <c r="E302">
        <v>161</v>
      </c>
      <c r="F302" s="6">
        <v>1.89</v>
      </c>
      <c r="G302">
        <v>5</v>
      </c>
      <c r="N302">
        <f t="shared" si="12"/>
        <v>150.56282132324998</v>
      </c>
      <c r="O302">
        <f>IF(AND(OR(D302="S. acutus",D302="S. californicus",D302="S. tabernaemontani"),G302=0),E302*[1]Sheet1!$D$7+[1]Sheet1!$L$7,IF(AND(OR(D302="S. acutus",D302="S. tabernaemontani"),G302&gt;0),E302*[1]Sheet1!$D$8+N302*[1]Sheet1!$E$8,IF(AND(D302="S. californicus",G302&gt;0),E302*[1]Sheet1!$D$9+N302*[1]Sheet1!$E$9,IF(D302="S. maritimus",F302*[1]Sheet1!$C$10+E302*[1]Sheet1!$D$10+G302*[1]Sheet1!$F$10+[1]Sheet1!$L$10,IF(D302="S. americanus",F302*[1]Sheet1!$C$6+E302*[1]Sheet1!$D$6+[1]Sheet1!$L$6,IF(AND(OR(D302="T. domingensis",D302="T. latifolia"),E302&gt;0),F302*[1]Sheet1!$C$4+E302*[1]Sheet1!$D$4+H302*[1]Sheet1!$J$4+I302*[1]Sheet1!$K$4+[1]Sheet1!$L$4,IF(AND(OR(D302="T. domingensis",D302="T. latifolia"),J302&gt;0),J302*[1]Sheet1!$G$5+K302*[1]Sheet1!$H$5+L302*[1]Sheet1!$I$5+[1]Sheet1!$L$5,0)))))))</f>
        <v>12.627029756997119</v>
      </c>
      <c r="P302">
        <f t="shared" si="13"/>
        <v>12.627029756997119</v>
      </c>
      <c r="S302">
        <f t="shared" si="14"/>
        <v>2.8055184097499999</v>
      </c>
    </row>
    <row r="303" spans="1:19">
      <c r="A303" s="7">
        <v>42501</v>
      </c>
      <c r="B303" s="6" t="s">
        <v>19</v>
      </c>
      <c r="C303">
        <v>5</v>
      </c>
      <c r="D303" s="6" t="s">
        <v>62</v>
      </c>
      <c r="E303">
        <v>82</v>
      </c>
      <c r="F303" s="6">
        <v>1.18</v>
      </c>
      <c r="N303">
        <f t="shared" si="12"/>
        <v>29.891391092666662</v>
      </c>
      <c r="O303">
        <f>IF(AND(OR(D303="S. acutus",D303="S. californicus",D303="S. tabernaemontani"),G303=0),E303*[1]Sheet1!$D$7+[1]Sheet1!$L$7,IF(AND(OR(D303="S. acutus",D303="S. tabernaemontani"),G303&gt;0),E303*[1]Sheet1!$D$8+N303*[1]Sheet1!$E$8,IF(AND(D303="S. californicus",G303&gt;0),E303*[1]Sheet1!$D$9+N303*[1]Sheet1!$E$9,IF(D303="S. maritimus",F303*[1]Sheet1!$C$10+E303*[1]Sheet1!$D$10+G303*[1]Sheet1!$F$10+[1]Sheet1!$L$10,IF(D303="S. americanus",F303*[1]Sheet1!$C$6+E303*[1]Sheet1!$D$6+[1]Sheet1!$L$6,IF(AND(OR(D303="T. domingensis",D303="T. latifolia"),E303&gt;0),F303*[1]Sheet1!$C$4+E303*[1]Sheet1!$D$4+H303*[1]Sheet1!$J$4+I303*[1]Sheet1!$K$4+[1]Sheet1!$L$4,IF(AND(OR(D303="T. domingensis",D303="T. latifolia"),J303&gt;0),J303*[1]Sheet1!$G$5+K303*[1]Sheet1!$H$5+L303*[1]Sheet1!$I$5+[1]Sheet1!$L$5,0)))))))</f>
        <v>1.1580130000000004</v>
      </c>
      <c r="P303">
        <f t="shared" si="13"/>
        <v>1.1580130000000004</v>
      </c>
      <c r="S303">
        <f t="shared" si="14"/>
        <v>1.0935874789999998</v>
      </c>
    </row>
    <row r="304" spans="1:19">
      <c r="A304" s="7">
        <v>42501</v>
      </c>
      <c r="B304" s="6" t="s">
        <v>19</v>
      </c>
      <c r="C304">
        <v>5</v>
      </c>
      <c r="D304" s="6" t="s">
        <v>62</v>
      </c>
      <c r="E304">
        <v>43</v>
      </c>
      <c r="F304" s="6">
        <v>0.6</v>
      </c>
      <c r="N304">
        <f t="shared" si="12"/>
        <v>4.0526510999999994</v>
      </c>
      <c r="O304">
        <f>IF(AND(OR(D304="S. acutus",D304="S. californicus",D304="S. tabernaemontani"),G304=0),E304*[1]Sheet1!$D$7+[1]Sheet1!$L$7,IF(AND(OR(D304="S. acutus",D304="S. tabernaemontani"),G304&gt;0),E304*[1]Sheet1!$D$8+N304*[1]Sheet1!$E$8,IF(AND(D304="S. californicus",G304&gt;0),E304*[1]Sheet1!$D$9+N304*[1]Sheet1!$E$9,IF(D304="S. maritimus",F304*[1]Sheet1!$C$10+E304*[1]Sheet1!$D$10+G304*[1]Sheet1!$F$10+[1]Sheet1!$L$10,IF(D304="S. americanus",F304*[1]Sheet1!$C$6+E304*[1]Sheet1!$D$6+[1]Sheet1!$L$6,IF(AND(OR(D304="T. domingensis",D304="T. latifolia"),E304&gt;0),F304*[1]Sheet1!$C$4+E304*[1]Sheet1!$D$4+H304*[1]Sheet1!$J$4+I304*[1]Sheet1!$K$4+[1]Sheet1!$L$4,IF(AND(OR(D304="T. domingensis",D304="T. latifolia"),J304&gt;0),J304*[1]Sheet1!$G$5+K304*[1]Sheet1!$H$5+L304*[1]Sheet1!$I$5+[1]Sheet1!$L$5,0)))))))</f>
        <v>-1.576082</v>
      </c>
      <c r="P304" t="str">
        <f t="shared" si="13"/>
        <v xml:space="preserve"> </v>
      </c>
      <c r="S304">
        <f t="shared" si="14"/>
        <v>0.28274309999999997</v>
      </c>
    </row>
    <row r="305" spans="1:19">
      <c r="A305" s="7">
        <v>42501</v>
      </c>
      <c r="B305" s="6" t="s">
        <v>19</v>
      </c>
      <c r="C305">
        <v>5</v>
      </c>
      <c r="D305" s="6" t="s">
        <v>62</v>
      </c>
      <c r="E305">
        <v>147</v>
      </c>
      <c r="F305" s="6">
        <v>1.34</v>
      </c>
      <c r="G305">
        <v>5</v>
      </c>
      <c r="N305">
        <f t="shared" si="12"/>
        <v>69.102727799000007</v>
      </c>
      <c r="O305">
        <f>IF(AND(OR(D305="S. acutus",D305="S. californicus",D305="S. tabernaemontani"),G305=0),E305*[1]Sheet1!$D$7+[1]Sheet1!$L$7,IF(AND(OR(D305="S. acutus",D305="S. tabernaemontani"),G305&gt;0),E305*[1]Sheet1!$D$8+N305*[1]Sheet1!$E$8,IF(AND(D305="S. californicus",G305&gt;0),E305*[1]Sheet1!$D$9+N305*[1]Sheet1!$E$9,IF(D305="S. maritimus",F305*[1]Sheet1!$C$10+E305*[1]Sheet1!$D$10+G305*[1]Sheet1!$F$10+[1]Sheet1!$L$10,IF(D305="S. americanus",F305*[1]Sheet1!$C$6+E305*[1]Sheet1!$D$6+[1]Sheet1!$L$6,IF(AND(OR(D305="T. domingensis",D305="T. latifolia"),E305&gt;0),F305*[1]Sheet1!$C$4+E305*[1]Sheet1!$D$4+H305*[1]Sheet1!$J$4+I305*[1]Sheet1!$K$4+[1]Sheet1!$L$4,IF(AND(OR(D305="T. domingensis",D305="T. latifolia"),J305&gt;0),J305*[1]Sheet1!$G$5+K305*[1]Sheet1!$H$5+L305*[1]Sheet1!$I$5+[1]Sheet1!$L$5,0)))))))</f>
        <v>7.5859899230795271</v>
      </c>
      <c r="P305">
        <f t="shared" si="13"/>
        <v>7.5859899230795271</v>
      </c>
      <c r="S305">
        <f t="shared" si="14"/>
        <v>1.4102597510000001</v>
      </c>
    </row>
    <row r="306" spans="1:19">
      <c r="A306" s="7">
        <v>42501</v>
      </c>
      <c r="B306" s="6" t="s">
        <v>19</v>
      </c>
      <c r="C306">
        <v>5</v>
      </c>
      <c r="D306" s="6" t="s">
        <v>62</v>
      </c>
      <c r="E306">
        <v>120</v>
      </c>
      <c r="F306" s="6">
        <v>1.1299999999999999</v>
      </c>
      <c r="N306">
        <f t="shared" si="12"/>
        <v>40.114962709999986</v>
      </c>
      <c r="O306">
        <f>IF(AND(OR(D306="S. acutus",D306="S. californicus",D306="S. tabernaemontani"),G306=0),E306*[1]Sheet1!$D$7+[1]Sheet1!$L$7,IF(AND(OR(D306="S. acutus",D306="S. tabernaemontani"),G306&gt;0),E306*[1]Sheet1!$D$8+N306*[1]Sheet1!$E$8,IF(AND(D306="S. californicus",G306&gt;0),E306*[1]Sheet1!$D$9+N306*[1]Sheet1!$E$9,IF(D306="S. maritimus",F306*[1]Sheet1!$C$10+E306*[1]Sheet1!$D$10+G306*[1]Sheet1!$F$10+[1]Sheet1!$L$10,IF(D306="S. americanus",F306*[1]Sheet1!$C$6+E306*[1]Sheet1!$D$6+[1]Sheet1!$L$6,IF(AND(OR(D306="T. domingensis",D306="T. latifolia"),E306&gt;0),F306*[1]Sheet1!$C$4+E306*[1]Sheet1!$D$4+H306*[1]Sheet1!$J$4+I306*[1]Sheet1!$K$4+[1]Sheet1!$L$4,IF(AND(OR(D306="T. domingensis",D306="T. latifolia"),J306&gt;0),J306*[1]Sheet1!$G$5+K306*[1]Sheet1!$H$5+L306*[1]Sheet1!$I$5+[1]Sheet1!$L$5,0)))))))</f>
        <v>3.8220029999999996</v>
      </c>
      <c r="P306">
        <f t="shared" si="13"/>
        <v>3.8220029999999996</v>
      </c>
      <c r="S306">
        <f t="shared" si="14"/>
        <v>1.0028740677499997</v>
      </c>
    </row>
    <row r="307" spans="1:19">
      <c r="A307" s="7">
        <v>42501</v>
      </c>
      <c r="B307" s="6" t="s">
        <v>19</v>
      </c>
      <c r="C307">
        <v>5</v>
      </c>
      <c r="D307" s="6" t="s">
        <v>62</v>
      </c>
      <c r="E307">
        <v>39</v>
      </c>
      <c r="F307" s="6">
        <v>0.51</v>
      </c>
      <c r="N307">
        <f t="shared" si="12"/>
        <v>2.6556645667499996</v>
      </c>
      <c r="O307">
        <f>IF(AND(OR(D307="S. acutus",D307="S. californicus",D307="S. tabernaemontani"),G307=0),E307*[1]Sheet1!$D$7+[1]Sheet1!$L$7,IF(AND(OR(D307="S. acutus",D307="S. tabernaemontani"),G307&gt;0),E307*[1]Sheet1!$D$8+N307*[1]Sheet1!$E$8,IF(AND(D307="S. californicus",G307&gt;0),E307*[1]Sheet1!$D$9+N307*[1]Sheet1!$E$9,IF(D307="S. maritimus",F307*[1]Sheet1!$C$10+E307*[1]Sheet1!$D$10+G307*[1]Sheet1!$F$10+[1]Sheet1!$L$10,IF(D307="S. americanus",F307*[1]Sheet1!$C$6+E307*[1]Sheet1!$D$6+[1]Sheet1!$L$6,IF(AND(OR(D307="T. domingensis",D307="T. latifolia"),E307&gt;0),F307*[1]Sheet1!$C$4+E307*[1]Sheet1!$D$4+H307*[1]Sheet1!$J$4+I307*[1]Sheet1!$K$4+[1]Sheet1!$L$4,IF(AND(OR(D307="T. domingensis",D307="T. latifolia"),J307&gt;0),J307*[1]Sheet1!$G$5+K307*[1]Sheet1!$H$5+L307*[1]Sheet1!$I$5+[1]Sheet1!$L$5,0)))))))</f>
        <v>-1.8565019999999999</v>
      </c>
      <c r="P307" t="str">
        <f t="shared" si="13"/>
        <v xml:space="preserve"> </v>
      </c>
      <c r="S307">
        <f t="shared" si="14"/>
        <v>0.20428188975</v>
      </c>
    </row>
    <row r="308" spans="1:19">
      <c r="A308" s="7">
        <v>42501</v>
      </c>
      <c r="B308" s="6" t="s">
        <v>19</v>
      </c>
      <c r="C308">
        <v>5</v>
      </c>
      <c r="D308" s="6" t="s">
        <v>62</v>
      </c>
      <c r="E308" s="6">
        <v>137</v>
      </c>
      <c r="F308">
        <v>1.49</v>
      </c>
      <c r="N308">
        <f t="shared" si="12"/>
        <v>79.627185198583319</v>
      </c>
      <c r="O308">
        <f>IF(AND(OR(D308="S. acutus",D308="S. californicus",D308="S. tabernaemontani"),G308=0),E308*[1]Sheet1!$D$7+[1]Sheet1!$L$7,IF(AND(OR(D308="S. acutus",D308="S. tabernaemontani"),G308&gt;0),E308*[1]Sheet1!$D$8+N308*[1]Sheet1!$E$8,IF(AND(D308="S. californicus",G308&gt;0),E308*[1]Sheet1!$D$9+N308*[1]Sheet1!$E$9,IF(D308="S. maritimus",F308*[1]Sheet1!$C$10+E308*[1]Sheet1!$D$10+G308*[1]Sheet1!$F$10+[1]Sheet1!$L$10,IF(D308="S. americanus",F308*[1]Sheet1!$C$6+E308*[1]Sheet1!$D$6+[1]Sheet1!$L$6,IF(AND(OR(D308="T. domingensis",D308="T. latifolia"),E308&gt;0),F308*[1]Sheet1!$C$4+E308*[1]Sheet1!$D$4+H308*[1]Sheet1!$J$4+I308*[1]Sheet1!$K$4+[1]Sheet1!$L$4,IF(AND(OR(D308="T. domingensis",D308="T. latifolia"),J308&gt;0),J308*[1]Sheet1!$G$5+K308*[1]Sheet1!$H$5+L308*[1]Sheet1!$I$5+[1]Sheet1!$L$5,0)))))))</f>
        <v>5.0137880000000008</v>
      </c>
      <c r="P308">
        <f t="shared" si="13"/>
        <v>5.0137880000000008</v>
      </c>
      <c r="S308">
        <f t="shared" si="14"/>
        <v>1.7436609897499999</v>
      </c>
    </row>
    <row r="309" spans="1:19">
      <c r="A309" s="7">
        <v>42501</v>
      </c>
      <c r="B309" s="6" t="s">
        <v>19</v>
      </c>
      <c r="C309">
        <v>5</v>
      </c>
      <c r="D309" s="6" t="s">
        <v>62</v>
      </c>
      <c r="E309" s="6">
        <v>75</v>
      </c>
      <c r="F309">
        <v>1.59</v>
      </c>
      <c r="N309">
        <f t="shared" si="12"/>
        <v>49.639085493750002</v>
      </c>
      <c r="O309">
        <f>IF(AND(OR(D309="S. acutus",D309="S. californicus",D309="S. tabernaemontani"),G309=0),E309*[1]Sheet1!$D$7+[1]Sheet1!$L$7,IF(AND(OR(D309="S. acutus",D309="S. tabernaemontani"),G309&gt;0),E309*[1]Sheet1!$D$8+N309*[1]Sheet1!$E$8,IF(AND(D309="S. californicus",G309&gt;0),E309*[1]Sheet1!$D$9+N309*[1]Sheet1!$E$9,IF(D309="S. maritimus",F309*[1]Sheet1!$C$10+E309*[1]Sheet1!$D$10+G309*[1]Sheet1!$F$10+[1]Sheet1!$L$10,IF(D309="S. americanus",F309*[1]Sheet1!$C$6+E309*[1]Sheet1!$D$6+[1]Sheet1!$L$6,IF(AND(OR(D309="T. domingensis",D309="T. latifolia"),E309&gt;0),F309*[1]Sheet1!$C$4+E309*[1]Sheet1!$D$4+H309*[1]Sheet1!$J$4+I309*[1]Sheet1!$K$4+[1]Sheet1!$L$4,IF(AND(OR(D309="T. domingensis",D309="T. latifolia"),J309&gt;0),J309*[1]Sheet1!$G$5+K309*[1]Sheet1!$H$5+L309*[1]Sheet1!$I$5+[1]Sheet1!$L$5,0)))))))</f>
        <v>0.66727800000000048</v>
      </c>
      <c r="P309">
        <f t="shared" si="13"/>
        <v>0.66727800000000048</v>
      </c>
      <c r="S309">
        <f t="shared" si="14"/>
        <v>1.9855634197500001</v>
      </c>
    </row>
    <row r="310" spans="1:19">
      <c r="A310" s="7">
        <v>42501</v>
      </c>
      <c r="B310" s="6" t="s">
        <v>19</v>
      </c>
      <c r="C310">
        <v>5</v>
      </c>
      <c r="D310" s="6" t="s">
        <v>62</v>
      </c>
      <c r="E310">
        <v>55</v>
      </c>
      <c r="F310" s="6">
        <v>0.9</v>
      </c>
      <c r="N310">
        <f t="shared" si="12"/>
        <v>11.663152875</v>
      </c>
      <c r="O310">
        <f>IF(AND(OR(D310="S. acutus",D310="S. californicus",D310="S. tabernaemontani"),G310=0),E310*[1]Sheet1!$D$7+[1]Sheet1!$L$7,IF(AND(OR(D310="S. acutus",D310="S. tabernaemontani"),G310&gt;0),E310*[1]Sheet1!$D$8+N310*[1]Sheet1!$E$8,IF(AND(D310="S. californicus",G310&gt;0),E310*[1]Sheet1!$D$9+N310*[1]Sheet1!$E$9,IF(D310="S. maritimus",F310*[1]Sheet1!$C$10+E310*[1]Sheet1!$D$10+G310*[1]Sheet1!$F$10+[1]Sheet1!$L$10,IF(D310="S. americanus",F310*[1]Sheet1!$C$6+E310*[1]Sheet1!$D$6+[1]Sheet1!$L$6,IF(AND(OR(D310="T. domingensis",D310="T. latifolia"),E310&gt;0),F310*[1]Sheet1!$C$4+E310*[1]Sheet1!$D$4+H310*[1]Sheet1!$J$4+I310*[1]Sheet1!$K$4+[1]Sheet1!$L$4,IF(AND(OR(D310="T. domingensis",D310="T. latifolia"),J310&gt;0),J310*[1]Sheet1!$G$5+K310*[1]Sheet1!$H$5+L310*[1]Sheet1!$I$5+[1]Sheet1!$L$5,0)))))))</f>
        <v>-0.73482199999999986</v>
      </c>
      <c r="P310" t="str">
        <f t="shared" si="13"/>
        <v xml:space="preserve"> </v>
      </c>
      <c r="S310">
        <f t="shared" si="14"/>
        <v>0.636171975</v>
      </c>
    </row>
    <row r="311" spans="1:19">
      <c r="A311" s="7">
        <v>42501</v>
      </c>
      <c r="B311" s="6" t="s">
        <v>19</v>
      </c>
      <c r="C311">
        <v>5</v>
      </c>
      <c r="D311" s="6" t="s">
        <v>62</v>
      </c>
      <c r="E311">
        <v>152</v>
      </c>
      <c r="F311" s="6">
        <v>0.75</v>
      </c>
      <c r="N311">
        <f t="shared" si="12"/>
        <v>22.383828749999996</v>
      </c>
      <c r="O311">
        <f>IF(AND(OR(D311="S. acutus",D311="S. californicus",D311="S. tabernaemontani"),G311=0),E311*[1]Sheet1!$D$7+[1]Sheet1!$L$7,IF(AND(OR(D311="S. acutus",D311="S. tabernaemontani"),G311&gt;0),E311*[1]Sheet1!$D$8+N311*[1]Sheet1!$E$8,IF(AND(D311="S. californicus",G311&gt;0),E311*[1]Sheet1!$D$9+N311*[1]Sheet1!$E$9,IF(D311="S. maritimus",F311*[1]Sheet1!$C$10+E311*[1]Sheet1!$D$10+G311*[1]Sheet1!$F$10+[1]Sheet1!$L$10,IF(D311="S. americanus",F311*[1]Sheet1!$C$6+E311*[1]Sheet1!$D$6+[1]Sheet1!$L$6,IF(AND(OR(D311="T. domingensis",D311="T. latifolia"),E311&gt;0),F311*[1]Sheet1!$C$4+E311*[1]Sheet1!$D$4+H311*[1]Sheet1!$J$4+I311*[1]Sheet1!$K$4+[1]Sheet1!$L$4,IF(AND(OR(D311="T. domingensis",D311="T. latifolia"),J311&gt;0),J311*[1]Sheet1!$G$5+K311*[1]Sheet1!$H$5+L311*[1]Sheet1!$I$5+[1]Sheet1!$L$5,0)))))))</f>
        <v>6.0653630000000005</v>
      </c>
      <c r="P311">
        <f t="shared" si="13"/>
        <v>6.0653630000000005</v>
      </c>
      <c r="S311">
        <f t="shared" si="14"/>
        <v>0.44178609375</v>
      </c>
    </row>
    <row r="312" spans="1:19">
      <c r="A312" s="7">
        <v>42501</v>
      </c>
      <c r="B312" s="6" t="s">
        <v>19</v>
      </c>
      <c r="C312">
        <v>5</v>
      </c>
      <c r="D312" s="6" t="s">
        <v>62</v>
      </c>
      <c r="E312">
        <v>147</v>
      </c>
      <c r="F312" s="6">
        <v>0.89</v>
      </c>
      <c r="N312">
        <f t="shared" si="12"/>
        <v>30.483554627749999</v>
      </c>
      <c r="O312">
        <f>IF(AND(OR(D312="S. acutus",D312="S. californicus",D312="S. tabernaemontani"),G312=0),E312*[1]Sheet1!$D$7+[1]Sheet1!$L$7,IF(AND(OR(D312="S. acutus",D312="S. tabernaemontani"),G312&gt;0),E312*[1]Sheet1!$D$8+N312*[1]Sheet1!$E$8,IF(AND(D312="S. californicus",G312&gt;0),E312*[1]Sheet1!$D$9+N312*[1]Sheet1!$E$9,IF(D312="S. maritimus",F312*[1]Sheet1!$C$10+E312*[1]Sheet1!$D$10+G312*[1]Sheet1!$F$10+[1]Sheet1!$L$10,IF(D312="S. americanus",F312*[1]Sheet1!$C$6+E312*[1]Sheet1!$D$6+[1]Sheet1!$L$6,IF(AND(OR(D312="T. domingensis",D312="T. latifolia"),E312&gt;0),F312*[1]Sheet1!$C$4+E312*[1]Sheet1!$D$4+H312*[1]Sheet1!$J$4+I312*[1]Sheet1!$K$4+[1]Sheet1!$L$4,IF(AND(OR(D312="T. domingensis",D312="T. latifolia"),J312&gt;0),J312*[1]Sheet1!$G$5+K312*[1]Sheet1!$H$5+L312*[1]Sheet1!$I$5+[1]Sheet1!$L$5,0)))))))</f>
        <v>5.7148379999999994</v>
      </c>
      <c r="P312">
        <f t="shared" si="13"/>
        <v>5.7148379999999994</v>
      </c>
      <c r="S312">
        <f t="shared" si="14"/>
        <v>0.62211335975000004</v>
      </c>
    </row>
    <row r="313" spans="1:19">
      <c r="A313" s="7">
        <v>42501</v>
      </c>
      <c r="B313" s="6" t="s">
        <v>19</v>
      </c>
      <c r="C313">
        <v>5</v>
      </c>
      <c r="D313" s="6" t="s">
        <v>62</v>
      </c>
      <c r="E313">
        <v>123</v>
      </c>
      <c r="F313" s="6">
        <v>1.52</v>
      </c>
      <c r="G313">
        <v>5</v>
      </c>
      <c r="N313">
        <f t="shared" si="12"/>
        <v>74.397877743999999</v>
      </c>
      <c r="O313">
        <f>IF(AND(OR(D313="S. acutus",D313="S. californicus",D313="S. tabernaemontani"),G313=0),E313*[1]Sheet1!$D$7+[1]Sheet1!$L$7,IF(AND(OR(D313="S. acutus",D313="S. tabernaemontani"),G313&gt;0),E313*[1]Sheet1!$D$8+N313*[1]Sheet1!$E$8,IF(AND(D313="S. californicus",G313&gt;0),E313*[1]Sheet1!$D$9+N313*[1]Sheet1!$E$9,IF(D313="S. maritimus",F313*[1]Sheet1!$C$10+E313*[1]Sheet1!$D$10+G313*[1]Sheet1!$F$10+[1]Sheet1!$L$10,IF(D313="S. americanus",F313*[1]Sheet1!$C$6+E313*[1]Sheet1!$D$6+[1]Sheet1!$L$6,IF(AND(OR(D313="T. domingensis",D313="T. latifolia"),E313&gt;0),F313*[1]Sheet1!$C$4+E313*[1]Sheet1!$D$4+H313*[1]Sheet1!$J$4+I313*[1]Sheet1!$K$4+[1]Sheet1!$L$4,IF(AND(OR(D313="T. domingensis",D313="T. latifolia"),J313&gt;0),J313*[1]Sheet1!$G$5+K313*[1]Sheet1!$H$5+L313*[1]Sheet1!$I$5+[1]Sheet1!$L$5,0)))))))</f>
        <v>7.3035360010074566</v>
      </c>
      <c r="P313">
        <f t="shared" si="13"/>
        <v>7.3035360010074566</v>
      </c>
      <c r="S313">
        <f t="shared" si="14"/>
        <v>1.8145823839999999</v>
      </c>
    </row>
    <row r="314" spans="1:19">
      <c r="A314" s="7">
        <v>42501</v>
      </c>
      <c r="B314" s="6" t="s">
        <v>19</v>
      </c>
      <c r="C314">
        <v>5</v>
      </c>
      <c r="D314" s="6" t="s">
        <v>62</v>
      </c>
      <c r="E314">
        <v>98</v>
      </c>
      <c r="F314" s="6">
        <v>0.62</v>
      </c>
      <c r="N314">
        <f t="shared" si="12"/>
        <v>9.8622887673333324</v>
      </c>
      <c r="O314">
        <f>IF(AND(OR(D314="S. acutus",D314="S. californicus",D314="S. tabernaemontani"),G314=0),E314*[1]Sheet1!$D$7+[1]Sheet1!$L$7,IF(AND(OR(D314="S. acutus",D314="S. tabernaemontani"),G314&gt;0),E314*[1]Sheet1!$D$8+N314*[1]Sheet1!$E$8,IF(AND(D314="S. californicus",G314&gt;0),E314*[1]Sheet1!$D$9+N314*[1]Sheet1!$E$9,IF(D314="S. maritimus",F314*[1]Sheet1!$C$10+E314*[1]Sheet1!$D$10+G314*[1]Sheet1!$F$10+[1]Sheet1!$L$10,IF(D314="S. americanus",F314*[1]Sheet1!$C$6+E314*[1]Sheet1!$D$6+[1]Sheet1!$L$6,IF(AND(OR(D314="T. domingensis",D314="T. latifolia"),E314&gt;0),F314*[1]Sheet1!$C$4+E314*[1]Sheet1!$D$4+H314*[1]Sheet1!$J$4+I314*[1]Sheet1!$K$4+[1]Sheet1!$L$4,IF(AND(OR(D314="T. domingensis",D314="T. latifolia"),J314&gt;0),J314*[1]Sheet1!$G$5+K314*[1]Sheet1!$H$5+L314*[1]Sheet1!$I$5+[1]Sheet1!$L$5,0)))))))</f>
        <v>2.279693</v>
      </c>
      <c r="P314">
        <f t="shared" si="13"/>
        <v>2.279693</v>
      </c>
      <c r="S314">
        <f t="shared" si="14"/>
        <v>0.301906799</v>
      </c>
    </row>
    <row r="315" spans="1:19">
      <c r="A315" s="7">
        <v>42501</v>
      </c>
      <c r="B315" s="6" t="s">
        <v>19</v>
      </c>
      <c r="C315">
        <v>5</v>
      </c>
      <c r="D315" s="6" t="s">
        <v>62</v>
      </c>
      <c r="E315">
        <v>158</v>
      </c>
      <c r="F315" s="6">
        <v>1.8</v>
      </c>
      <c r="G315">
        <v>9</v>
      </c>
      <c r="N315">
        <f t="shared" si="12"/>
        <v>134.02022940000001</v>
      </c>
      <c r="O315">
        <f>IF(AND(OR(D315="S. acutus",D315="S. californicus",D315="S. tabernaemontani"),G315=0),E315*[1]Sheet1!$D$7+[1]Sheet1!$L$7,IF(AND(OR(D315="S. acutus",D315="S. tabernaemontani"),G315&gt;0),E315*[1]Sheet1!$D$8+N315*[1]Sheet1!$E$8,IF(AND(D315="S. californicus",G315&gt;0),E315*[1]Sheet1!$D$9+N315*[1]Sheet1!$E$9,IF(D315="S. maritimus",F315*[1]Sheet1!$C$10+E315*[1]Sheet1!$D$10+G315*[1]Sheet1!$F$10+[1]Sheet1!$L$10,IF(D315="S. americanus",F315*[1]Sheet1!$C$6+E315*[1]Sheet1!$D$6+[1]Sheet1!$L$6,IF(AND(OR(D315="T. domingensis",D315="T. latifolia"),E315&gt;0),F315*[1]Sheet1!$C$4+E315*[1]Sheet1!$D$4+H315*[1]Sheet1!$J$4+I315*[1]Sheet1!$K$4+[1]Sheet1!$L$4,IF(AND(OR(D315="T. domingensis",D315="T. latifolia"),J315&gt;0),J315*[1]Sheet1!$G$5+K315*[1]Sheet1!$H$5+L315*[1]Sheet1!$I$5+[1]Sheet1!$L$5,0)))))))</f>
        <v>11.599471510415601</v>
      </c>
      <c r="P315">
        <f t="shared" si="13"/>
        <v>11.599471510415601</v>
      </c>
      <c r="S315">
        <f t="shared" si="14"/>
        <v>2.5446879</v>
      </c>
    </row>
    <row r="316" spans="1:19">
      <c r="A316" s="7">
        <v>42501</v>
      </c>
      <c r="B316" s="6" t="s">
        <v>19</v>
      </c>
      <c r="C316">
        <v>5</v>
      </c>
      <c r="D316" s="6" t="s">
        <v>62</v>
      </c>
      <c r="E316">
        <v>98</v>
      </c>
      <c r="F316" s="6">
        <v>0.62</v>
      </c>
      <c r="N316">
        <f t="shared" si="12"/>
        <v>9.8622887673333324</v>
      </c>
      <c r="O316">
        <f>IF(AND(OR(D316="S. acutus",D316="S. californicus",D316="S. tabernaemontani"),G316=0),E316*[1]Sheet1!$D$7+[1]Sheet1!$L$7,IF(AND(OR(D316="S. acutus",D316="S. tabernaemontani"),G316&gt;0),E316*[1]Sheet1!$D$8+N316*[1]Sheet1!$E$8,IF(AND(D316="S. californicus",G316&gt;0),E316*[1]Sheet1!$D$9+N316*[1]Sheet1!$E$9,IF(D316="S. maritimus",F316*[1]Sheet1!$C$10+E316*[1]Sheet1!$D$10+G316*[1]Sheet1!$F$10+[1]Sheet1!$L$10,IF(D316="S. americanus",F316*[1]Sheet1!$C$6+E316*[1]Sheet1!$D$6+[1]Sheet1!$L$6,IF(AND(OR(D316="T. domingensis",D316="T. latifolia"),E316&gt;0),F316*[1]Sheet1!$C$4+E316*[1]Sheet1!$D$4+H316*[1]Sheet1!$J$4+I316*[1]Sheet1!$K$4+[1]Sheet1!$L$4,IF(AND(OR(D316="T. domingensis",D316="T. latifolia"),J316&gt;0),J316*[1]Sheet1!$G$5+K316*[1]Sheet1!$H$5+L316*[1]Sheet1!$I$5+[1]Sheet1!$L$5,0)))))))</f>
        <v>2.279693</v>
      </c>
      <c r="P316">
        <f t="shared" si="13"/>
        <v>2.279693</v>
      </c>
      <c r="S316">
        <f t="shared" si="14"/>
        <v>0.301906799</v>
      </c>
    </row>
    <row r="317" spans="1:19">
      <c r="A317" s="7">
        <v>42501</v>
      </c>
      <c r="B317" s="6" t="s">
        <v>19</v>
      </c>
      <c r="C317">
        <v>5</v>
      </c>
      <c r="D317" s="6" t="s">
        <v>62</v>
      </c>
      <c r="E317">
        <v>146</v>
      </c>
      <c r="F317" s="6">
        <v>1.34</v>
      </c>
      <c r="N317">
        <f t="shared" si="12"/>
        <v>68.632641215333337</v>
      </c>
      <c r="O317">
        <f>IF(AND(OR(D317="S. acutus",D317="S. californicus",D317="S. tabernaemontani"),G317=0),E317*[1]Sheet1!$D$7+[1]Sheet1!$L$7,IF(AND(OR(D317="S. acutus",D317="S. tabernaemontani"),G317&gt;0),E317*[1]Sheet1!$D$8+N317*[1]Sheet1!$E$8,IF(AND(D317="S. californicus",G317&gt;0),E317*[1]Sheet1!$D$9+N317*[1]Sheet1!$E$9,IF(D317="S. maritimus",F317*[1]Sheet1!$C$10+E317*[1]Sheet1!$D$10+G317*[1]Sheet1!$F$10+[1]Sheet1!$L$10,IF(D317="S. americanus",F317*[1]Sheet1!$C$6+E317*[1]Sheet1!$D$6+[1]Sheet1!$L$6,IF(AND(OR(D317="T. domingensis",D317="T. latifolia"),E317&gt;0),F317*[1]Sheet1!$C$4+E317*[1]Sheet1!$D$4+H317*[1]Sheet1!$J$4+I317*[1]Sheet1!$K$4+[1]Sheet1!$L$4,IF(AND(OR(D317="T. domingensis",D317="T. latifolia"),J317&gt;0),J317*[1]Sheet1!$G$5+K317*[1]Sheet1!$H$5+L317*[1]Sheet1!$I$5+[1]Sheet1!$L$5,0)))))))</f>
        <v>5.6447329999999996</v>
      </c>
      <c r="P317">
        <f t="shared" si="13"/>
        <v>5.6447329999999996</v>
      </c>
      <c r="S317">
        <f t="shared" si="14"/>
        <v>1.4102597510000001</v>
      </c>
    </row>
    <row r="318" spans="1:19">
      <c r="A318" s="7">
        <v>42501</v>
      </c>
      <c r="B318" s="6" t="s">
        <v>19</v>
      </c>
      <c r="C318">
        <v>5</v>
      </c>
      <c r="D318" s="6" t="s">
        <v>62</v>
      </c>
      <c r="E318">
        <v>149</v>
      </c>
      <c r="F318" s="6">
        <v>1.65</v>
      </c>
      <c r="G318">
        <v>6</v>
      </c>
      <c r="N318">
        <f t="shared" si="12"/>
        <v>106.19948645624999</v>
      </c>
      <c r="O318">
        <f>IF(AND(OR(D318="S. acutus",D318="S. californicus",D318="S. tabernaemontani"),G318=0),E318*[1]Sheet1!$D$7+[1]Sheet1!$L$7,IF(AND(OR(D318="S. acutus",D318="S. tabernaemontani"),G318&gt;0),E318*[1]Sheet1!$D$8+N318*[1]Sheet1!$E$8,IF(AND(D318="S. californicus",G318&gt;0),E318*[1]Sheet1!$D$9+N318*[1]Sheet1!$E$9,IF(D318="S. maritimus",F318*[1]Sheet1!$C$10+E318*[1]Sheet1!$D$10+G318*[1]Sheet1!$F$10+[1]Sheet1!$L$10,IF(D318="S. americanus",F318*[1]Sheet1!$C$6+E318*[1]Sheet1!$D$6+[1]Sheet1!$L$6,IF(AND(OR(D318="T. domingensis",D318="T. latifolia"),E318&gt;0),F318*[1]Sheet1!$C$4+E318*[1]Sheet1!$D$4+H318*[1]Sheet1!$J$4+I318*[1]Sheet1!$K$4+[1]Sheet1!$L$4,IF(AND(OR(D318="T. domingensis",D318="T. latifolia"),J318&gt;0),J318*[1]Sheet1!$G$5+K318*[1]Sheet1!$H$5+L318*[1]Sheet1!$I$5+[1]Sheet1!$L$5,0)))))))</f>
        <v>9.7744955818777619</v>
      </c>
      <c r="P318">
        <f t="shared" si="13"/>
        <v>9.7744955818777619</v>
      </c>
      <c r="S318">
        <f t="shared" si="14"/>
        <v>2.1382446937499995</v>
      </c>
    </row>
    <row r="319" spans="1:19">
      <c r="A319" s="7">
        <v>42501</v>
      </c>
      <c r="B319" s="6" t="s">
        <v>19</v>
      </c>
      <c r="C319">
        <v>5</v>
      </c>
      <c r="D319" s="6" t="s">
        <v>62</v>
      </c>
      <c r="E319">
        <v>68</v>
      </c>
      <c r="F319" s="6">
        <v>0.79</v>
      </c>
      <c r="N319">
        <f t="shared" si="12"/>
        <v>11.110442474333334</v>
      </c>
      <c r="O319">
        <f>IF(AND(OR(D319="S. acutus",D319="S. californicus",D319="S. tabernaemontani"),G319=0),E319*[1]Sheet1!$D$7+[1]Sheet1!$L$7,IF(AND(OR(D319="S. acutus",D319="S. tabernaemontani"),G319&gt;0),E319*[1]Sheet1!$D$8+N319*[1]Sheet1!$E$8,IF(AND(D319="S. californicus",G319&gt;0),E319*[1]Sheet1!$D$9+N319*[1]Sheet1!$E$9,IF(D319="S. maritimus",F319*[1]Sheet1!$C$10+E319*[1]Sheet1!$D$10+G319*[1]Sheet1!$F$10+[1]Sheet1!$L$10,IF(D319="S. americanus",F319*[1]Sheet1!$C$6+E319*[1]Sheet1!$D$6+[1]Sheet1!$L$6,IF(AND(OR(D319="T. domingensis",D319="T. latifolia"),E319&gt;0),F319*[1]Sheet1!$C$4+E319*[1]Sheet1!$D$4+H319*[1]Sheet1!$J$4+I319*[1]Sheet1!$K$4+[1]Sheet1!$L$4,IF(AND(OR(D319="T. domingensis",D319="T. latifolia"),J319&gt;0),J319*[1]Sheet1!$G$5+K319*[1]Sheet1!$H$5+L319*[1]Sheet1!$I$5+[1]Sheet1!$L$5,0)))))))</f>
        <v>0.17654300000000056</v>
      </c>
      <c r="P319">
        <f t="shared" si="13"/>
        <v>0.17654300000000056</v>
      </c>
      <c r="S319">
        <f t="shared" si="14"/>
        <v>0.49016657975000005</v>
      </c>
    </row>
    <row r="320" spans="1:19">
      <c r="A320" s="7">
        <v>42501</v>
      </c>
      <c r="B320" s="6" t="s">
        <v>19</v>
      </c>
      <c r="C320">
        <v>5</v>
      </c>
      <c r="D320" s="6" t="s">
        <v>62</v>
      </c>
      <c r="E320">
        <v>46</v>
      </c>
      <c r="F320" s="6">
        <v>0.7</v>
      </c>
      <c r="N320">
        <f t="shared" si="12"/>
        <v>5.9009532166666654</v>
      </c>
      <c r="O320">
        <f>IF(AND(OR(D320="S. acutus",D320="S. californicus",D320="S. tabernaemontani"),G320=0),E320*[1]Sheet1!$D$7+[1]Sheet1!$L$7,IF(AND(OR(D320="S. acutus",D320="S. tabernaemontani"),G320&gt;0),E320*[1]Sheet1!$D$8+N320*[1]Sheet1!$E$8,IF(AND(D320="S. californicus",G320&gt;0),E320*[1]Sheet1!$D$9+N320*[1]Sheet1!$E$9,IF(D320="S. maritimus",F320*[1]Sheet1!$C$10+E320*[1]Sheet1!$D$10+G320*[1]Sheet1!$F$10+[1]Sheet1!$L$10,IF(D320="S. americanus",F320*[1]Sheet1!$C$6+E320*[1]Sheet1!$D$6+[1]Sheet1!$L$6,IF(AND(OR(D320="T. domingensis",D320="T. latifolia"),E320&gt;0),F320*[1]Sheet1!$C$4+E320*[1]Sheet1!$D$4+H320*[1]Sheet1!$J$4+I320*[1]Sheet1!$K$4+[1]Sheet1!$L$4,IF(AND(OR(D320="T. domingensis",D320="T. latifolia"),J320&gt;0),J320*[1]Sheet1!$G$5+K320*[1]Sheet1!$H$5+L320*[1]Sheet1!$I$5+[1]Sheet1!$L$5,0)))))))</f>
        <v>-1.365767</v>
      </c>
      <c r="P320" t="str">
        <f t="shared" si="13"/>
        <v xml:space="preserve"> </v>
      </c>
      <c r="S320">
        <f t="shared" si="14"/>
        <v>0.38484477499999992</v>
      </c>
    </row>
    <row r="321" spans="1:19">
      <c r="A321" s="7">
        <v>42501</v>
      </c>
      <c r="B321" s="6" t="s">
        <v>19</v>
      </c>
      <c r="C321">
        <v>5</v>
      </c>
      <c r="D321" s="6" t="s">
        <v>62</v>
      </c>
      <c r="E321">
        <v>158</v>
      </c>
      <c r="F321" s="6">
        <v>2.38</v>
      </c>
      <c r="G321">
        <v>5</v>
      </c>
      <c r="N321">
        <f t="shared" si="12"/>
        <v>234.30376154733329</v>
      </c>
      <c r="O321">
        <f>IF(AND(OR(D321="S. acutus",D321="S. californicus",D321="S. tabernaemontani"),G321=0),E321*[1]Sheet1!$D$7+[1]Sheet1!$L$7,IF(AND(OR(D321="S. acutus",D321="S. tabernaemontani"),G321&gt;0),E321*[1]Sheet1!$D$8+N321*[1]Sheet1!$E$8,IF(AND(D321="S. californicus",G321&gt;0),E321*[1]Sheet1!$D$9+N321*[1]Sheet1!$E$9,IF(D321="S. maritimus",F321*[1]Sheet1!$C$10+E321*[1]Sheet1!$D$10+G321*[1]Sheet1!$F$10+[1]Sheet1!$L$10,IF(D321="S. americanus",F321*[1]Sheet1!$C$6+E321*[1]Sheet1!$D$6+[1]Sheet1!$L$6,IF(AND(OR(D321="T. domingensis",D321="T. latifolia"),E321&gt;0),F321*[1]Sheet1!$C$4+E321*[1]Sheet1!$D$4+H321*[1]Sheet1!$J$4+I321*[1]Sheet1!$K$4+[1]Sheet1!$L$4,IF(AND(OR(D321="T. domingensis",D321="T. latifolia"),J321&gt;0),J321*[1]Sheet1!$G$5+K321*[1]Sheet1!$H$5+L321*[1]Sheet1!$I$5+[1]Sheet1!$L$5,0)))))))</f>
        <v>17.383223943480903</v>
      </c>
      <c r="P321">
        <f t="shared" si="13"/>
        <v>17.383223943480903</v>
      </c>
      <c r="S321">
        <f t="shared" si="14"/>
        <v>4.4488055989999999</v>
      </c>
    </row>
    <row r="322" spans="1:19">
      <c r="A322" s="7">
        <v>42501</v>
      </c>
      <c r="B322" s="6" t="s">
        <v>19</v>
      </c>
      <c r="C322">
        <v>5</v>
      </c>
      <c r="D322" s="6" t="s">
        <v>62</v>
      </c>
      <c r="E322">
        <v>33</v>
      </c>
      <c r="F322" s="6">
        <v>0.52</v>
      </c>
      <c r="N322">
        <f t="shared" si="12"/>
        <v>2.336086324</v>
      </c>
      <c r="O322">
        <f>IF(AND(OR(D322="S. acutus",D322="S. californicus",D322="S. tabernaemontani"),G322=0),E322*[1]Sheet1!$D$7+[1]Sheet1!$L$7,IF(AND(OR(D322="S. acutus",D322="S. tabernaemontani"),G322&gt;0),E322*[1]Sheet1!$D$8+N322*[1]Sheet1!$E$8,IF(AND(D322="S. californicus",G322&gt;0),E322*[1]Sheet1!$D$9+N322*[1]Sheet1!$E$9,IF(D322="S. maritimus",F322*[1]Sheet1!$C$10+E322*[1]Sheet1!$D$10+G322*[1]Sheet1!$F$10+[1]Sheet1!$L$10,IF(D322="S. americanus",F322*[1]Sheet1!$C$6+E322*[1]Sheet1!$D$6+[1]Sheet1!$L$6,IF(AND(OR(D322="T. domingensis",D322="T. latifolia"),E322&gt;0),F322*[1]Sheet1!$C$4+E322*[1]Sheet1!$D$4+H322*[1]Sheet1!$J$4+I322*[1]Sheet1!$K$4+[1]Sheet1!$L$4,IF(AND(OR(D322="T. domingensis",D322="T. latifolia"),J322&gt;0),J322*[1]Sheet1!$G$5+K322*[1]Sheet1!$H$5+L322*[1]Sheet1!$I$5+[1]Sheet1!$L$5,0)))))))</f>
        <v>-2.2771319999999999</v>
      </c>
      <c r="P322" t="str">
        <f t="shared" si="13"/>
        <v xml:space="preserve"> </v>
      </c>
      <c r="S322">
        <f t="shared" si="14"/>
        <v>0.21237148400000003</v>
      </c>
    </row>
    <row r="323" spans="1:19">
      <c r="A323" s="7">
        <v>42501</v>
      </c>
      <c r="B323" s="6" t="s">
        <v>19</v>
      </c>
      <c r="C323">
        <v>5</v>
      </c>
      <c r="D323" s="6" t="s">
        <v>62</v>
      </c>
      <c r="E323">
        <v>177</v>
      </c>
      <c r="F323" s="6">
        <v>1.58</v>
      </c>
      <c r="N323">
        <f t="shared" si="12"/>
        <v>115.67931282100001</v>
      </c>
      <c r="O323">
        <f>IF(AND(OR(D323="S. acutus",D323="S. californicus",D323="S. tabernaemontani"),G323=0),E323*[1]Sheet1!$D$7+[1]Sheet1!$L$7,IF(AND(OR(D323="S. acutus",D323="S. tabernaemontani"),G323&gt;0),E323*[1]Sheet1!$D$8+N323*[1]Sheet1!$E$8,IF(AND(D323="S. californicus",G323&gt;0),E323*[1]Sheet1!$D$9+N323*[1]Sheet1!$E$9,IF(D323="S. maritimus",F323*[1]Sheet1!$C$10+E323*[1]Sheet1!$D$10+G323*[1]Sheet1!$F$10+[1]Sheet1!$L$10,IF(D323="S. americanus",F323*[1]Sheet1!$C$6+E323*[1]Sheet1!$D$6+[1]Sheet1!$L$6,IF(AND(OR(D323="T. domingensis",D323="T. latifolia"),E323&gt;0),F323*[1]Sheet1!$C$4+E323*[1]Sheet1!$D$4+H323*[1]Sheet1!$J$4+I323*[1]Sheet1!$K$4+[1]Sheet1!$L$4,IF(AND(OR(D323="T. domingensis",D323="T. latifolia"),J323&gt;0),J323*[1]Sheet1!$G$5+K323*[1]Sheet1!$H$5+L323*[1]Sheet1!$I$5+[1]Sheet1!$L$5,0)))))))</f>
        <v>7.8179880000000006</v>
      </c>
      <c r="P323">
        <f t="shared" si="13"/>
        <v>7.8179880000000006</v>
      </c>
      <c r="S323">
        <f t="shared" si="14"/>
        <v>1.9606663190000002</v>
      </c>
    </row>
    <row r="324" spans="1:19">
      <c r="A324" s="7">
        <v>42501</v>
      </c>
      <c r="B324" s="6" t="s">
        <v>19</v>
      </c>
      <c r="C324">
        <v>5</v>
      </c>
      <c r="D324" s="6" t="s">
        <v>62</v>
      </c>
      <c r="E324">
        <v>119</v>
      </c>
      <c r="F324" s="6">
        <v>1.32</v>
      </c>
      <c r="N324">
        <f t="shared" ref="N324:N387" si="15">IF(OR(D324="S. acutus", D324="S. tabernaemontani", D324="S. californicus"),(1/3)*(3.14159)*((F324/2)^2)*E324,"NA")</f>
        <v>54.282905292000002</v>
      </c>
      <c r="O324">
        <f>IF(AND(OR(D324="S. acutus",D324="S. californicus",D324="S. tabernaemontani"),G324=0),E324*[1]Sheet1!$D$7+[1]Sheet1!$L$7,IF(AND(OR(D324="S. acutus",D324="S. tabernaemontani"),G324&gt;0),E324*[1]Sheet1!$D$8+N324*[1]Sheet1!$E$8,IF(AND(D324="S. californicus",G324&gt;0),E324*[1]Sheet1!$D$9+N324*[1]Sheet1!$E$9,IF(D324="S. maritimus",F324*[1]Sheet1!$C$10+E324*[1]Sheet1!$D$10+G324*[1]Sheet1!$F$10+[1]Sheet1!$L$10,IF(D324="S. americanus",F324*[1]Sheet1!$C$6+E324*[1]Sheet1!$D$6+[1]Sheet1!$L$6,IF(AND(OR(D324="T. domingensis",D324="T. latifolia"),E324&gt;0),F324*[1]Sheet1!$C$4+E324*[1]Sheet1!$D$4+H324*[1]Sheet1!$J$4+I324*[1]Sheet1!$K$4+[1]Sheet1!$L$4,IF(AND(OR(D324="T. domingensis",D324="T. latifolia"),J324&gt;0),J324*[1]Sheet1!$G$5+K324*[1]Sheet1!$H$5+L324*[1]Sheet1!$I$5+[1]Sheet1!$L$5,0)))))))</f>
        <v>3.7518979999999997</v>
      </c>
      <c r="P324">
        <f t="shared" ref="P324:P387" si="16">IF(O324&lt;0," ",O324)</f>
        <v>3.7518979999999997</v>
      </c>
      <c r="S324">
        <f t="shared" ref="S324:S387" si="17">3.14159*((F324/2)^2)</f>
        <v>1.368476604</v>
      </c>
    </row>
    <row r="325" spans="1:19">
      <c r="A325" s="7">
        <v>42501</v>
      </c>
      <c r="B325" s="6" t="s">
        <v>19</v>
      </c>
      <c r="C325">
        <v>5</v>
      </c>
      <c r="D325" s="6" t="s">
        <v>62</v>
      </c>
      <c r="E325">
        <v>120</v>
      </c>
      <c r="F325" s="6">
        <v>1.23</v>
      </c>
      <c r="G325">
        <v>6</v>
      </c>
      <c r="N325">
        <f t="shared" si="15"/>
        <v>47.529115109999992</v>
      </c>
      <c r="O325">
        <f>IF(AND(OR(D325="S. acutus",D325="S. californicus",D325="S. tabernaemontani"),G325=0),E325*[1]Sheet1!$D$7+[1]Sheet1!$L$7,IF(AND(OR(D325="S. acutus",D325="S. tabernaemontani"),G325&gt;0),E325*[1]Sheet1!$D$8+N325*[1]Sheet1!$E$8,IF(AND(D325="S. californicus",G325&gt;0),E325*[1]Sheet1!$D$9+N325*[1]Sheet1!$E$9,IF(D325="S. maritimus",F325*[1]Sheet1!$C$10+E325*[1]Sheet1!$D$10+G325*[1]Sheet1!$F$10+[1]Sheet1!$L$10,IF(D325="S. americanus",F325*[1]Sheet1!$C$6+E325*[1]Sheet1!$D$6+[1]Sheet1!$L$6,IF(AND(OR(D325="T. domingensis",D325="T. latifolia"),E325&gt;0),F325*[1]Sheet1!$C$4+E325*[1]Sheet1!$D$4+H325*[1]Sheet1!$J$4+I325*[1]Sheet1!$K$4+[1]Sheet1!$L$4,IF(AND(OR(D325="T. domingensis",D325="T. latifolia"),J325&gt;0),J325*[1]Sheet1!$G$5+K325*[1]Sheet1!$H$5+L325*[1]Sheet1!$I$5+[1]Sheet1!$L$5,0)))))))</f>
        <v>5.6804261848541397</v>
      </c>
      <c r="P325">
        <f t="shared" si="16"/>
        <v>5.6804261848541397</v>
      </c>
      <c r="S325">
        <f t="shared" si="17"/>
        <v>1.1882278777499999</v>
      </c>
    </row>
    <row r="326" spans="1:19">
      <c r="A326" s="7">
        <v>42501</v>
      </c>
      <c r="B326" s="6" t="s">
        <v>19</v>
      </c>
      <c r="C326">
        <v>5</v>
      </c>
      <c r="D326" s="6" t="s">
        <v>62</v>
      </c>
      <c r="E326">
        <v>33</v>
      </c>
      <c r="F326" s="6">
        <v>0.21</v>
      </c>
      <c r="N326">
        <f t="shared" si="15"/>
        <v>0.38099632724999993</v>
      </c>
      <c r="O326">
        <f>IF(AND(OR(D326="S. acutus",D326="S. californicus",D326="S. tabernaemontani"),G326=0),E326*[1]Sheet1!$D$7+[1]Sheet1!$L$7,IF(AND(OR(D326="S. acutus",D326="S. tabernaemontani"),G326&gt;0),E326*[1]Sheet1!$D$8+N326*[1]Sheet1!$E$8,IF(AND(D326="S. californicus",G326&gt;0),E326*[1]Sheet1!$D$9+N326*[1]Sheet1!$E$9,IF(D326="S. maritimus",F326*[1]Sheet1!$C$10+E326*[1]Sheet1!$D$10+G326*[1]Sheet1!$F$10+[1]Sheet1!$L$10,IF(D326="S. americanus",F326*[1]Sheet1!$C$6+E326*[1]Sheet1!$D$6+[1]Sheet1!$L$6,IF(AND(OR(D326="T. domingensis",D326="T. latifolia"),E326&gt;0),F326*[1]Sheet1!$C$4+E326*[1]Sheet1!$D$4+H326*[1]Sheet1!$J$4+I326*[1]Sheet1!$K$4+[1]Sheet1!$L$4,IF(AND(OR(D326="T. domingensis",D326="T. latifolia"),J326&gt;0),J326*[1]Sheet1!$G$5+K326*[1]Sheet1!$H$5+L326*[1]Sheet1!$I$5+[1]Sheet1!$L$5,0)))))))</f>
        <v>-2.2771319999999999</v>
      </c>
      <c r="P326" t="str">
        <f t="shared" si="16"/>
        <v xml:space="preserve"> </v>
      </c>
      <c r="S326">
        <f t="shared" si="17"/>
        <v>3.4636029749999991E-2</v>
      </c>
    </row>
    <row r="327" spans="1:19">
      <c r="A327" s="7">
        <v>42501</v>
      </c>
      <c r="B327" s="6" t="s">
        <v>19</v>
      </c>
      <c r="C327">
        <v>5</v>
      </c>
      <c r="D327" s="6" t="s">
        <v>62</v>
      </c>
      <c r="E327">
        <v>48</v>
      </c>
      <c r="F327" s="6">
        <v>0.67</v>
      </c>
      <c r="N327">
        <f t="shared" si="15"/>
        <v>5.6410390039999996</v>
      </c>
      <c r="O327">
        <f>IF(AND(OR(D327="S. acutus",D327="S. californicus",D327="S. tabernaemontani"),G327=0),E327*[1]Sheet1!$D$7+[1]Sheet1!$L$7,IF(AND(OR(D327="S. acutus",D327="S. tabernaemontani"),G327&gt;0),E327*[1]Sheet1!$D$8+N327*[1]Sheet1!$E$8,IF(AND(D327="S. californicus",G327&gt;0),E327*[1]Sheet1!$D$9+N327*[1]Sheet1!$E$9,IF(D327="S. maritimus",F327*[1]Sheet1!$C$10+E327*[1]Sheet1!$D$10+G327*[1]Sheet1!$F$10+[1]Sheet1!$L$10,IF(D327="S. americanus",F327*[1]Sheet1!$C$6+E327*[1]Sheet1!$D$6+[1]Sheet1!$L$6,IF(AND(OR(D327="T. domingensis",D327="T. latifolia"),E327&gt;0),F327*[1]Sheet1!$C$4+E327*[1]Sheet1!$D$4+H327*[1]Sheet1!$J$4+I327*[1]Sheet1!$K$4+[1]Sheet1!$L$4,IF(AND(OR(D327="T. domingensis",D327="T. latifolia"),J327&gt;0),J327*[1]Sheet1!$G$5+K327*[1]Sheet1!$H$5+L327*[1]Sheet1!$I$5+[1]Sheet1!$L$5,0)))))))</f>
        <v>-1.2255569999999998</v>
      </c>
      <c r="P327" t="str">
        <f t="shared" si="16"/>
        <v xml:space="preserve"> </v>
      </c>
      <c r="S327">
        <f t="shared" si="17"/>
        <v>0.35256493775000003</v>
      </c>
    </row>
    <row r="328" spans="1:19">
      <c r="A328" s="7">
        <v>42501</v>
      </c>
      <c r="B328" s="6" t="s">
        <v>19</v>
      </c>
      <c r="C328">
        <v>5</v>
      </c>
      <c r="D328" s="6" t="s">
        <v>62</v>
      </c>
      <c r="E328">
        <v>132</v>
      </c>
      <c r="F328" s="6">
        <v>1.42</v>
      </c>
      <c r="G328">
        <v>3</v>
      </c>
      <c r="N328">
        <f t="shared" si="15"/>
        <v>69.681722835999992</v>
      </c>
      <c r="O328">
        <f>IF(AND(OR(D328="S. acutus",D328="S. californicus",D328="S. tabernaemontani"),G328=0),E328*[1]Sheet1!$D$7+[1]Sheet1!$L$7,IF(AND(OR(D328="S. acutus",D328="S. tabernaemontani"),G328&gt;0),E328*[1]Sheet1!$D$8+N328*[1]Sheet1!$E$8,IF(AND(D328="S. californicus",G328&gt;0),E328*[1]Sheet1!$D$9+N328*[1]Sheet1!$E$9,IF(D328="S. maritimus",F328*[1]Sheet1!$C$10+E328*[1]Sheet1!$D$10+G328*[1]Sheet1!$F$10+[1]Sheet1!$L$10,IF(D328="S. americanus",F328*[1]Sheet1!$C$6+E328*[1]Sheet1!$D$6+[1]Sheet1!$L$6,IF(AND(OR(D328="T. domingensis",D328="T. latifolia"),E328&gt;0),F328*[1]Sheet1!$C$4+E328*[1]Sheet1!$D$4+H328*[1]Sheet1!$J$4+I328*[1]Sheet1!$K$4+[1]Sheet1!$L$4,IF(AND(OR(D328="T. domingensis",D328="T. latifolia"),J328&gt;0),J328*[1]Sheet1!$G$5+K328*[1]Sheet1!$H$5+L328*[1]Sheet1!$I$5+[1]Sheet1!$L$5,0)))))))</f>
        <v>7.2519788828434635</v>
      </c>
      <c r="P328">
        <f t="shared" si="16"/>
        <v>7.2519788828434635</v>
      </c>
      <c r="S328">
        <f t="shared" si="17"/>
        <v>1.5836755189999998</v>
      </c>
    </row>
    <row r="329" spans="1:19">
      <c r="A329" s="7">
        <v>42501</v>
      </c>
      <c r="B329" s="6" t="s">
        <v>19</v>
      </c>
      <c r="C329">
        <v>5</v>
      </c>
      <c r="D329" s="6" t="s">
        <v>62</v>
      </c>
      <c r="E329">
        <v>126</v>
      </c>
      <c r="F329" s="6">
        <v>1.1200000000000001</v>
      </c>
      <c r="N329">
        <f t="shared" si="15"/>
        <v>41.378510208000002</v>
      </c>
      <c r="O329">
        <f>IF(AND(OR(D329="S. acutus",D329="S. californicus",D329="S. tabernaemontani"),G329=0),E329*[1]Sheet1!$D$7+[1]Sheet1!$L$7,IF(AND(OR(D329="S. acutus",D329="S. tabernaemontani"),G329&gt;0),E329*[1]Sheet1!$D$8+N329*[1]Sheet1!$E$8,IF(AND(D329="S. californicus",G329&gt;0),E329*[1]Sheet1!$D$9+N329*[1]Sheet1!$E$9,IF(D329="S. maritimus",F329*[1]Sheet1!$C$10+E329*[1]Sheet1!$D$10+G329*[1]Sheet1!$F$10+[1]Sheet1!$L$10,IF(D329="S. americanus",F329*[1]Sheet1!$C$6+E329*[1]Sheet1!$D$6+[1]Sheet1!$L$6,IF(AND(OR(D329="T. domingensis",D329="T. latifolia"),E329&gt;0),F329*[1]Sheet1!$C$4+E329*[1]Sheet1!$D$4+H329*[1]Sheet1!$J$4+I329*[1]Sheet1!$K$4+[1]Sheet1!$L$4,IF(AND(OR(D329="T. domingensis",D329="T. latifolia"),J329&gt;0),J329*[1]Sheet1!$G$5+K329*[1]Sheet1!$H$5+L329*[1]Sheet1!$I$5+[1]Sheet1!$L$5,0)))))))</f>
        <v>4.2426330000000005</v>
      </c>
      <c r="P329">
        <f t="shared" si="16"/>
        <v>4.2426330000000005</v>
      </c>
      <c r="S329">
        <f t="shared" si="17"/>
        <v>0.98520262400000014</v>
      </c>
    </row>
    <row r="330" spans="1:19">
      <c r="A330" s="7">
        <v>42501</v>
      </c>
      <c r="B330" s="6" t="s">
        <v>19</v>
      </c>
      <c r="C330">
        <v>5</v>
      </c>
      <c r="D330" s="6" t="s">
        <v>62</v>
      </c>
      <c r="E330">
        <v>144</v>
      </c>
      <c r="F330" s="6">
        <v>1.42</v>
      </c>
      <c r="G330">
        <v>5</v>
      </c>
      <c r="N330">
        <f t="shared" si="15"/>
        <v>76.016424911999991</v>
      </c>
      <c r="O330">
        <f>IF(AND(OR(D330="S. acutus",D330="S. californicus",D330="S. tabernaemontani"),G330=0),E330*[1]Sheet1!$D$7+[1]Sheet1!$L$7,IF(AND(OR(D330="S. acutus",D330="S. tabernaemontani"),G330&gt;0),E330*[1]Sheet1!$D$8+N330*[1]Sheet1!$E$8,IF(AND(D330="S. californicus",G330&gt;0),E330*[1]Sheet1!$D$9+N330*[1]Sheet1!$E$9,IF(D330="S. maritimus",F330*[1]Sheet1!$C$10+E330*[1]Sheet1!$D$10+G330*[1]Sheet1!$F$10+[1]Sheet1!$L$10,IF(D330="S. americanus",F330*[1]Sheet1!$C$6+E330*[1]Sheet1!$D$6+[1]Sheet1!$L$6,IF(AND(OR(D330="T. domingensis",D330="T. latifolia"),E330&gt;0),F330*[1]Sheet1!$C$4+E330*[1]Sheet1!$D$4+H330*[1]Sheet1!$J$4+I330*[1]Sheet1!$K$4+[1]Sheet1!$L$4,IF(AND(OR(D330="T. domingensis",D330="T. latifolia"),J330&gt;0),J330*[1]Sheet1!$G$5+K330*[1]Sheet1!$H$5+L330*[1]Sheet1!$I$5+[1]Sheet1!$L$5,0)))))))</f>
        <v>7.9112496903746887</v>
      </c>
      <c r="P330">
        <f t="shared" si="16"/>
        <v>7.9112496903746887</v>
      </c>
      <c r="S330">
        <f t="shared" si="17"/>
        <v>1.5836755189999998</v>
      </c>
    </row>
    <row r="331" spans="1:19">
      <c r="A331" s="7">
        <v>42501</v>
      </c>
      <c r="B331" s="6" t="s">
        <v>19</v>
      </c>
      <c r="C331">
        <v>5</v>
      </c>
      <c r="D331" s="6" t="s">
        <v>62</v>
      </c>
      <c r="E331">
        <v>139</v>
      </c>
      <c r="F331" s="6">
        <v>0.81</v>
      </c>
      <c r="N331">
        <f t="shared" si="15"/>
        <v>23.875534221750002</v>
      </c>
      <c r="O331">
        <f>IF(AND(OR(D331="S. acutus",D331="S. californicus",D331="S. tabernaemontani"),G331=0),E331*[1]Sheet1!$D$7+[1]Sheet1!$L$7,IF(AND(OR(D331="S. acutus",D331="S. tabernaemontani"),G331&gt;0),E331*[1]Sheet1!$D$8+N331*[1]Sheet1!$E$8,IF(AND(D331="S. californicus",G331&gt;0),E331*[1]Sheet1!$D$9+N331*[1]Sheet1!$E$9,IF(D331="S. maritimus",F331*[1]Sheet1!$C$10+E331*[1]Sheet1!$D$10+G331*[1]Sheet1!$F$10+[1]Sheet1!$L$10,IF(D331="S. americanus",F331*[1]Sheet1!$C$6+E331*[1]Sheet1!$D$6+[1]Sheet1!$L$6,IF(AND(OR(D331="T. domingensis",D331="T. latifolia"),E331&gt;0),F331*[1]Sheet1!$C$4+E331*[1]Sheet1!$D$4+H331*[1]Sheet1!$J$4+I331*[1]Sheet1!$K$4+[1]Sheet1!$L$4,IF(AND(OR(D331="T. domingensis",D331="T. latifolia"),J331&gt;0),J331*[1]Sheet1!$G$5+K331*[1]Sheet1!$H$5+L331*[1]Sheet1!$I$5+[1]Sheet1!$L$5,0)))))))</f>
        <v>5.1539980000000005</v>
      </c>
      <c r="P331">
        <f t="shared" si="16"/>
        <v>5.1539980000000005</v>
      </c>
      <c r="S331">
        <f t="shared" si="17"/>
        <v>0.51529929975000011</v>
      </c>
    </row>
    <row r="332" spans="1:19">
      <c r="A332" s="7">
        <v>42501</v>
      </c>
      <c r="B332" s="6" t="s">
        <v>19</v>
      </c>
      <c r="C332">
        <v>5</v>
      </c>
      <c r="D332" s="6" t="s">
        <v>62</v>
      </c>
      <c r="E332">
        <v>131</v>
      </c>
      <c r="F332" s="6">
        <v>1.65</v>
      </c>
      <c r="G332">
        <v>4</v>
      </c>
      <c r="N332">
        <f t="shared" si="15"/>
        <v>93.370018293749979</v>
      </c>
      <c r="O332">
        <f>IF(AND(OR(D332="S. acutus",D332="S. californicus",D332="S. tabernaemontani"),G332=0),E332*[1]Sheet1!$D$7+[1]Sheet1!$L$7,IF(AND(OR(D332="S. acutus",D332="S. tabernaemontani"),G332&gt;0),E332*[1]Sheet1!$D$8+N332*[1]Sheet1!$E$8,IF(AND(D332="S. californicus",G332&gt;0),E332*[1]Sheet1!$D$9+N332*[1]Sheet1!$E$9,IF(D332="S. maritimus",F332*[1]Sheet1!$C$10+E332*[1]Sheet1!$D$10+G332*[1]Sheet1!$F$10+[1]Sheet1!$L$10,IF(D332="S. americanus",F332*[1]Sheet1!$C$6+E332*[1]Sheet1!$D$6+[1]Sheet1!$L$6,IF(AND(OR(D332="T. domingensis",D332="T. latifolia"),E332&gt;0),F332*[1]Sheet1!$C$4+E332*[1]Sheet1!$D$4+H332*[1]Sheet1!$J$4+I332*[1]Sheet1!$K$4+[1]Sheet1!$L$4,IF(AND(OR(D332="T. domingensis",D332="T. latifolia"),J332&gt;0),J332*[1]Sheet1!$G$5+K332*[1]Sheet1!$H$5+L332*[1]Sheet1!$I$5+[1]Sheet1!$L$5,0)))))))</f>
        <v>8.5936840350737356</v>
      </c>
      <c r="P332">
        <f t="shared" si="16"/>
        <v>8.5936840350737356</v>
      </c>
      <c r="S332">
        <f t="shared" si="17"/>
        <v>2.1382446937499995</v>
      </c>
    </row>
    <row r="333" spans="1:19">
      <c r="A333" s="7">
        <v>42501</v>
      </c>
      <c r="B333" s="6" t="s">
        <v>19</v>
      </c>
      <c r="C333">
        <v>5</v>
      </c>
      <c r="D333" s="6" t="s">
        <v>62</v>
      </c>
      <c r="E333">
        <v>23</v>
      </c>
      <c r="F333" s="6">
        <v>0.55000000000000004</v>
      </c>
      <c r="N333">
        <f t="shared" si="15"/>
        <v>1.8214677020833334</v>
      </c>
      <c r="O333">
        <f>IF(AND(OR(D333="S. acutus",D333="S. californicus",D333="S. tabernaemontani"),G333=0),E333*[1]Sheet1!$D$7+[1]Sheet1!$L$7,IF(AND(OR(D333="S. acutus",D333="S. tabernaemontani"),G333&gt;0),E333*[1]Sheet1!$D$8+N333*[1]Sheet1!$E$8,IF(AND(D333="S. californicus",G333&gt;0),E333*[1]Sheet1!$D$9+N333*[1]Sheet1!$E$9,IF(D333="S. maritimus",F333*[1]Sheet1!$C$10+E333*[1]Sheet1!$D$10+G333*[1]Sheet1!$F$10+[1]Sheet1!$L$10,IF(D333="S. americanus",F333*[1]Sheet1!$C$6+E333*[1]Sheet1!$D$6+[1]Sheet1!$L$6,IF(AND(OR(D333="T. domingensis",D333="T. latifolia"),E333&gt;0),F333*[1]Sheet1!$C$4+E333*[1]Sheet1!$D$4+H333*[1]Sheet1!$J$4+I333*[1]Sheet1!$K$4+[1]Sheet1!$L$4,IF(AND(OR(D333="T. domingensis",D333="T. latifolia"),J333&gt;0),J333*[1]Sheet1!$G$5+K333*[1]Sheet1!$H$5+L333*[1]Sheet1!$I$5+[1]Sheet1!$L$5,0)))))))</f>
        <v>-2.9781819999999999</v>
      </c>
      <c r="P333" t="str">
        <f t="shared" si="16"/>
        <v xml:space="preserve"> </v>
      </c>
      <c r="S333">
        <f t="shared" si="17"/>
        <v>0.23758274375000002</v>
      </c>
    </row>
    <row r="334" spans="1:19">
      <c r="A334" s="7">
        <v>42501</v>
      </c>
      <c r="B334" s="6" t="s">
        <v>19</v>
      </c>
      <c r="C334">
        <v>5</v>
      </c>
      <c r="D334" s="6" t="s">
        <v>62</v>
      </c>
      <c r="E334">
        <v>59</v>
      </c>
      <c r="F334" s="6">
        <v>0.71</v>
      </c>
      <c r="N334">
        <f t="shared" si="15"/>
        <v>7.7864046350833327</v>
      </c>
      <c r="O334">
        <f>IF(AND(OR(D334="S. acutus",D334="S. californicus",D334="S. tabernaemontani"),G334=0),E334*[1]Sheet1!$D$7+[1]Sheet1!$L$7,IF(AND(OR(D334="S. acutus",D334="S. tabernaemontani"),G334&gt;0),E334*[1]Sheet1!$D$8+N334*[1]Sheet1!$E$8,IF(AND(D334="S. californicus",G334&gt;0),E334*[1]Sheet1!$D$9+N334*[1]Sheet1!$E$9,IF(D334="S. maritimus",F334*[1]Sheet1!$C$10+E334*[1]Sheet1!$D$10+G334*[1]Sheet1!$F$10+[1]Sheet1!$L$10,IF(D334="S. americanus",F334*[1]Sheet1!$C$6+E334*[1]Sheet1!$D$6+[1]Sheet1!$L$6,IF(AND(OR(D334="T. domingensis",D334="T. latifolia"),E334&gt;0),F334*[1]Sheet1!$C$4+E334*[1]Sheet1!$D$4+H334*[1]Sheet1!$J$4+I334*[1]Sheet1!$K$4+[1]Sheet1!$L$4,IF(AND(OR(D334="T. domingensis",D334="T. latifolia"),J334&gt;0),J334*[1]Sheet1!$G$5+K334*[1]Sheet1!$H$5+L334*[1]Sheet1!$I$5+[1]Sheet1!$L$5,0)))))))</f>
        <v>-0.45440199999999997</v>
      </c>
      <c r="P334" t="str">
        <f t="shared" si="16"/>
        <v xml:space="preserve"> </v>
      </c>
      <c r="S334">
        <f t="shared" si="17"/>
        <v>0.39591887974999995</v>
      </c>
    </row>
    <row r="335" spans="1:19">
      <c r="A335" s="7">
        <v>42501</v>
      </c>
      <c r="B335" s="6" t="s">
        <v>19</v>
      </c>
      <c r="C335">
        <v>5</v>
      </c>
      <c r="D335" s="6" t="s">
        <v>62</v>
      </c>
      <c r="E335">
        <v>105</v>
      </c>
      <c r="F335" s="6">
        <v>1.47</v>
      </c>
      <c r="N335">
        <f t="shared" si="15"/>
        <v>59.400791021249987</v>
      </c>
      <c r="O335">
        <f>IF(AND(OR(D335="S. acutus",D335="S. californicus",D335="S. tabernaemontani"),G335=0),E335*[1]Sheet1!$D$7+[1]Sheet1!$L$7,IF(AND(OR(D335="S. acutus",D335="S. tabernaemontani"),G335&gt;0),E335*[1]Sheet1!$D$8+N335*[1]Sheet1!$E$8,IF(AND(D335="S. californicus",G335&gt;0),E335*[1]Sheet1!$D$9+N335*[1]Sheet1!$E$9,IF(D335="S. maritimus",F335*[1]Sheet1!$C$10+E335*[1]Sheet1!$D$10+G335*[1]Sheet1!$F$10+[1]Sheet1!$L$10,IF(D335="S. americanus",F335*[1]Sheet1!$C$6+E335*[1]Sheet1!$D$6+[1]Sheet1!$L$6,IF(AND(OR(D335="T. domingensis",D335="T. latifolia"),E335&gt;0),F335*[1]Sheet1!$C$4+E335*[1]Sheet1!$D$4+H335*[1]Sheet1!$J$4+I335*[1]Sheet1!$K$4+[1]Sheet1!$L$4,IF(AND(OR(D335="T. domingensis",D335="T. latifolia"),J335&gt;0),J335*[1]Sheet1!$G$5+K335*[1]Sheet1!$H$5+L335*[1]Sheet1!$I$5+[1]Sheet1!$L$5,0)))))))</f>
        <v>2.7704279999999999</v>
      </c>
      <c r="P335">
        <f t="shared" si="16"/>
        <v>2.7704279999999999</v>
      </c>
      <c r="S335">
        <f t="shared" si="17"/>
        <v>1.6971654577499997</v>
      </c>
    </row>
    <row r="336" spans="1:19">
      <c r="A336" s="7">
        <v>42501</v>
      </c>
      <c r="B336" s="6" t="s">
        <v>19</v>
      </c>
      <c r="C336">
        <v>5</v>
      </c>
      <c r="D336" s="6" t="s">
        <v>62</v>
      </c>
      <c r="E336">
        <v>85</v>
      </c>
      <c r="F336" s="6">
        <v>0.62</v>
      </c>
      <c r="N336">
        <f t="shared" si="15"/>
        <v>8.5540259716666665</v>
      </c>
      <c r="O336">
        <f>IF(AND(OR(D336="S. acutus",D336="S. californicus",D336="S. tabernaemontani"),G336=0),E336*[1]Sheet1!$D$7+[1]Sheet1!$L$7,IF(AND(OR(D336="S. acutus",D336="S. tabernaemontani"),G336&gt;0),E336*[1]Sheet1!$D$8+N336*[1]Sheet1!$E$8,IF(AND(D336="S. californicus",G336&gt;0),E336*[1]Sheet1!$D$9+N336*[1]Sheet1!$E$9,IF(D336="S. maritimus",F336*[1]Sheet1!$C$10+E336*[1]Sheet1!$D$10+G336*[1]Sheet1!$F$10+[1]Sheet1!$L$10,IF(D336="S. americanus",F336*[1]Sheet1!$C$6+E336*[1]Sheet1!$D$6+[1]Sheet1!$L$6,IF(AND(OR(D336="T. domingensis",D336="T. latifolia"),E336&gt;0),F336*[1]Sheet1!$C$4+E336*[1]Sheet1!$D$4+H336*[1]Sheet1!$J$4+I336*[1]Sheet1!$K$4+[1]Sheet1!$L$4,IF(AND(OR(D336="T. domingensis",D336="T. latifolia"),J336&gt;0),J336*[1]Sheet1!$G$5+K336*[1]Sheet1!$H$5+L336*[1]Sheet1!$I$5+[1]Sheet1!$L$5,0)))))))</f>
        <v>1.368328</v>
      </c>
      <c r="P336">
        <f t="shared" si="16"/>
        <v>1.368328</v>
      </c>
      <c r="S336">
        <f t="shared" si="17"/>
        <v>0.301906799</v>
      </c>
    </row>
    <row r="337" spans="1:19">
      <c r="A337" s="7">
        <v>42501</v>
      </c>
      <c r="B337" s="6" t="s">
        <v>19</v>
      </c>
      <c r="C337">
        <v>5</v>
      </c>
      <c r="D337" s="6" t="s">
        <v>62</v>
      </c>
      <c r="E337">
        <v>136</v>
      </c>
      <c r="F337" s="6">
        <v>1.3</v>
      </c>
      <c r="G337">
        <v>3</v>
      </c>
      <c r="N337">
        <f t="shared" si="15"/>
        <v>60.171920466666663</v>
      </c>
      <c r="O337">
        <f>IF(AND(OR(D337="S. acutus",D337="S. californicus",D337="S. tabernaemontani"),G337=0),E337*[1]Sheet1!$D$7+[1]Sheet1!$L$7,IF(AND(OR(D337="S. acutus",D337="S. tabernaemontani"),G337&gt;0),E337*[1]Sheet1!$D$8+N337*[1]Sheet1!$E$8,IF(AND(D337="S. californicus",G337&gt;0),E337*[1]Sheet1!$D$9+N337*[1]Sheet1!$E$9,IF(D337="S. maritimus",F337*[1]Sheet1!$C$10+E337*[1]Sheet1!$D$10+G337*[1]Sheet1!$F$10+[1]Sheet1!$L$10,IF(D337="S. americanus",F337*[1]Sheet1!$C$6+E337*[1]Sheet1!$D$6+[1]Sheet1!$L$6,IF(AND(OR(D337="T. domingensis",D337="T. latifolia"),E337&gt;0),F337*[1]Sheet1!$C$4+E337*[1]Sheet1!$D$4+H337*[1]Sheet1!$J$4+I337*[1]Sheet1!$K$4+[1]Sheet1!$L$4,IF(AND(OR(D337="T. domingensis",D337="T. latifolia"),J337&gt;0),J337*[1]Sheet1!$G$5+K337*[1]Sheet1!$H$5+L337*[1]Sheet1!$I$5+[1]Sheet1!$L$5,0)))))))</f>
        <v>6.8014849409945333</v>
      </c>
      <c r="P337">
        <f t="shared" si="16"/>
        <v>6.8014849409945333</v>
      </c>
      <c r="S337">
        <f t="shared" si="17"/>
        <v>1.3273217750000001</v>
      </c>
    </row>
    <row r="338" spans="1:19">
      <c r="A338" s="7">
        <v>42501</v>
      </c>
      <c r="B338" s="6" t="s">
        <v>19</v>
      </c>
      <c r="C338">
        <v>5</v>
      </c>
      <c r="D338" s="6" t="s">
        <v>62</v>
      </c>
      <c r="E338">
        <v>123</v>
      </c>
      <c r="F338" s="6">
        <v>1.1499999999999999</v>
      </c>
      <c r="N338">
        <f t="shared" si="15"/>
        <v>42.586215943749991</v>
      </c>
      <c r="O338">
        <f>IF(AND(OR(D338="S. acutus",D338="S. californicus",D338="S. tabernaemontani"),G338=0),E338*[1]Sheet1!$D$7+[1]Sheet1!$L$7,IF(AND(OR(D338="S. acutus",D338="S. tabernaemontani"),G338&gt;0),E338*[1]Sheet1!$D$8+N338*[1]Sheet1!$E$8,IF(AND(D338="S. californicus",G338&gt;0),E338*[1]Sheet1!$D$9+N338*[1]Sheet1!$E$9,IF(D338="S. maritimus",F338*[1]Sheet1!$C$10+E338*[1]Sheet1!$D$10+G338*[1]Sheet1!$F$10+[1]Sheet1!$L$10,IF(D338="S. americanus",F338*[1]Sheet1!$C$6+E338*[1]Sheet1!$D$6+[1]Sheet1!$L$6,IF(AND(OR(D338="T. domingensis",D338="T. latifolia"),E338&gt;0),F338*[1]Sheet1!$C$4+E338*[1]Sheet1!$D$4+H338*[1]Sheet1!$J$4+I338*[1]Sheet1!$K$4+[1]Sheet1!$L$4,IF(AND(OR(D338="T. domingensis",D338="T. latifolia"),J338&gt;0),J338*[1]Sheet1!$G$5+K338*[1]Sheet1!$H$5+L338*[1]Sheet1!$I$5+[1]Sheet1!$L$5,0)))))))</f>
        <v>4.032318000000001</v>
      </c>
      <c r="P338">
        <f t="shared" si="16"/>
        <v>4.032318000000001</v>
      </c>
      <c r="S338">
        <f t="shared" si="17"/>
        <v>1.0386881937499999</v>
      </c>
    </row>
    <row r="339" spans="1:19">
      <c r="A339" s="7">
        <v>42501</v>
      </c>
      <c r="B339" s="6" t="s">
        <v>19</v>
      </c>
      <c r="C339">
        <v>5</v>
      </c>
      <c r="D339" s="6" t="s">
        <v>62</v>
      </c>
      <c r="E339">
        <v>109</v>
      </c>
      <c r="F339" s="6">
        <v>1.01</v>
      </c>
      <c r="G339">
        <v>3</v>
      </c>
      <c r="N339">
        <f t="shared" si="15"/>
        <v>29.109684960916663</v>
      </c>
      <c r="O339">
        <f>IF(AND(OR(D339="S. acutus",D339="S. californicus",D339="S. tabernaemontani"),G339=0),E339*[1]Sheet1!$D$7+[1]Sheet1!$L$7,IF(AND(OR(D339="S. acutus",D339="S. tabernaemontani"),G339&gt;0),E339*[1]Sheet1!$D$8+N339*[1]Sheet1!$E$8,IF(AND(D339="S. californicus",G339&gt;0),E339*[1]Sheet1!$D$9+N339*[1]Sheet1!$E$9,IF(D339="S. maritimus",F339*[1]Sheet1!$C$10+E339*[1]Sheet1!$D$10+G339*[1]Sheet1!$F$10+[1]Sheet1!$L$10,IF(D339="S. americanus",F339*[1]Sheet1!$C$6+E339*[1]Sheet1!$D$6+[1]Sheet1!$L$6,IF(AND(OR(D339="T. domingensis",D339="T. latifolia"),E339&gt;0),F339*[1]Sheet1!$C$4+E339*[1]Sheet1!$D$4+H339*[1]Sheet1!$J$4+I339*[1]Sheet1!$K$4+[1]Sheet1!$L$4,IF(AND(OR(D339="T. domingensis",D339="T. latifolia"),J339&gt;0),J339*[1]Sheet1!$G$5+K339*[1]Sheet1!$H$5+L339*[1]Sheet1!$I$5+[1]Sheet1!$L$5,0)))))))</f>
        <v>4.3486743704359077</v>
      </c>
      <c r="P339">
        <f t="shared" si="16"/>
        <v>4.3486743704359077</v>
      </c>
      <c r="S339">
        <f t="shared" si="17"/>
        <v>0.80118398974999994</v>
      </c>
    </row>
    <row r="340" spans="1:19">
      <c r="A340" s="7">
        <v>42501</v>
      </c>
      <c r="B340" s="6" t="s">
        <v>19</v>
      </c>
      <c r="C340">
        <v>5</v>
      </c>
      <c r="D340" s="6" t="s">
        <v>62</v>
      </c>
      <c r="E340">
        <v>120</v>
      </c>
      <c r="F340" s="6">
        <v>1.1000000000000001</v>
      </c>
      <c r="G340">
        <v>4</v>
      </c>
      <c r="N340">
        <f t="shared" si="15"/>
        <v>38.013238999999999</v>
      </c>
      <c r="O340">
        <f>IF(AND(OR(D340="S. acutus",D340="S. californicus",D340="S. tabernaemontani"),G340=0),E340*[1]Sheet1!$D$7+[1]Sheet1!$L$7,IF(AND(OR(D340="S. acutus",D340="S. tabernaemontani"),G340&gt;0),E340*[1]Sheet1!$D$8+N340*[1]Sheet1!$E$8,IF(AND(D340="S. californicus",G340&gt;0),E340*[1]Sheet1!$D$9+N340*[1]Sheet1!$E$9,IF(D340="S. maritimus",F340*[1]Sheet1!$C$10+E340*[1]Sheet1!$D$10+G340*[1]Sheet1!$F$10+[1]Sheet1!$L$10,IF(D340="S. americanus",F340*[1]Sheet1!$C$6+E340*[1]Sheet1!$D$6+[1]Sheet1!$L$6,IF(AND(OR(D340="T. domingensis",D340="T. latifolia"),E340&gt;0),F340*[1]Sheet1!$C$4+E340*[1]Sheet1!$D$4+H340*[1]Sheet1!$J$4+I340*[1]Sheet1!$K$4+[1]Sheet1!$L$4,IF(AND(OR(D340="T. domingensis",D340="T. latifolia"),J340&gt;0),J340*[1]Sheet1!$G$5+K340*[1]Sheet1!$H$5+L340*[1]Sheet1!$I$5+[1]Sheet1!$L$5,0)))))))</f>
        <v>5.1316075460860002</v>
      </c>
      <c r="P340">
        <f t="shared" si="16"/>
        <v>5.1316075460860002</v>
      </c>
      <c r="S340">
        <f t="shared" si="17"/>
        <v>0.95033097500000008</v>
      </c>
    </row>
    <row r="341" spans="1:19">
      <c r="A341" s="7">
        <v>42501</v>
      </c>
      <c r="B341" s="6" t="s">
        <v>19</v>
      </c>
      <c r="C341">
        <v>5</v>
      </c>
      <c r="D341" s="6" t="s">
        <v>62</v>
      </c>
      <c r="E341">
        <v>39</v>
      </c>
      <c r="F341" s="6">
        <v>0.56000000000000005</v>
      </c>
      <c r="N341">
        <f t="shared" si="15"/>
        <v>3.2019085280000001</v>
      </c>
      <c r="O341">
        <f>IF(AND(OR(D341="S. acutus",D341="S. californicus",D341="S. tabernaemontani"),G341=0),E341*[1]Sheet1!$D$7+[1]Sheet1!$L$7,IF(AND(OR(D341="S. acutus",D341="S. tabernaemontani"),G341&gt;0),E341*[1]Sheet1!$D$8+N341*[1]Sheet1!$E$8,IF(AND(D341="S. californicus",G341&gt;0),E341*[1]Sheet1!$D$9+N341*[1]Sheet1!$E$9,IF(D341="S. maritimus",F341*[1]Sheet1!$C$10+E341*[1]Sheet1!$D$10+G341*[1]Sheet1!$F$10+[1]Sheet1!$L$10,IF(D341="S. americanus",F341*[1]Sheet1!$C$6+E341*[1]Sheet1!$D$6+[1]Sheet1!$L$6,IF(AND(OR(D341="T. domingensis",D341="T. latifolia"),E341&gt;0),F341*[1]Sheet1!$C$4+E341*[1]Sheet1!$D$4+H341*[1]Sheet1!$J$4+I341*[1]Sheet1!$K$4+[1]Sheet1!$L$4,IF(AND(OR(D341="T. domingensis",D341="T. latifolia"),J341&gt;0),J341*[1]Sheet1!$G$5+K341*[1]Sheet1!$H$5+L341*[1]Sheet1!$I$5+[1]Sheet1!$L$5,0)))))))</f>
        <v>-1.8565019999999999</v>
      </c>
      <c r="P341" t="str">
        <f t="shared" si="16"/>
        <v xml:space="preserve"> </v>
      </c>
      <c r="S341">
        <f t="shared" si="17"/>
        <v>0.24630065600000003</v>
      </c>
    </row>
    <row r="342" spans="1:19">
      <c r="A342" s="7">
        <v>42501</v>
      </c>
      <c r="B342" s="6" t="s">
        <v>19</v>
      </c>
      <c r="C342">
        <v>5</v>
      </c>
      <c r="D342" s="6" t="s">
        <v>62</v>
      </c>
      <c r="E342">
        <v>30</v>
      </c>
      <c r="F342" s="6">
        <v>0.77</v>
      </c>
      <c r="N342">
        <f t="shared" si="15"/>
        <v>4.6566217774999989</v>
      </c>
      <c r="O342">
        <f>IF(AND(OR(D342="S. acutus",D342="S. californicus",D342="S. tabernaemontani"),G342=0),E342*[1]Sheet1!$D$7+[1]Sheet1!$L$7,IF(AND(OR(D342="S. acutus",D342="S. tabernaemontani"),G342&gt;0),E342*[1]Sheet1!$D$8+N342*[1]Sheet1!$E$8,IF(AND(D342="S. californicus",G342&gt;0),E342*[1]Sheet1!$D$9+N342*[1]Sheet1!$E$9,IF(D342="S. maritimus",F342*[1]Sheet1!$C$10+E342*[1]Sheet1!$D$10+G342*[1]Sheet1!$F$10+[1]Sheet1!$L$10,IF(D342="S. americanus",F342*[1]Sheet1!$C$6+E342*[1]Sheet1!$D$6+[1]Sheet1!$L$6,IF(AND(OR(D342="T. domingensis",D342="T. latifolia"),E342&gt;0),F342*[1]Sheet1!$C$4+E342*[1]Sheet1!$D$4+H342*[1]Sheet1!$J$4+I342*[1]Sheet1!$K$4+[1]Sheet1!$L$4,IF(AND(OR(D342="T. domingensis",D342="T. latifolia"),J342&gt;0),J342*[1]Sheet1!$G$5+K342*[1]Sheet1!$H$5+L342*[1]Sheet1!$I$5+[1]Sheet1!$L$5,0)))))))</f>
        <v>-2.487447</v>
      </c>
      <c r="P342" t="str">
        <f t="shared" si="16"/>
        <v xml:space="preserve"> </v>
      </c>
      <c r="S342">
        <f t="shared" si="17"/>
        <v>0.46566217774999996</v>
      </c>
    </row>
    <row r="343" spans="1:19">
      <c r="A343" s="7">
        <v>42501</v>
      </c>
      <c r="B343" s="6" t="s">
        <v>19</v>
      </c>
      <c r="C343">
        <v>5</v>
      </c>
      <c r="D343" s="6" t="s">
        <v>62</v>
      </c>
      <c r="E343">
        <v>20</v>
      </c>
      <c r="F343" s="6">
        <v>1.18</v>
      </c>
      <c r="N343">
        <f t="shared" si="15"/>
        <v>7.2905831933333323</v>
      </c>
      <c r="O343">
        <f>IF(AND(OR(D343="S. acutus",D343="S. californicus",D343="S. tabernaemontani"),G343=0),E343*[1]Sheet1!$D$7+[1]Sheet1!$L$7,IF(AND(OR(D343="S. acutus",D343="S. tabernaemontani"),G343&gt;0),E343*[1]Sheet1!$D$8+N343*[1]Sheet1!$E$8,IF(AND(D343="S. californicus",G343&gt;0),E343*[1]Sheet1!$D$9+N343*[1]Sheet1!$E$9,IF(D343="S. maritimus",F343*[1]Sheet1!$C$10+E343*[1]Sheet1!$D$10+G343*[1]Sheet1!$F$10+[1]Sheet1!$L$10,IF(D343="S. americanus",F343*[1]Sheet1!$C$6+E343*[1]Sheet1!$D$6+[1]Sheet1!$L$6,IF(AND(OR(D343="T. domingensis",D343="T. latifolia"),E343&gt;0),F343*[1]Sheet1!$C$4+E343*[1]Sheet1!$D$4+H343*[1]Sheet1!$J$4+I343*[1]Sheet1!$K$4+[1]Sheet1!$L$4,IF(AND(OR(D343="T. domingensis",D343="T. latifolia"),J343&gt;0),J343*[1]Sheet1!$G$5+K343*[1]Sheet1!$H$5+L343*[1]Sheet1!$I$5+[1]Sheet1!$L$5,0)))))))</f>
        <v>-3.1884969999999999</v>
      </c>
      <c r="P343" t="str">
        <f t="shared" si="16"/>
        <v xml:space="preserve"> </v>
      </c>
      <c r="S343">
        <f t="shared" si="17"/>
        <v>1.0935874789999998</v>
      </c>
    </row>
    <row r="344" spans="1:19">
      <c r="A344" s="7">
        <v>42501</v>
      </c>
      <c r="B344" s="6" t="s">
        <v>19</v>
      </c>
      <c r="C344">
        <v>5</v>
      </c>
      <c r="D344" s="6" t="s">
        <v>62</v>
      </c>
      <c r="E344">
        <v>39</v>
      </c>
      <c r="F344" s="6">
        <v>0.48</v>
      </c>
      <c r="N344">
        <f t="shared" si="15"/>
        <v>2.3524225919999995</v>
      </c>
      <c r="O344">
        <f>IF(AND(OR(D344="S. acutus",D344="S. californicus",D344="S. tabernaemontani"),G344=0),E344*[1]Sheet1!$D$7+[1]Sheet1!$L$7,IF(AND(OR(D344="S. acutus",D344="S. tabernaemontani"),G344&gt;0),E344*[1]Sheet1!$D$8+N344*[1]Sheet1!$E$8,IF(AND(D344="S. californicus",G344&gt;0),E344*[1]Sheet1!$D$9+N344*[1]Sheet1!$E$9,IF(D344="S. maritimus",F344*[1]Sheet1!$C$10+E344*[1]Sheet1!$D$10+G344*[1]Sheet1!$F$10+[1]Sheet1!$L$10,IF(D344="S. americanus",F344*[1]Sheet1!$C$6+E344*[1]Sheet1!$D$6+[1]Sheet1!$L$6,IF(AND(OR(D344="T. domingensis",D344="T. latifolia"),E344&gt;0),F344*[1]Sheet1!$C$4+E344*[1]Sheet1!$D$4+H344*[1]Sheet1!$J$4+I344*[1]Sheet1!$K$4+[1]Sheet1!$L$4,IF(AND(OR(D344="T. domingensis",D344="T. latifolia"),J344&gt;0),J344*[1]Sheet1!$G$5+K344*[1]Sheet1!$H$5+L344*[1]Sheet1!$I$5+[1]Sheet1!$L$5,0)))))))</f>
        <v>-1.8565019999999999</v>
      </c>
      <c r="P344" t="str">
        <f t="shared" si="16"/>
        <v xml:space="preserve"> </v>
      </c>
      <c r="S344">
        <f t="shared" si="17"/>
        <v>0.18095558399999997</v>
      </c>
    </row>
    <row r="345" spans="1:19">
      <c r="A345" s="7">
        <v>42501</v>
      </c>
      <c r="B345" s="6" t="s">
        <v>19</v>
      </c>
      <c r="C345">
        <v>5</v>
      </c>
      <c r="D345" s="6" t="s">
        <v>62</v>
      </c>
      <c r="E345">
        <v>128</v>
      </c>
      <c r="F345" s="6">
        <v>1.49</v>
      </c>
      <c r="G345">
        <v>4</v>
      </c>
      <c r="N345">
        <f t="shared" si="15"/>
        <v>74.396202229333326</v>
      </c>
      <c r="O345">
        <f>IF(AND(OR(D345="S. acutus",D345="S. californicus",D345="S. tabernaemontani"),G345=0),E345*[1]Sheet1!$D$7+[1]Sheet1!$L$7,IF(AND(OR(D345="S. acutus",D345="S. tabernaemontani"),G345&gt;0),E345*[1]Sheet1!$D$8+N345*[1]Sheet1!$E$8,IF(AND(D345="S. californicus",G345&gt;0),E345*[1]Sheet1!$D$9+N345*[1]Sheet1!$E$9,IF(D345="S. maritimus",F345*[1]Sheet1!$C$10+E345*[1]Sheet1!$D$10+G345*[1]Sheet1!$F$10+[1]Sheet1!$L$10,IF(D345="S. americanus",F345*[1]Sheet1!$C$6+E345*[1]Sheet1!$D$6+[1]Sheet1!$L$6,IF(AND(OR(D345="T. domingensis",D345="T. latifolia"),E345&gt;0),F345*[1]Sheet1!$C$4+E345*[1]Sheet1!$D$4+H345*[1]Sheet1!$J$4+I345*[1]Sheet1!$K$4+[1]Sheet1!$L$4,IF(AND(OR(D345="T. domingensis",D345="T. latifolia"),J345&gt;0),J345*[1]Sheet1!$G$5+K345*[1]Sheet1!$H$5+L345*[1]Sheet1!$I$5+[1]Sheet1!$L$5,0)))))))</f>
        <v>7.4259073673745704</v>
      </c>
      <c r="P345">
        <f t="shared" si="16"/>
        <v>7.4259073673745704</v>
      </c>
      <c r="S345">
        <f t="shared" si="17"/>
        <v>1.7436609897499999</v>
      </c>
    </row>
    <row r="346" spans="1:19">
      <c r="A346" s="7">
        <v>42501</v>
      </c>
      <c r="B346" s="6" t="s">
        <v>19</v>
      </c>
      <c r="C346">
        <v>5</v>
      </c>
      <c r="D346" s="6" t="s">
        <v>62</v>
      </c>
      <c r="E346">
        <v>78</v>
      </c>
      <c r="F346" s="6">
        <v>0.72</v>
      </c>
      <c r="N346">
        <f t="shared" si="15"/>
        <v>10.585901663999998</v>
      </c>
      <c r="O346">
        <f>IF(AND(OR(D346="S. acutus",D346="S. californicus",D346="S. tabernaemontani"),G346=0),E346*[1]Sheet1!$D$7+[1]Sheet1!$L$7,IF(AND(OR(D346="S. acutus",D346="S. tabernaemontani"),G346&gt;0),E346*[1]Sheet1!$D$8+N346*[1]Sheet1!$E$8,IF(AND(D346="S. californicus",G346&gt;0),E346*[1]Sheet1!$D$9+N346*[1]Sheet1!$E$9,IF(D346="S. maritimus",F346*[1]Sheet1!$C$10+E346*[1]Sheet1!$D$10+G346*[1]Sheet1!$F$10+[1]Sheet1!$L$10,IF(D346="S. americanus",F346*[1]Sheet1!$C$6+E346*[1]Sheet1!$D$6+[1]Sheet1!$L$6,IF(AND(OR(D346="T. domingensis",D346="T. latifolia"),E346&gt;0),F346*[1]Sheet1!$C$4+E346*[1]Sheet1!$D$4+H346*[1]Sheet1!$J$4+I346*[1]Sheet1!$K$4+[1]Sheet1!$L$4,IF(AND(OR(D346="T. domingensis",D346="T. latifolia"),J346&gt;0),J346*[1]Sheet1!$G$5+K346*[1]Sheet1!$H$5+L346*[1]Sheet1!$I$5+[1]Sheet1!$L$5,0)))))))</f>
        <v>0.87759300000000007</v>
      </c>
      <c r="P346">
        <f t="shared" si="16"/>
        <v>0.87759300000000007</v>
      </c>
      <c r="S346">
        <f t="shared" si="17"/>
        <v>0.40715006399999998</v>
      </c>
    </row>
    <row r="347" spans="1:19">
      <c r="A347" s="7">
        <v>42501</v>
      </c>
      <c r="B347" s="6" t="s">
        <v>19</v>
      </c>
      <c r="C347">
        <v>5</v>
      </c>
      <c r="D347" s="6" t="s">
        <v>62</v>
      </c>
      <c r="E347">
        <v>101</v>
      </c>
      <c r="F347" s="6">
        <v>0.98</v>
      </c>
      <c r="N347">
        <f t="shared" si="15"/>
        <v>25.394623886333328</v>
      </c>
      <c r="O347">
        <f>IF(AND(OR(D347="S. acutus",D347="S. californicus",D347="S. tabernaemontani"),G347=0),E347*[1]Sheet1!$D$7+[1]Sheet1!$L$7,IF(AND(OR(D347="S. acutus",D347="S. tabernaemontani"),G347&gt;0),E347*[1]Sheet1!$D$8+N347*[1]Sheet1!$E$8,IF(AND(D347="S. californicus",G347&gt;0),E347*[1]Sheet1!$D$9+N347*[1]Sheet1!$E$9,IF(D347="S. maritimus",F347*[1]Sheet1!$C$10+E347*[1]Sheet1!$D$10+G347*[1]Sheet1!$F$10+[1]Sheet1!$L$10,IF(D347="S. americanus",F347*[1]Sheet1!$C$6+E347*[1]Sheet1!$D$6+[1]Sheet1!$L$6,IF(AND(OR(D347="T. domingensis",D347="T. latifolia"),E347&gt;0),F347*[1]Sheet1!$C$4+E347*[1]Sheet1!$D$4+H347*[1]Sheet1!$J$4+I347*[1]Sheet1!$K$4+[1]Sheet1!$L$4,IF(AND(OR(D347="T. domingensis",D347="T. latifolia"),J347&gt;0),J347*[1]Sheet1!$G$5+K347*[1]Sheet1!$H$5+L347*[1]Sheet1!$I$5+[1]Sheet1!$L$5,0)))))))</f>
        <v>2.4900080000000004</v>
      </c>
      <c r="P347">
        <f t="shared" si="16"/>
        <v>2.4900080000000004</v>
      </c>
      <c r="S347">
        <f t="shared" si="17"/>
        <v>0.7542957589999999</v>
      </c>
    </row>
    <row r="348" spans="1:19">
      <c r="A348" s="7">
        <v>42501</v>
      </c>
      <c r="B348" s="6" t="s">
        <v>19</v>
      </c>
      <c r="C348">
        <v>5</v>
      </c>
      <c r="D348" s="6" t="s">
        <v>62</v>
      </c>
      <c r="E348">
        <v>25</v>
      </c>
      <c r="F348" s="6">
        <v>0.49</v>
      </c>
      <c r="N348">
        <f t="shared" si="15"/>
        <v>1.5714494979166664</v>
      </c>
      <c r="O348">
        <f>IF(AND(OR(D348="S. acutus",D348="S. californicus",D348="S. tabernaemontani"),G348=0),E348*[1]Sheet1!$D$7+[1]Sheet1!$L$7,IF(AND(OR(D348="S. acutus",D348="S. tabernaemontani"),G348&gt;0),E348*[1]Sheet1!$D$8+N348*[1]Sheet1!$E$8,IF(AND(D348="S. californicus",G348&gt;0),E348*[1]Sheet1!$D$9+N348*[1]Sheet1!$E$9,IF(D348="S. maritimus",F348*[1]Sheet1!$C$10+E348*[1]Sheet1!$D$10+G348*[1]Sheet1!$F$10+[1]Sheet1!$L$10,IF(D348="S. americanus",F348*[1]Sheet1!$C$6+E348*[1]Sheet1!$D$6+[1]Sheet1!$L$6,IF(AND(OR(D348="T. domingensis",D348="T. latifolia"),E348&gt;0),F348*[1]Sheet1!$C$4+E348*[1]Sheet1!$D$4+H348*[1]Sheet1!$J$4+I348*[1]Sheet1!$K$4+[1]Sheet1!$L$4,IF(AND(OR(D348="T. domingensis",D348="T. latifolia"),J348&gt;0),J348*[1]Sheet1!$G$5+K348*[1]Sheet1!$H$5+L348*[1]Sheet1!$I$5+[1]Sheet1!$L$5,0)))))))</f>
        <v>-2.8379719999999997</v>
      </c>
      <c r="P348" t="str">
        <f t="shared" si="16"/>
        <v xml:space="preserve"> </v>
      </c>
      <c r="S348">
        <f t="shared" si="17"/>
        <v>0.18857393974999997</v>
      </c>
    </row>
    <row r="349" spans="1:19">
      <c r="A349" s="7">
        <v>42501</v>
      </c>
      <c r="B349" s="6" t="s">
        <v>19</v>
      </c>
      <c r="C349">
        <v>5</v>
      </c>
      <c r="D349" s="6" t="s">
        <v>62</v>
      </c>
      <c r="E349">
        <v>98</v>
      </c>
      <c r="F349" s="6">
        <v>1.19</v>
      </c>
      <c r="N349">
        <f t="shared" si="15"/>
        <v>36.331912391833328</v>
      </c>
      <c r="O349">
        <f>IF(AND(OR(D349="S. acutus",D349="S. californicus",D349="S. tabernaemontani"),G349=0),E349*[1]Sheet1!$D$7+[1]Sheet1!$L$7,IF(AND(OR(D349="S. acutus",D349="S. tabernaemontani"),G349&gt;0),E349*[1]Sheet1!$D$8+N349*[1]Sheet1!$E$8,IF(AND(D349="S. californicus",G349&gt;0),E349*[1]Sheet1!$D$9+N349*[1]Sheet1!$E$9,IF(D349="S. maritimus",F349*[1]Sheet1!$C$10+E349*[1]Sheet1!$D$10+G349*[1]Sheet1!$F$10+[1]Sheet1!$L$10,IF(D349="S. americanus",F349*[1]Sheet1!$C$6+E349*[1]Sheet1!$D$6+[1]Sheet1!$L$6,IF(AND(OR(D349="T. domingensis",D349="T. latifolia"),E349&gt;0),F349*[1]Sheet1!$C$4+E349*[1]Sheet1!$D$4+H349*[1]Sheet1!$J$4+I349*[1]Sheet1!$K$4+[1]Sheet1!$L$4,IF(AND(OR(D349="T. domingensis",D349="T. latifolia"),J349&gt;0),J349*[1]Sheet1!$G$5+K349*[1]Sheet1!$H$5+L349*[1]Sheet1!$I$5+[1]Sheet1!$L$5,0)))))))</f>
        <v>2.279693</v>
      </c>
      <c r="P349">
        <f t="shared" si="16"/>
        <v>2.279693</v>
      </c>
      <c r="S349">
        <f t="shared" si="17"/>
        <v>1.11220139975</v>
      </c>
    </row>
    <row r="350" spans="1:19">
      <c r="A350" s="7">
        <v>42501</v>
      </c>
      <c r="B350" s="6" t="s">
        <v>19</v>
      </c>
      <c r="C350">
        <v>5</v>
      </c>
      <c r="D350" s="6" t="s">
        <v>62</v>
      </c>
      <c r="E350">
        <v>44</v>
      </c>
      <c r="F350" s="6">
        <v>1.72</v>
      </c>
      <c r="G350">
        <v>4</v>
      </c>
      <c r="N350">
        <f t="shared" si="15"/>
        <v>34.078292805333326</v>
      </c>
      <c r="O350">
        <f>IF(AND(OR(D350="S. acutus",D350="S. californicus",D350="S. tabernaemontani"),G350=0),E350*[1]Sheet1!$D$7+[1]Sheet1!$L$7,IF(AND(OR(D350="S. acutus",D350="S. tabernaemontani"),G350&gt;0),E350*[1]Sheet1!$D$8+N350*[1]Sheet1!$E$8,IF(AND(D350="S. californicus",G350&gt;0),E350*[1]Sheet1!$D$9+N350*[1]Sheet1!$E$9,IF(D350="S. maritimus",F350*[1]Sheet1!$C$10+E350*[1]Sheet1!$D$10+G350*[1]Sheet1!$F$10+[1]Sheet1!$L$10,IF(D350="S. americanus",F350*[1]Sheet1!$C$6+E350*[1]Sheet1!$D$6+[1]Sheet1!$L$6,IF(AND(OR(D350="T. domingensis",D350="T. latifolia"),E350&gt;0),F350*[1]Sheet1!$C$4+E350*[1]Sheet1!$D$4+H350*[1]Sheet1!$J$4+I350*[1]Sheet1!$K$4+[1]Sheet1!$L$4,IF(AND(OR(D350="T. domingensis",D350="T. latifolia"),J350&gt;0),J350*[1]Sheet1!$G$5+K350*[1]Sheet1!$H$5+L350*[1]Sheet1!$I$5+[1]Sheet1!$L$5,0)))))))</f>
        <v>3.0431498592547941</v>
      </c>
      <c r="P350">
        <f t="shared" si="16"/>
        <v>3.0431498592547941</v>
      </c>
      <c r="S350">
        <f t="shared" si="17"/>
        <v>2.3235199639999995</v>
      </c>
    </row>
    <row r="351" spans="1:19">
      <c r="A351" s="7">
        <v>42501</v>
      </c>
      <c r="B351" s="6" t="s">
        <v>19</v>
      </c>
      <c r="C351">
        <v>5</v>
      </c>
      <c r="D351" s="6" t="s">
        <v>62</v>
      </c>
      <c r="E351">
        <v>155</v>
      </c>
      <c r="F351" s="6">
        <v>1.9</v>
      </c>
      <c r="G351">
        <v>4</v>
      </c>
      <c r="N351">
        <f t="shared" si="15"/>
        <v>146.48972370833332</v>
      </c>
      <c r="O351">
        <f>IF(AND(OR(D351="S. acutus",D351="S. californicus",D351="S. tabernaemontani"),G351=0),E351*[1]Sheet1!$D$7+[1]Sheet1!$L$7,IF(AND(OR(D351="S. acutus",D351="S. tabernaemontani"),G351&gt;0),E351*[1]Sheet1!$D$8+N351*[1]Sheet1!$E$8,IF(AND(D351="S. californicus",G351&gt;0),E351*[1]Sheet1!$D$9+N351*[1]Sheet1!$E$9,IF(D351="S. maritimus",F351*[1]Sheet1!$C$10+E351*[1]Sheet1!$D$10+G351*[1]Sheet1!$F$10+[1]Sheet1!$L$10,IF(D351="S. americanus",F351*[1]Sheet1!$C$6+E351*[1]Sheet1!$D$6+[1]Sheet1!$L$6,IF(AND(OR(D351="T. domingensis",D351="T. latifolia"),E351&gt;0),F351*[1]Sheet1!$C$4+E351*[1]Sheet1!$D$4+H351*[1]Sheet1!$J$4+I351*[1]Sheet1!$K$4+[1]Sheet1!$L$4,IF(AND(OR(D351="T. domingensis",D351="T. latifolia"),J351&gt;0),J351*[1]Sheet1!$G$5+K351*[1]Sheet1!$H$5+L351*[1]Sheet1!$I$5+[1]Sheet1!$L$5,0)))))))</f>
        <v>12.245156325154415</v>
      </c>
      <c r="P351">
        <f t="shared" si="16"/>
        <v>12.245156325154415</v>
      </c>
      <c r="S351">
        <f t="shared" si="17"/>
        <v>2.835284975</v>
      </c>
    </row>
    <row r="352" spans="1:19">
      <c r="A352" s="7">
        <v>42501</v>
      </c>
      <c r="B352" s="6" t="s">
        <v>19</v>
      </c>
      <c r="C352">
        <v>5</v>
      </c>
      <c r="D352" s="6" t="s">
        <v>62</v>
      </c>
      <c r="E352">
        <v>52</v>
      </c>
      <c r="F352" s="6">
        <v>0.57999999999999996</v>
      </c>
      <c r="N352">
        <f t="shared" si="15"/>
        <v>4.579600462666666</v>
      </c>
      <c r="O352">
        <f>IF(AND(OR(D352="S. acutus",D352="S. californicus",D352="S. tabernaemontani"),G352=0),E352*[1]Sheet1!$D$7+[1]Sheet1!$L$7,IF(AND(OR(D352="S. acutus",D352="S. tabernaemontani"),G352&gt;0),E352*[1]Sheet1!$D$8+N352*[1]Sheet1!$E$8,IF(AND(D352="S. californicus",G352&gt;0),E352*[1]Sheet1!$D$9+N352*[1]Sheet1!$E$9,IF(D352="S. maritimus",F352*[1]Sheet1!$C$10+E352*[1]Sheet1!$D$10+G352*[1]Sheet1!$F$10+[1]Sheet1!$L$10,IF(D352="S. americanus",F352*[1]Sheet1!$C$6+E352*[1]Sheet1!$D$6+[1]Sheet1!$L$6,IF(AND(OR(D352="T. domingensis",D352="T. latifolia"),E352&gt;0),F352*[1]Sheet1!$C$4+E352*[1]Sheet1!$D$4+H352*[1]Sheet1!$J$4+I352*[1]Sheet1!$K$4+[1]Sheet1!$L$4,IF(AND(OR(D352="T. domingensis",D352="T. latifolia"),J352&gt;0),J352*[1]Sheet1!$G$5+K352*[1]Sheet1!$H$5+L352*[1]Sheet1!$I$5+[1]Sheet1!$L$5,0)))))))</f>
        <v>-0.94513699999999989</v>
      </c>
      <c r="P352" t="str">
        <f t="shared" si="16"/>
        <v xml:space="preserve"> </v>
      </c>
      <c r="S352">
        <f t="shared" si="17"/>
        <v>0.26420771899999995</v>
      </c>
    </row>
    <row r="353" spans="1:19">
      <c r="A353" s="7">
        <v>42501</v>
      </c>
      <c r="B353" s="6" t="s">
        <v>19</v>
      </c>
      <c r="C353">
        <v>5</v>
      </c>
      <c r="D353" s="6" t="s">
        <v>62</v>
      </c>
      <c r="E353">
        <v>32</v>
      </c>
      <c r="F353" s="6">
        <v>0.7</v>
      </c>
      <c r="N353">
        <f t="shared" si="15"/>
        <v>4.1050109333333324</v>
      </c>
      <c r="O353">
        <f>IF(AND(OR(D353="S. acutus",D353="S. californicus",D353="S. tabernaemontani"),G353=0),E353*[1]Sheet1!$D$7+[1]Sheet1!$L$7,IF(AND(OR(D353="S. acutus",D353="S. tabernaemontani"),G353&gt;0),E353*[1]Sheet1!$D$8+N353*[1]Sheet1!$E$8,IF(AND(D353="S. californicus",G353&gt;0),E353*[1]Sheet1!$D$9+N353*[1]Sheet1!$E$9,IF(D353="S. maritimus",F353*[1]Sheet1!$C$10+E353*[1]Sheet1!$D$10+G353*[1]Sheet1!$F$10+[1]Sheet1!$L$10,IF(D353="S. americanus",F353*[1]Sheet1!$C$6+E353*[1]Sheet1!$D$6+[1]Sheet1!$L$6,IF(AND(OR(D353="T. domingensis",D353="T. latifolia"),E353&gt;0),F353*[1]Sheet1!$C$4+E353*[1]Sheet1!$D$4+H353*[1]Sheet1!$J$4+I353*[1]Sheet1!$K$4+[1]Sheet1!$L$4,IF(AND(OR(D353="T. domingensis",D353="T. latifolia"),J353&gt;0),J353*[1]Sheet1!$G$5+K353*[1]Sheet1!$H$5+L353*[1]Sheet1!$I$5+[1]Sheet1!$L$5,0)))))))</f>
        <v>-2.3472369999999998</v>
      </c>
      <c r="P353" t="str">
        <f t="shared" si="16"/>
        <v xml:space="preserve"> </v>
      </c>
      <c r="S353">
        <f t="shared" si="17"/>
        <v>0.38484477499999992</v>
      </c>
    </row>
    <row r="354" spans="1:19">
      <c r="A354" s="7">
        <v>42501</v>
      </c>
      <c r="B354" s="6" t="s">
        <v>19</v>
      </c>
      <c r="C354">
        <v>5</v>
      </c>
      <c r="D354" s="6" t="s">
        <v>62</v>
      </c>
      <c r="E354">
        <v>108</v>
      </c>
      <c r="F354" s="6">
        <v>0.43</v>
      </c>
      <c r="N354">
        <f t="shared" si="15"/>
        <v>5.2279199189999987</v>
      </c>
      <c r="O354">
        <f>IF(AND(OR(D354="S. acutus",D354="S. californicus",D354="S. tabernaemontani"),G354=0),E354*[1]Sheet1!$D$7+[1]Sheet1!$L$7,IF(AND(OR(D354="S. acutus",D354="S. tabernaemontani"),G354&gt;0),E354*[1]Sheet1!$D$8+N354*[1]Sheet1!$E$8,IF(AND(D354="S. californicus",G354&gt;0),E354*[1]Sheet1!$D$9+N354*[1]Sheet1!$E$9,IF(D354="S. maritimus",F354*[1]Sheet1!$C$10+E354*[1]Sheet1!$D$10+G354*[1]Sheet1!$F$10+[1]Sheet1!$L$10,IF(D354="S. americanus",F354*[1]Sheet1!$C$6+E354*[1]Sheet1!$D$6+[1]Sheet1!$L$6,IF(AND(OR(D354="T. domingensis",D354="T. latifolia"),E354&gt;0),F354*[1]Sheet1!$C$4+E354*[1]Sheet1!$D$4+H354*[1]Sheet1!$J$4+I354*[1]Sheet1!$K$4+[1]Sheet1!$L$4,IF(AND(OR(D354="T. domingensis",D354="T. latifolia"),J354&gt;0),J354*[1]Sheet1!$G$5+K354*[1]Sheet1!$H$5+L354*[1]Sheet1!$I$5+[1]Sheet1!$L$5,0)))))))</f>
        <v>2.9807430000000004</v>
      </c>
      <c r="P354">
        <f t="shared" si="16"/>
        <v>2.9807430000000004</v>
      </c>
      <c r="S354">
        <f t="shared" si="17"/>
        <v>0.14521999774999997</v>
      </c>
    </row>
    <row r="355" spans="1:19">
      <c r="A355" s="7">
        <v>42501</v>
      </c>
      <c r="B355" s="6" t="s">
        <v>19</v>
      </c>
      <c r="C355">
        <v>5</v>
      </c>
      <c r="D355" s="6" t="s">
        <v>62</v>
      </c>
      <c r="E355">
        <v>105</v>
      </c>
      <c r="F355" s="6">
        <v>0.38</v>
      </c>
      <c r="N355">
        <f t="shared" si="15"/>
        <v>3.9693989649999999</v>
      </c>
      <c r="O355">
        <f>IF(AND(OR(D355="S. acutus",D355="S. californicus",D355="S. tabernaemontani"),G355=0),E355*[1]Sheet1!$D$7+[1]Sheet1!$L$7,IF(AND(OR(D355="S. acutus",D355="S. tabernaemontani"),G355&gt;0),E355*[1]Sheet1!$D$8+N355*[1]Sheet1!$E$8,IF(AND(D355="S. californicus",G355&gt;0),E355*[1]Sheet1!$D$9+N355*[1]Sheet1!$E$9,IF(D355="S. maritimus",F355*[1]Sheet1!$C$10+E355*[1]Sheet1!$D$10+G355*[1]Sheet1!$F$10+[1]Sheet1!$L$10,IF(D355="S. americanus",F355*[1]Sheet1!$C$6+E355*[1]Sheet1!$D$6+[1]Sheet1!$L$6,IF(AND(OR(D355="T. domingensis",D355="T. latifolia"),E355&gt;0),F355*[1]Sheet1!$C$4+E355*[1]Sheet1!$D$4+H355*[1]Sheet1!$J$4+I355*[1]Sheet1!$K$4+[1]Sheet1!$L$4,IF(AND(OR(D355="T. domingensis",D355="T. latifolia"),J355&gt;0),J355*[1]Sheet1!$G$5+K355*[1]Sheet1!$H$5+L355*[1]Sheet1!$I$5+[1]Sheet1!$L$5,0)))))))</f>
        <v>2.7704279999999999</v>
      </c>
      <c r="P355">
        <f t="shared" si="16"/>
        <v>2.7704279999999999</v>
      </c>
      <c r="S355">
        <f t="shared" si="17"/>
        <v>0.113411399</v>
      </c>
    </row>
    <row r="356" spans="1:19">
      <c r="A356" s="7">
        <v>42501</v>
      </c>
      <c r="B356" s="6" t="s">
        <v>19</v>
      </c>
      <c r="C356">
        <v>5</v>
      </c>
      <c r="D356" s="6" t="s">
        <v>62</v>
      </c>
      <c r="E356">
        <v>56</v>
      </c>
      <c r="F356" s="6">
        <v>0.76</v>
      </c>
      <c r="N356">
        <f t="shared" si="15"/>
        <v>8.4680511253333322</v>
      </c>
      <c r="O356">
        <f>IF(AND(OR(D356="S. acutus",D356="S. californicus",D356="S. tabernaemontani"),G356=0),E356*[1]Sheet1!$D$7+[1]Sheet1!$L$7,IF(AND(OR(D356="S. acutus",D356="S. tabernaemontani"),G356&gt;0),E356*[1]Sheet1!$D$8+N356*[1]Sheet1!$E$8,IF(AND(D356="S. californicus",G356&gt;0),E356*[1]Sheet1!$D$9+N356*[1]Sheet1!$E$9,IF(D356="S. maritimus",F356*[1]Sheet1!$C$10+E356*[1]Sheet1!$D$10+G356*[1]Sheet1!$F$10+[1]Sheet1!$L$10,IF(D356="S. americanus",F356*[1]Sheet1!$C$6+E356*[1]Sheet1!$D$6+[1]Sheet1!$L$6,IF(AND(OR(D356="T. domingensis",D356="T. latifolia"),E356&gt;0),F356*[1]Sheet1!$C$4+E356*[1]Sheet1!$D$4+H356*[1]Sheet1!$J$4+I356*[1]Sheet1!$K$4+[1]Sheet1!$L$4,IF(AND(OR(D356="T. domingensis",D356="T. latifolia"),J356&gt;0),J356*[1]Sheet1!$G$5+K356*[1]Sheet1!$H$5+L356*[1]Sheet1!$I$5+[1]Sheet1!$L$5,0)))))))</f>
        <v>-0.66471699999999956</v>
      </c>
      <c r="P356" t="str">
        <f t="shared" si="16"/>
        <v xml:space="preserve"> </v>
      </c>
      <c r="S356">
        <f t="shared" si="17"/>
        <v>0.45364559599999998</v>
      </c>
    </row>
    <row r="357" spans="1:19">
      <c r="A357" s="7">
        <v>42501</v>
      </c>
      <c r="B357" s="6" t="s">
        <v>19</v>
      </c>
      <c r="C357">
        <v>5</v>
      </c>
      <c r="D357" s="6" t="s">
        <v>62</v>
      </c>
      <c r="E357">
        <v>25</v>
      </c>
      <c r="F357" s="6">
        <v>0.63</v>
      </c>
      <c r="N357">
        <f t="shared" si="15"/>
        <v>2.59770223125</v>
      </c>
      <c r="O357">
        <f>IF(AND(OR(D357="S. acutus",D357="S. californicus",D357="S. tabernaemontani"),G357=0),E357*[1]Sheet1!$D$7+[1]Sheet1!$L$7,IF(AND(OR(D357="S. acutus",D357="S. tabernaemontani"),G357&gt;0),E357*[1]Sheet1!$D$8+N357*[1]Sheet1!$E$8,IF(AND(D357="S. californicus",G357&gt;0),E357*[1]Sheet1!$D$9+N357*[1]Sheet1!$E$9,IF(D357="S. maritimus",F357*[1]Sheet1!$C$10+E357*[1]Sheet1!$D$10+G357*[1]Sheet1!$F$10+[1]Sheet1!$L$10,IF(D357="S. americanus",F357*[1]Sheet1!$C$6+E357*[1]Sheet1!$D$6+[1]Sheet1!$L$6,IF(AND(OR(D357="T. domingensis",D357="T. latifolia"),E357&gt;0),F357*[1]Sheet1!$C$4+E357*[1]Sheet1!$D$4+H357*[1]Sheet1!$J$4+I357*[1]Sheet1!$K$4+[1]Sheet1!$L$4,IF(AND(OR(D357="T. domingensis",D357="T. latifolia"),J357&gt;0),J357*[1]Sheet1!$G$5+K357*[1]Sheet1!$H$5+L357*[1]Sheet1!$I$5+[1]Sheet1!$L$5,0)))))))</f>
        <v>-2.8379719999999997</v>
      </c>
      <c r="P357" t="str">
        <f t="shared" si="16"/>
        <v xml:space="preserve"> </v>
      </c>
      <c r="S357">
        <f t="shared" si="17"/>
        <v>0.31172426775000001</v>
      </c>
    </row>
    <row r="358" spans="1:19">
      <c r="A358" s="7">
        <v>42501</v>
      </c>
      <c r="B358" s="6" t="s">
        <v>19</v>
      </c>
      <c r="C358">
        <v>5</v>
      </c>
      <c r="D358" s="6" t="s">
        <v>62</v>
      </c>
      <c r="E358">
        <v>19</v>
      </c>
      <c r="F358" s="6">
        <v>0.15</v>
      </c>
      <c r="N358">
        <f t="shared" si="15"/>
        <v>0.11191914374999999</v>
      </c>
      <c r="O358">
        <f>IF(AND(OR(D358="S. acutus",D358="S. californicus",D358="S. tabernaemontani"),G358=0),E358*[1]Sheet1!$D$7+[1]Sheet1!$L$7,IF(AND(OR(D358="S. acutus",D358="S. tabernaemontani"),G358&gt;0),E358*[1]Sheet1!$D$8+N358*[1]Sheet1!$E$8,IF(AND(D358="S. californicus",G358&gt;0),E358*[1]Sheet1!$D$9+N358*[1]Sheet1!$E$9,IF(D358="S. maritimus",F358*[1]Sheet1!$C$10+E358*[1]Sheet1!$D$10+G358*[1]Sheet1!$F$10+[1]Sheet1!$L$10,IF(D358="S. americanus",F358*[1]Sheet1!$C$6+E358*[1]Sheet1!$D$6+[1]Sheet1!$L$6,IF(AND(OR(D358="T. domingensis",D358="T. latifolia"),E358&gt;0),F358*[1]Sheet1!$C$4+E358*[1]Sheet1!$D$4+H358*[1]Sheet1!$J$4+I358*[1]Sheet1!$K$4+[1]Sheet1!$L$4,IF(AND(OR(D358="T. domingensis",D358="T. latifolia"),J358&gt;0),J358*[1]Sheet1!$G$5+K358*[1]Sheet1!$H$5+L358*[1]Sheet1!$I$5+[1]Sheet1!$L$5,0)))))))</f>
        <v>-3.2586019999999998</v>
      </c>
      <c r="P358" t="str">
        <f t="shared" si="16"/>
        <v xml:space="preserve"> </v>
      </c>
      <c r="S358">
        <f t="shared" si="17"/>
        <v>1.7671443749999998E-2</v>
      </c>
    </row>
    <row r="359" spans="1:19">
      <c r="A359" s="7">
        <v>42501</v>
      </c>
      <c r="B359" s="6" t="s">
        <v>19</v>
      </c>
      <c r="C359">
        <v>5</v>
      </c>
      <c r="D359" s="6" t="s">
        <v>62</v>
      </c>
      <c r="E359">
        <v>24</v>
      </c>
      <c r="F359" s="6">
        <v>0.17</v>
      </c>
      <c r="N359">
        <f t="shared" si="15"/>
        <v>0.18158390200000002</v>
      </c>
      <c r="O359">
        <f>IF(AND(OR(D359="S. acutus",D359="S. californicus",D359="S. tabernaemontani"),G359=0),E359*[1]Sheet1!$D$7+[1]Sheet1!$L$7,IF(AND(OR(D359="S. acutus",D359="S. tabernaemontani"),G359&gt;0),E359*[1]Sheet1!$D$8+N359*[1]Sheet1!$E$8,IF(AND(D359="S. californicus",G359&gt;0),E359*[1]Sheet1!$D$9+N359*[1]Sheet1!$E$9,IF(D359="S. maritimus",F359*[1]Sheet1!$C$10+E359*[1]Sheet1!$D$10+G359*[1]Sheet1!$F$10+[1]Sheet1!$L$10,IF(D359="S. americanus",F359*[1]Sheet1!$C$6+E359*[1]Sheet1!$D$6+[1]Sheet1!$L$6,IF(AND(OR(D359="T. domingensis",D359="T. latifolia"),E359&gt;0),F359*[1]Sheet1!$C$4+E359*[1]Sheet1!$D$4+H359*[1]Sheet1!$J$4+I359*[1]Sheet1!$K$4+[1]Sheet1!$L$4,IF(AND(OR(D359="T. domingensis",D359="T. latifolia"),J359&gt;0),J359*[1]Sheet1!$G$5+K359*[1]Sheet1!$H$5+L359*[1]Sheet1!$I$5+[1]Sheet1!$L$5,0)))))))</f>
        <v>-2.9080769999999996</v>
      </c>
      <c r="P359" t="str">
        <f t="shared" si="16"/>
        <v xml:space="preserve"> </v>
      </c>
      <c r="S359">
        <f t="shared" si="17"/>
        <v>2.2697987750000002E-2</v>
      </c>
    </row>
    <row r="360" spans="1:19">
      <c r="A360" s="7">
        <v>42501</v>
      </c>
      <c r="B360" s="6" t="s">
        <v>19</v>
      </c>
      <c r="C360">
        <v>5</v>
      </c>
      <c r="D360" s="6" t="s">
        <v>62</v>
      </c>
      <c r="E360">
        <v>27</v>
      </c>
      <c r="F360" s="6">
        <v>0.17</v>
      </c>
      <c r="N360">
        <f t="shared" si="15"/>
        <v>0.20428188975</v>
      </c>
      <c r="O360">
        <f>IF(AND(OR(D360="S. acutus",D360="S. californicus",D360="S. tabernaemontani"),G360=0),E360*[1]Sheet1!$D$7+[1]Sheet1!$L$7,IF(AND(OR(D360="S. acutus",D360="S. tabernaemontani"),G360&gt;0),E360*[1]Sheet1!$D$8+N360*[1]Sheet1!$E$8,IF(AND(D360="S. californicus",G360&gt;0),E360*[1]Sheet1!$D$9+N360*[1]Sheet1!$E$9,IF(D360="S. maritimus",F360*[1]Sheet1!$C$10+E360*[1]Sheet1!$D$10+G360*[1]Sheet1!$F$10+[1]Sheet1!$L$10,IF(D360="S. americanus",F360*[1]Sheet1!$C$6+E360*[1]Sheet1!$D$6+[1]Sheet1!$L$6,IF(AND(OR(D360="T. domingensis",D360="T. latifolia"),E360&gt;0),F360*[1]Sheet1!$C$4+E360*[1]Sheet1!$D$4+H360*[1]Sheet1!$J$4+I360*[1]Sheet1!$K$4+[1]Sheet1!$L$4,IF(AND(OR(D360="T. domingensis",D360="T. latifolia"),J360&gt;0),J360*[1]Sheet1!$G$5+K360*[1]Sheet1!$H$5+L360*[1]Sheet1!$I$5+[1]Sheet1!$L$5,0)))))))</f>
        <v>-2.697762</v>
      </c>
      <c r="P360" t="str">
        <f t="shared" si="16"/>
        <v xml:space="preserve"> </v>
      </c>
      <c r="S360">
        <f t="shared" si="17"/>
        <v>2.2697987750000002E-2</v>
      </c>
    </row>
    <row r="361" spans="1:19">
      <c r="A361" s="7">
        <v>42501</v>
      </c>
      <c r="B361" s="6" t="s">
        <v>19</v>
      </c>
      <c r="C361">
        <v>5</v>
      </c>
      <c r="D361" s="6" t="s">
        <v>62</v>
      </c>
      <c r="E361">
        <v>49</v>
      </c>
      <c r="F361" s="6">
        <v>0.6</v>
      </c>
      <c r="N361">
        <f t="shared" si="15"/>
        <v>4.6181372999999999</v>
      </c>
      <c r="O361">
        <f>IF(AND(OR(D361="S. acutus",D361="S. californicus",D361="S. tabernaemontani"),G361=0),E361*[1]Sheet1!$D$7+[1]Sheet1!$L$7,IF(AND(OR(D361="S. acutus",D361="S. tabernaemontani"),G361&gt;0),E361*[1]Sheet1!$D$8+N361*[1]Sheet1!$E$8,IF(AND(D361="S. californicus",G361&gt;0),E361*[1]Sheet1!$D$9+N361*[1]Sheet1!$E$9,IF(D361="S. maritimus",F361*[1]Sheet1!$C$10+E361*[1]Sheet1!$D$10+G361*[1]Sheet1!$F$10+[1]Sheet1!$L$10,IF(D361="S. americanus",F361*[1]Sheet1!$C$6+E361*[1]Sheet1!$D$6+[1]Sheet1!$L$6,IF(AND(OR(D361="T. domingensis",D361="T. latifolia"),E361&gt;0),F361*[1]Sheet1!$C$4+E361*[1]Sheet1!$D$4+H361*[1]Sheet1!$J$4+I361*[1]Sheet1!$K$4+[1]Sheet1!$L$4,IF(AND(OR(D361="T. domingensis",D361="T. latifolia"),J361&gt;0),J361*[1]Sheet1!$G$5+K361*[1]Sheet1!$H$5+L361*[1]Sheet1!$I$5+[1]Sheet1!$L$5,0)))))))</f>
        <v>-1.1554519999999999</v>
      </c>
      <c r="P361" t="str">
        <f t="shared" si="16"/>
        <v xml:space="preserve"> </v>
      </c>
      <c r="S361">
        <f t="shared" si="17"/>
        <v>0.28274309999999997</v>
      </c>
    </row>
    <row r="362" spans="1:19">
      <c r="A362" s="7">
        <v>42501</v>
      </c>
      <c r="B362" s="6" t="s">
        <v>19</v>
      </c>
      <c r="C362">
        <v>5</v>
      </c>
      <c r="D362" s="6" t="s">
        <v>62</v>
      </c>
      <c r="E362">
        <v>12</v>
      </c>
      <c r="F362" s="6">
        <v>0.08</v>
      </c>
      <c r="N362">
        <f t="shared" si="15"/>
        <v>2.0106176E-2</v>
      </c>
      <c r="O362">
        <f>IF(AND(OR(D362="S. acutus",D362="S. californicus",D362="S. tabernaemontani"),G362=0),E362*[1]Sheet1!$D$7+[1]Sheet1!$L$7,IF(AND(OR(D362="S. acutus",D362="S. tabernaemontani"),G362&gt;0),E362*[1]Sheet1!$D$8+N362*[1]Sheet1!$E$8,IF(AND(D362="S. californicus",G362&gt;0),E362*[1]Sheet1!$D$9+N362*[1]Sheet1!$E$9,IF(D362="S. maritimus",F362*[1]Sheet1!$C$10+E362*[1]Sheet1!$D$10+G362*[1]Sheet1!$F$10+[1]Sheet1!$L$10,IF(D362="S. americanus",F362*[1]Sheet1!$C$6+E362*[1]Sheet1!$D$6+[1]Sheet1!$L$6,IF(AND(OR(D362="T. domingensis",D362="T. latifolia"),E362&gt;0),F362*[1]Sheet1!$C$4+E362*[1]Sheet1!$D$4+H362*[1]Sheet1!$J$4+I362*[1]Sheet1!$K$4+[1]Sheet1!$L$4,IF(AND(OR(D362="T. domingensis",D362="T. latifolia"),J362&gt;0),J362*[1]Sheet1!$G$5+K362*[1]Sheet1!$H$5+L362*[1]Sheet1!$I$5+[1]Sheet1!$L$5,0)))))))</f>
        <v>-3.7493369999999997</v>
      </c>
      <c r="P362" t="str">
        <f t="shared" si="16"/>
        <v xml:space="preserve"> </v>
      </c>
      <c r="S362">
        <f t="shared" si="17"/>
        <v>5.026544E-3</v>
      </c>
    </row>
    <row r="363" spans="1:19">
      <c r="A363" s="7">
        <v>42501</v>
      </c>
      <c r="B363" s="6" t="s">
        <v>19</v>
      </c>
      <c r="C363">
        <v>5</v>
      </c>
      <c r="D363" s="6" t="s">
        <v>62</v>
      </c>
      <c r="E363">
        <v>51</v>
      </c>
      <c r="F363" s="6">
        <v>0.7</v>
      </c>
      <c r="N363">
        <f t="shared" si="15"/>
        <v>6.5423611749999981</v>
      </c>
      <c r="O363">
        <f>IF(AND(OR(D363="S. acutus",D363="S. californicus",D363="S. tabernaemontani"),G363=0),E363*[1]Sheet1!$D$7+[1]Sheet1!$L$7,IF(AND(OR(D363="S. acutus",D363="S. tabernaemontani"),G363&gt;0),E363*[1]Sheet1!$D$8+N363*[1]Sheet1!$E$8,IF(AND(D363="S. californicus",G363&gt;0),E363*[1]Sheet1!$D$9+N363*[1]Sheet1!$E$9,IF(D363="S. maritimus",F363*[1]Sheet1!$C$10+E363*[1]Sheet1!$D$10+G363*[1]Sheet1!$F$10+[1]Sheet1!$L$10,IF(D363="S. americanus",F363*[1]Sheet1!$C$6+E363*[1]Sheet1!$D$6+[1]Sheet1!$L$6,IF(AND(OR(D363="T. domingensis",D363="T. latifolia"),E363&gt;0),F363*[1]Sheet1!$C$4+E363*[1]Sheet1!$D$4+H363*[1]Sheet1!$J$4+I363*[1]Sheet1!$K$4+[1]Sheet1!$L$4,IF(AND(OR(D363="T. domingensis",D363="T. latifolia"),J363&gt;0),J363*[1]Sheet1!$G$5+K363*[1]Sheet1!$H$5+L363*[1]Sheet1!$I$5+[1]Sheet1!$L$5,0)))))))</f>
        <v>-1.0152419999999998</v>
      </c>
      <c r="P363" t="str">
        <f t="shared" si="16"/>
        <v xml:space="preserve"> </v>
      </c>
      <c r="S363">
        <f t="shared" si="17"/>
        <v>0.38484477499999992</v>
      </c>
    </row>
    <row r="364" spans="1:19">
      <c r="A364" s="7">
        <v>42501</v>
      </c>
      <c r="B364" s="6" t="s">
        <v>19</v>
      </c>
      <c r="C364">
        <v>5</v>
      </c>
      <c r="D364" s="6" t="s">
        <v>62</v>
      </c>
      <c r="E364">
        <v>44</v>
      </c>
      <c r="F364" s="6">
        <v>0.5</v>
      </c>
      <c r="N364">
        <f t="shared" si="15"/>
        <v>2.8797908333333329</v>
      </c>
      <c r="O364">
        <f>IF(AND(OR(D364="S. acutus",D364="S. californicus",D364="S. tabernaemontani"),G364=0),E364*[1]Sheet1!$D$7+[1]Sheet1!$L$7,IF(AND(OR(D364="S. acutus",D364="S. tabernaemontani"),G364&gt;0),E364*[1]Sheet1!$D$8+N364*[1]Sheet1!$E$8,IF(AND(D364="S. californicus",G364&gt;0),E364*[1]Sheet1!$D$9+N364*[1]Sheet1!$E$9,IF(D364="S. maritimus",F364*[1]Sheet1!$C$10+E364*[1]Sheet1!$D$10+G364*[1]Sheet1!$F$10+[1]Sheet1!$L$10,IF(D364="S. americanus",F364*[1]Sheet1!$C$6+E364*[1]Sheet1!$D$6+[1]Sheet1!$L$6,IF(AND(OR(D364="T. domingensis",D364="T. latifolia"),E364&gt;0),F364*[1]Sheet1!$C$4+E364*[1]Sheet1!$D$4+H364*[1]Sheet1!$J$4+I364*[1]Sheet1!$K$4+[1]Sheet1!$L$4,IF(AND(OR(D364="T. domingensis",D364="T. latifolia"),J364&gt;0),J364*[1]Sheet1!$G$5+K364*[1]Sheet1!$H$5+L364*[1]Sheet1!$I$5+[1]Sheet1!$L$5,0)))))))</f>
        <v>-1.5059769999999997</v>
      </c>
      <c r="P364" t="str">
        <f t="shared" si="16"/>
        <v xml:space="preserve"> </v>
      </c>
      <c r="S364">
        <f t="shared" si="17"/>
        <v>0.19634937499999999</v>
      </c>
    </row>
    <row r="365" spans="1:19">
      <c r="A365" s="7">
        <v>42501</v>
      </c>
      <c r="B365" s="6" t="s">
        <v>19</v>
      </c>
      <c r="C365">
        <v>5</v>
      </c>
      <c r="D365" s="6" t="s">
        <v>62</v>
      </c>
      <c r="E365">
        <v>19</v>
      </c>
      <c r="F365" s="6">
        <v>0.18</v>
      </c>
      <c r="N365">
        <f t="shared" si="15"/>
        <v>0.16116356699999998</v>
      </c>
      <c r="O365">
        <f>IF(AND(OR(D365="S. acutus",D365="S. californicus",D365="S. tabernaemontani"),G365=0),E365*[1]Sheet1!$D$7+[1]Sheet1!$L$7,IF(AND(OR(D365="S. acutus",D365="S. tabernaemontani"),G365&gt;0),E365*[1]Sheet1!$D$8+N365*[1]Sheet1!$E$8,IF(AND(D365="S. californicus",G365&gt;0),E365*[1]Sheet1!$D$9+N365*[1]Sheet1!$E$9,IF(D365="S. maritimus",F365*[1]Sheet1!$C$10+E365*[1]Sheet1!$D$10+G365*[1]Sheet1!$F$10+[1]Sheet1!$L$10,IF(D365="S. americanus",F365*[1]Sheet1!$C$6+E365*[1]Sheet1!$D$6+[1]Sheet1!$L$6,IF(AND(OR(D365="T. domingensis",D365="T. latifolia"),E365&gt;0),F365*[1]Sheet1!$C$4+E365*[1]Sheet1!$D$4+H365*[1]Sheet1!$J$4+I365*[1]Sheet1!$K$4+[1]Sheet1!$L$4,IF(AND(OR(D365="T. domingensis",D365="T. latifolia"),J365&gt;0),J365*[1]Sheet1!$G$5+K365*[1]Sheet1!$H$5+L365*[1]Sheet1!$I$5+[1]Sheet1!$L$5,0)))))))</f>
        <v>-3.2586019999999998</v>
      </c>
      <c r="P365" t="str">
        <f t="shared" si="16"/>
        <v xml:space="preserve"> </v>
      </c>
      <c r="S365">
        <f t="shared" si="17"/>
        <v>2.5446878999999999E-2</v>
      </c>
    </row>
    <row r="366" spans="1:19">
      <c r="A366" s="7">
        <v>42501</v>
      </c>
      <c r="B366" s="6" t="s">
        <v>19</v>
      </c>
      <c r="C366">
        <v>5</v>
      </c>
      <c r="D366" s="6" t="s">
        <v>62</v>
      </c>
      <c r="E366">
        <v>22</v>
      </c>
      <c r="F366" s="6">
        <v>0.41</v>
      </c>
      <c r="N366">
        <f t="shared" si="15"/>
        <v>0.96818567816666645</v>
      </c>
      <c r="O366">
        <f>IF(AND(OR(D366="S. acutus",D366="S. californicus",D366="S. tabernaemontani"),G366=0),E366*[1]Sheet1!$D$7+[1]Sheet1!$L$7,IF(AND(OR(D366="S. acutus",D366="S. tabernaemontani"),G366&gt;0),E366*[1]Sheet1!$D$8+N366*[1]Sheet1!$E$8,IF(AND(D366="S. californicus",G366&gt;0),E366*[1]Sheet1!$D$9+N366*[1]Sheet1!$E$9,IF(D366="S. maritimus",F366*[1]Sheet1!$C$10+E366*[1]Sheet1!$D$10+G366*[1]Sheet1!$F$10+[1]Sheet1!$L$10,IF(D366="S. americanus",F366*[1]Sheet1!$C$6+E366*[1]Sheet1!$D$6+[1]Sheet1!$L$6,IF(AND(OR(D366="T. domingensis",D366="T. latifolia"),E366&gt;0),F366*[1]Sheet1!$C$4+E366*[1]Sheet1!$D$4+H366*[1]Sheet1!$J$4+I366*[1]Sheet1!$K$4+[1]Sheet1!$L$4,IF(AND(OR(D366="T. domingensis",D366="T. latifolia"),J366&gt;0),J366*[1]Sheet1!$G$5+K366*[1]Sheet1!$H$5+L366*[1]Sheet1!$I$5+[1]Sheet1!$L$5,0)))))))</f>
        <v>-3.0482869999999997</v>
      </c>
      <c r="P366" t="str">
        <f t="shared" si="16"/>
        <v xml:space="preserve"> </v>
      </c>
      <c r="S366">
        <f t="shared" si="17"/>
        <v>0.13202531974999998</v>
      </c>
    </row>
    <row r="367" spans="1:19">
      <c r="A367" s="7">
        <v>42501</v>
      </c>
      <c r="B367" s="6" t="s">
        <v>19</v>
      </c>
      <c r="C367">
        <v>5</v>
      </c>
      <c r="D367" s="6" t="s">
        <v>62</v>
      </c>
      <c r="E367">
        <v>25</v>
      </c>
      <c r="F367" s="6">
        <v>0.2</v>
      </c>
      <c r="N367">
        <f t="shared" si="15"/>
        <v>0.26179916666666669</v>
      </c>
      <c r="O367">
        <f>IF(AND(OR(D367="S. acutus",D367="S. californicus",D367="S. tabernaemontani"),G367=0),E367*[1]Sheet1!$D$7+[1]Sheet1!$L$7,IF(AND(OR(D367="S. acutus",D367="S. tabernaemontani"),G367&gt;0),E367*[1]Sheet1!$D$8+N367*[1]Sheet1!$E$8,IF(AND(D367="S. californicus",G367&gt;0),E367*[1]Sheet1!$D$9+N367*[1]Sheet1!$E$9,IF(D367="S. maritimus",F367*[1]Sheet1!$C$10+E367*[1]Sheet1!$D$10+G367*[1]Sheet1!$F$10+[1]Sheet1!$L$10,IF(D367="S. americanus",F367*[1]Sheet1!$C$6+E367*[1]Sheet1!$D$6+[1]Sheet1!$L$6,IF(AND(OR(D367="T. domingensis",D367="T. latifolia"),E367&gt;0),F367*[1]Sheet1!$C$4+E367*[1]Sheet1!$D$4+H367*[1]Sheet1!$J$4+I367*[1]Sheet1!$K$4+[1]Sheet1!$L$4,IF(AND(OR(D367="T. domingensis",D367="T. latifolia"),J367&gt;0),J367*[1]Sheet1!$G$5+K367*[1]Sheet1!$H$5+L367*[1]Sheet1!$I$5+[1]Sheet1!$L$5,0)))))))</f>
        <v>-2.8379719999999997</v>
      </c>
      <c r="P367" t="str">
        <f t="shared" si="16"/>
        <v xml:space="preserve"> </v>
      </c>
      <c r="S367">
        <f t="shared" si="17"/>
        <v>3.1415900000000004E-2</v>
      </c>
    </row>
    <row r="368" spans="1:19">
      <c r="A368" s="7">
        <v>42501</v>
      </c>
      <c r="B368" s="6" t="s">
        <v>19</v>
      </c>
      <c r="C368">
        <v>5</v>
      </c>
      <c r="D368" s="6" t="s">
        <v>62</v>
      </c>
      <c r="E368">
        <v>56</v>
      </c>
      <c r="F368" s="6">
        <v>0.64</v>
      </c>
      <c r="N368">
        <f t="shared" si="15"/>
        <v>6.0050445653333338</v>
      </c>
      <c r="O368">
        <f>IF(AND(OR(D368="S. acutus",D368="S. californicus",D368="S. tabernaemontani"),G368=0),E368*[1]Sheet1!$D$7+[1]Sheet1!$L$7,IF(AND(OR(D368="S. acutus",D368="S. tabernaemontani"),G368&gt;0),E368*[1]Sheet1!$D$8+N368*[1]Sheet1!$E$8,IF(AND(D368="S. californicus",G368&gt;0),E368*[1]Sheet1!$D$9+N368*[1]Sheet1!$E$9,IF(D368="S. maritimus",F368*[1]Sheet1!$C$10+E368*[1]Sheet1!$D$10+G368*[1]Sheet1!$F$10+[1]Sheet1!$L$10,IF(D368="S. americanus",F368*[1]Sheet1!$C$6+E368*[1]Sheet1!$D$6+[1]Sheet1!$L$6,IF(AND(OR(D368="T. domingensis",D368="T. latifolia"),E368&gt;0),F368*[1]Sheet1!$C$4+E368*[1]Sheet1!$D$4+H368*[1]Sheet1!$J$4+I368*[1]Sheet1!$K$4+[1]Sheet1!$L$4,IF(AND(OR(D368="T. domingensis",D368="T. latifolia"),J368&gt;0),J368*[1]Sheet1!$G$5+K368*[1]Sheet1!$H$5+L368*[1]Sheet1!$I$5+[1]Sheet1!$L$5,0)))))))</f>
        <v>-0.66471699999999956</v>
      </c>
      <c r="P368" t="str">
        <f t="shared" si="16"/>
        <v xml:space="preserve"> </v>
      </c>
      <c r="S368">
        <f t="shared" si="17"/>
        <v>0.321698816</v>
      </c>
    </row>
    <row r="369" spans="1:19">
      <c r="A369" s="7">
        <v>42501</v>
      </c>
      <c r="B369" s="6" t="s">
        <v>19</v>
      </c>
      <c r="C369">
        <v>5</v>
      </c>
      <c r="D369" s="6" t="s">
        <v>62</v>
      </c>
      <c r="E369">
        <v>24</v>
      </c>
      <c r="F369" s="6">
        <v>0.64</v>
      </c>
      <c r="N369">
        <f t="shared" si="15"/>
        <v>2.573590528</v>
      </c>
      <c r="O369">
        <f>IF(AND(OR(D369="S. acutus",D369="S. californicus",D369="S. tabernaemontani"),G369=0),E369*[1]Sheet1!$D$7+[1]Sheet1!$L$7,IF(AND(OR(D369="S. acutus",D369="S. tabernaemontani"),G369&gt;0),E369*[1]Sheet1!$D$8+N369*[1]Sheet1!$E$8,IF(AND(D369="S. californicus",G369&gt;0),E369*[1]Sheet1!$D$9+N369*[1]Sheet1!$E$9,IF(D369="S. maritimus",F369*[1]Sheet1!$C$10+E369*[1]Sheet1!$D$10+G369*[1]Sheet1!$F$10+[1]Sheet1!$L$10,IF(D369="S. americanus",F369*[1]Sheet1!$C$6+E369*[1]Sheet1!$D$6+[1]Sheet1!$L$6,IF(AND(OR(D369="T. domingensis",D369="T. latifolia"),E369&gt;0),F369*[1]Sheet1!$C$4+E369*[1]Sheet1!$D$4+H369*[1]Sheet1!$J$4+I369*[1]Sheet1!$K$4+[1]Sheet1!$L$4,IF(AND(OR(D369="T. domingensis",D369="T. latifolia"),J369&gt;0),J369*[1]Sheet1!$G$5+K369*[1]Sheet1!$H$5+L369*[1]Sheet1!$I$5+[1]Sheet1!$L$5,0)))))))</f>
        <v>-2.9080769999999996</v>
      </c>
      <c r="P369" t="str">
        <f t="shared" si="16"/>
        <v xml:space="preserve"> </v>
      </c>
      <c r="S369">
        <f t="shared" si="17"/>
        <v>0.321698816</v>
      </c>
    </row>
    <row r="370" spans="1:19">
      <c r="A370" s="7">
        <v>42501</v>
      </c>
      <c r="B370" s="6" t="s">
        <v>19</v>
      </c>
      <c r="C370">
        <v>5</v>
      </c>
      <c r="D370" s="6" t="s">
        <v>62</v>
      </c>
      <c r="E370">
        <v>39</v>
      </c>
      <c r="F370" s="6">
        <v>0.37</v>
      </c>
      <c r="N370">
        <f t="shared" si="15"/>
        <v>1.3977719307499998</v>
      </c>
      <c r="O370">
        <f>IF(AND(OR(D370="S. acutus",D370="S. californicus",D370="S. tabernaemontani"),G370=0),E370*[1]Sheet1!$D$7+[1]Sheet1!$L$7,IF(AND(OR(D370="S. acutus",D370="S. tabernaemontani"),G370&gt;0),E370*[1]Sheet1!$D$8+N370*[1]Sheet1!$E$8,IF(AND(D370="S. californicus",G370&gt;0),E370*[1]Sheet1!$D$9+N370*[1]Sheet1!$E$9,IF(D370="S. maritimus",F370*[1]Sheet1!$C$10+E370*[1]Sheet1!$D$10+G370*[1]Sheet1!$F$10+[1]Sheet1!$L$10,IF(D370="S. americanus",F370*[1]Sheet1!$C$6+E370*[1]Sheet1!$D$6+[1]Sheet1!$L$6,IF(AND(OR(D370="T. domingensis",D370="T. latifolia"),E370&gt;0),F370*[1]Sheet1!$C$4+E370*[1]Sheet1!$D$4+H370*[1]Sheet1!$J$4+I370*[1]Sheet1!$K$4+[1]Sheet1!$L$4,IF(AND(OR(D370="T. domingensis",D370="T. latifolia"),J370&gt;0),J370*[1]Sheet1!$G$5+K370*[1]Sheet1!$H$5+L370*[1]Sheet1!$I$5+[1]Sheet1!$L$5,0)))))))</f>
        <v>-1.8565019999999999</v>
      </c>
      <c r="P370" t="str">
        <f t="shared" si="16"/>
        <v xml:space="preserve"> </v>
      </c>
      <c r="S370">
        <f t="shared" si="17"/>
        <v>0.10752091774999999</v>
      </c>
    </row>
    <row r="371" spans="1:19">
      <c r="A371" s="7">
        <v>42501</v>
      </c>
      <c r="B371" s="6" t="s">
        <v>19</v>
      </c>
      <c r="C371">
        <v>5</v>
      </c>
      <c r="D371" s="6" t="s">
        <v>62</v>
      </c>
      <c r="E371">
        <v>49</v>
      </c>
      <c r="F371" s="6">
        <v>0.31</v>
      </c>
      <c r="N371">
        <f t="shared" si="15"/>
        <v>1.2327860959166665</v>
      </c>
      <c r="O371">
        <f>IF(AND(OR(D371="S. acutus",D371="S. californicus",D371="S. tabernaemontani"),G371=0),E371*[1]Sheet1!$D$7+[1]Sheet1!$L$7,IF(AND(OR(D371="S. acutus",D371="S. tabernaemontani"),G371&gt;0),E371*[1]Sheet1!$D$8+N371*[1]Sheet1!$E$8,IF(AND(D371="S. californicus",G371&gt;0),E371*[1]Sheet1!$D$9+N371*[1]Sheet1!$E$9,IF(D371="S. maritimus",F371*[1]Sheet1!$C$10+E371*[1]Sheet1!$D$10+G371*[1]Sheet1!$F$10+[1]Sheet1!$L$10,IF(D371="S. americanus",F371*[1]Sheet1!$C$6+E371*[1]Sheet1!$D$6+[1]Sheet1!$L$6,IF(AND(OR(D371="T. domingensis",D371="T. latifolia"),E371&gt;0),F371*[1]Sheet1!$C$4+E371*[1]Sheet1!$D$4+H371*[1]Sheet1!$J$4+I371*[1]Sheet1!$K$4+[1]Sheet1!$L$4,IF(AND(OR(D371="T. domingensis",D371="T. latifolia"),J371&gt;0),J371*[1]Sheet1!$G$5+K371*[1]Sheet1!$H$5+L371*[1]Sheet1!$I$5+[1]Sheet1!$L$5,0)))))))</f>
        <v>-1.1554519999999999</v>
      </c>
      <c r="P371" t="str">
        <f t="shared" si="16"/>
        <v xml:space="preserve"> </v>
      </c>
      <c r="S371">
        <f t="shared" si="17"/>
        <v>7.5476699750000001E-2</v>
      </c>
    </row>
    <row r="372" spans="1:19">
      <c r="A372" s="7">
        <v>42501</v>
      </c>
      <c r="B372" s="6" t="s">
        <v>19</v>
      </c>
      <c r="C372">
        <v>5</v>
      </c>
      <c r="D372" s="6" t="s">
        <v>62</v>
      </c>
      <c r="E372">
        <v>49</v>
      </c>
      <c r="F372" s="6">
        <v>0.11</v>
      </c>
      <c r="N372">
        <f t="shared" si="15"/>
        <v>0.15522072591666664</v>
      </c>
      <c r="O372">
        <f>IF(AND(OR(D372="S. acutus",D372="S. californicus",D372="S. tabernaemontani"),G372=0),E372*[1]Sheet1!$D$7+[1]Sheet1!$L$7,IF(AND(OR(D372="S. acutus",D372="S. tabernaemontani"),G372&gt;0),E372*[1]Sheet1!$D$8+N372*[1]Sheet1!$E$8,IF(AND(D372="S. californicus",G372&gt;0),E372*[1]Sheet1!$D$9+N372*[1]Sheet1!$E$9,IF(D372="S. maritimus",F372*[1]Sheet1!$C$10+E372*[1]Sheet1!$D$10+G372*[1]Sheet1!$F$10+[1]Sheet1!$L$10,IF(D372="S. americanus",F372*[1]Sheet1!$C$6+E372*[1]Sheet1!$D$6+[1]Sheet1!$L$6,IF(AND(OR(D372="T. domingensis",D372="T. latifolia"),E372&gt;0),F372*[1]Sheet1!$C$4+E372*[1]Sheet1!$D$4+H372*[1]Sheet1!$J$4+I372*[1]Sheet1!$K$4+[1]Sheet1!$L$4,IF(AND(OR(D372="T. domingensis",D372="T. latifolia"),J372&gt;0),J372*[1]Sheet1!$G$5+K372*[1]Sheet1!$H$5+L372*[1]Sheet1!$I$5+[1]Sheet1!$L$5,0)))))))</f>
        <v>-1.1554519999999999</v>
      </c>
      <c r="P372" t="str">
        <f t="shared" si="16"/>
        <v xml:space="preserve"> </v>
      </c>
      <c r="S372">
        <f t="shared" si="17"/>
        <v>9.5033097499999993E-3</v>
      </c>
    </row>
    <row r="373" spans="1:19">
      <c r="A373" s="7">
        <v>42501</v>
      </c>
      <c r="B373" s="6" t="s">
        <v>19</v>
      </c>
      <c r="C373">
        <v>5</v>
      </c>
      <c r="D373" s="6" t="s">
        <v>62</v>
      </c>
      <c r="E373">
        <v>107</v>
      </c>
      <c r="F373" s="6">
        <v>1.02</v>
      </c>
      <c r="N373">
        <f t="shared" si="15"/>
        <v>29.144216270999994</v>
      </c>
      <c r="O373">
        <f>IF(AND(OR(D373="S. acutus",D373="S. californicus",D373="S. tabernaemontani"),G373=0),E373*[1]Sheet1!$D$7+[1]Sheet1!$L$7,IF(AND(OR(D373="S. acutus",D373="S. tabernaemontani"),G373&gt;0),E373*[1]Sheet1!$D$8+N373*[1]Sheet1!$E$8,IF(AND(D373="S. californicus",G373&gt;0),E373*[1]Sheet1!$D$9+N373*[1]Sheet1!$E$9,IF(D373="S. maritimus",F373*[1]Sheet1!$C$10+E373*[1]Sheet1!$D$10+G373*[1]Sheet1!$F$10+[1]Sheet1!$L$10,IF(D373="S. americanus",F373*[1]Sheet1!$C$6+E373*[1]Sheet1!$D$6+[1]Sheet1!$L$6,IF(AND(OR(D373="T. domingensis",D373="T. latifolia"),E373&gt;0),F373*[1]Sheet1!$C$4+E373*[1]Sheet1!$D$4+H373*[1]Sheet1!$J$4+I373*[1]Sheet1!$K$4+[1]Sheet1!$L$4,IF(AND(OR(D373="T. domingensis",D373="T. latifolia"),J373&gt;0),J373*[1]Sheet1!$G$5+K373*[1]Sheet1!$H$5+L373*[1]Sheet1!$I$5+[1]Sheet1!$L$5,0)))))))</f>
        <v>2.9106380000000005</v>
      </c>
      <c r="P373">
        <f t="shared" si="16"/>
        <v>2.9106380000000005</v>
      </c>
      <c r="S373">
        <f t="shared" si="17"/>
        <v>0.817127559</v>
      </c>
    </row>
    <row r="374" spans="1:19">
      <c r="A374" s="7">
        <v>42501</v>
      </c>
      <c r="B374" s="6" t="s">
        <v>19</v>
      </c>
      <c r="C374">
        <v>5</v>
      </c>
      <c r="D374" s="6" t="s">
        <v>62</v>
      </c>
      <c r="E374">
        <v>12</v>
      </c>
      <c r="F374" s="6">
        <v>0.45</v>
      </c>
      <c r="N374">
        <f t="shared" si="15"/>
        <v>0.636171975</v>
      </c>
      <c r="O374">
        <f>IF(AND(OR(D374="S. acutus",D374="S. californicus",D374="S. tabernaemontani"),G374=0),E374*[1]Sheet1!$D$7+[1]Sheet1!$L$7,IF(AND(OR(D374="S. acutus",D374="S. tabernaemontani"),G374&gt;0),E374*[1]Sheet1!$D$8+N374*[1]Sheet1!$E$8,IF(AND(D374="S. californicus",G374&gt;0),E374*[1]Sheet1!$D$9+N374*[1]Sheet1!$E$9,IF(D374="S. maritimus",F374*[1]Sheet1!$C$10+E374*[1]Sheet1!$D$10+G374*[1]Sheet1!$F$10+[1]Sheet1!$L$10,IF(D374="S. americanus",F374*[1]Sheet1!$C$6+E374*[1]Sheet1!$D$6+[1]Sheet1!$L$6,IF(AND(OR(D374="T. domingensis",D374="T. latifolia"),E374&gt;0),F374*[1]Sheet1!$C$4+E374*[1]Sheet1!$D$4+H374*[1]Sheet1!$J$4+I374*[1]Sheet1!$K$4+[1]Sheet1!$L$4,IF(AND(OR(D374="T. domingensis",D374="T. latifolia"),J374&gt;0),J374*[1]Sheet1!$G$5+K374*[1]Sheet1!$H$5+L374*[1]Sheet1!$I$5+[1]Sheet1!$L$5,0)))))))</f>
        <v>-3.7493369999999997</v>
      </c>
      <c r="P374" t="str">
        <f t="shared" si="16"/>
        <v xml:space="preserve"> </v>
      </c>
      <c r="S374">
        <f t="shared" si="17"/>
        <v>0.15904299375</v>
      </c>
    </row>
    <row r="375" spans="1:19">
      <c r="A375" s="7">
        <v>42501</v>
      </c>
      <c r="B375" s="6" t="s">
        <v>19</v>
      </c>
      <c r="C375">
        <v>5</v>
      </c>
      <c r="D375" s="6" t="s">
        <v>62</v>
      </c>
      <c r="E375">
        <v>53</v>
      </c>
      <c r="F375" s="6">
        <v>0.22</v>
      </c>
      <c r="N375">
        <f t="shared" si="15"/>
        <v>0.67156722233333321</v>
      </c>
      <c r="O375">
        <f>IF(AND(OR(D375="S. acutus",D375="S. californicus",D375="S. tabernaemontani"),G375=0),E375*[1]Sheet1!$D$7+[1]Sheet1!$L$7,IF(AND(OR(D375="S. acutus",D375="S. tabernaemontani"),G375&gt;0),E375*[1]Sheet1!$D$8+N375*[1]Sheet1!$E$8,IF(AND(D375="S. californicus",G375&gt;0),E375*[1]Sheet1!$D$9+N375*[1]Sheet1!$E$9,IF(D375="S. maritimus",F375*[1]Sheet1!$C$10+E375*[1]Sheet1!$D$10+G375*[1]Sheet1!$F$10+[1]Sheet1!$L$10,IF(D375="S. americanus",F375*[1]Sheet1!$C$6+E375*[1]Sheet1!$D$6+[1]Sheet1!$L$6,IF(AND(OR(D375="T. domingensis",D375="T. latifolia"),E375&gt;0),F375*[1]Sheet1!$C$4+E375*[1]Sheet1!$D$4+H375*[1]Sheet1!$J$4+I375*[1]Sheet1!$K$4+[1]Sheet1!$L$4,IF(AND(OR(D375="T. domingensis",D375="T. latifolia"),J375&gt;0),J375*[1]Sheet1!$G$5+K375*[1]Sheet1!$H$5+L375*[1]Sheet1!$I$5+[1]Sheet1!$L$5,0)))))))</f>
        <v>-0.87503199999999959</v>
      </c>
      <c r="P375" t="str">
        <f t="shared" si="16"/>
        <v xml:space="preserve"> </v>
      </c>
      <c r="S375">
        <f t="shared" si="17"/>
        <v>3.8013238999999997E-2</v>
      </c>
    </row>
    <row r="376" spans="1:19">
      <c r="A376" s="7">
        <v>42501</v>
      </c>
      <c r="B376" s="6" t="s">
        <v>19</v>
      </c>
      <c r="C376">
        <v>5</v>
      </c>
      <c r="D376" s="6" t="s">
        <v>62</v>
      </c>
      <c r="E376">
        <v>29</v>
      </c>
      <c r="F376" s="6">
        <v>0.55000000000000004</v>
      </c>
      <c r="N376">
        <f t="shared" si="15"/>
        <v>2.2966331895833334</v>
      </c>
      <c r="O376">
        <f>IF(AND(OR(D376="S. acutus",D376="S. californicus",D376="S. tabernaemontani"),G376=0),E376*[1]Sheet1!$D$7+[1]Sheet1!$L$7,IF(AND(OR(D376="S. acutus",D376="S. tabernaemontani"),G376&gt;0),E376*[1]Sheet1!$D$8+N376*[1]Sheet1!$E$8,IF(AND(D376="S. californicus",G376&gt;0),E376*[1]Sheet1!$D$9+N376*[1]Sheet1!$E$9,IF(D376="S. maritimus",F376*[1]Sheet1!$C$10+E376*[1]Sheet1!$D$10+G376*[1]Sheet1!$F$10+[1]Sheet1!$L$10,IF(D376="S. americanus",F376*[1]Sheet1!$C$6+E376*[1]Sheet1!$D$6+[1]Sheet1!$L$6,IF(AND(OR(D376="T. domingensis",D376="T. latifolia"),E376&gt;0),F376*[1]Sheet1!$C$4+E376*[1]Sheet1!$D$4+H376*[1]Sheet1!$J$4+I376*[1]Sheet1!$K$4+[1]Sheet1!$L$4,IF(AND(OR(D376="T. domingensis",D376="T. latifolia"),J376&gt;0),J376*[1]Sheet1!$G$5+K376*[1]Sheet1!$H$5+L376*[1]Sheet1!$I$5+[1]Sheet1!$L$5,0)))))))</f>
        <v>-2.5575519999999998</v>
      </c>
      <c r="P376" t="str">
        <f t="shared" si="16"/>
        <v xml:space="preserve"> </v>
      </c>
      <c r="S376">
        <f t="shared" si="17"/>
        <v>0.23758274375000002</v>
      </c>
    </row>
    <row r="377" spans="1:19">
      <c r="A377" s="7">
        <v>42501</v>
      </c>
      <c r="B377" s="6" t="s">
        <v>19</v>
      </c>
      <c r="C377">
        <v>5</v>
      </c>
      <c r="D377" s="6" t="s">
        <v>62</v>
      </c>
      <c r="E377">
        <v>109</v>
      </c>
      <c r="F377" s="6">
        <v>0.79</v>
      </c>
      <c r="N377">
        <f t="shared" si="15"/>
        <v>17.80938573091667</v>
      </c>
      <c r="O377">
        <f>IF(AND(OR(D377="S. acutus",D377="S. californicus",D377="S. tabernaemontani"),G377=0),E377*[1]Sheet1!$D$7+[1]Sheet1!$L$7,IF(AND(OR(D377="S. acutus",D377="S. tabernaemontani"),G377&gt;0),E377*[1]Sheet1!$D$8+N377*[1]Sheet1!$E$8,IF(AND(D377="S. californicus",G377&gt;0),E377*[1]Sheet1!$D$9+N377*[1]Sheet1!$E$9,IF(D377="S. maritimus",F377*[1]Sheet1!$C$10+E377*[1]Sheet1!$D$10+G377*[1]Sheet1!$F$10+[1]Sheet1!$L$10,IF(D377="S. americanus",F377*[1]Sheet1!$C$6+E377*[1]Sheet1!$D$6+[1]Sheet1!$L$6,IF(AND(OR(D377="T. domingensis",D377="T. latifolia"),E377&gt;0),F377*[1]Sheet1!$C$4+E377*[1]Sheet1!$D$4+H377*[1]Sheet1!$J$4+I377*[1]Sheet1!$K$4+[1]Sheet1!$L$4,IF(AND(OR(D377="T. domingensis",D377="T. latifolia"),J377&gt;0),J377*[1]Sheet1!$G$5+K377*[1]Sheet1!$H$5+L377*[1]Sheet1!$I$5+[1]Sheet1!$L$5,0)))))))</f>
        <v>3.0508480000000002</v>
      </c>
      <c r="P377">
        <f t="shared" si="16"/>
        <v>3.0508480000000002</v>
      </c>
      <c r="S377">
        <f t="shared" si="17"/>
        <v>0.49016657975000005</v>
      </c>
    </row>
    <row r="378" spans="1:19">
      <c r="A378" s="7">
        <v>42501</v>
      </c>
      <c r="B378" s="6" t="s">
        <v>19</v>
      </c>
      <c r="C378">
        <v>5</v>
      </c>
      <c r="D378" s="6" t="s">
        <v>62</v>
      </c>
      <c r="E378">
        <v>111</v>
      </c>
      <c r="F378" s="6">
        <v>0.74</v>
      </c>
      <c r="N378">
        <f t="shared" si="15"/>
        <v>15.913095826999998</v>
      </c>
      <c r="O378">
        <f>IF(AND(OR(D378="S. acutus",D378="S. californicus",D378="S. tabernaemontani"),G378=0),E378*[1]Sheet1!$D$7+[1]Sheet1!$L$7,IF(AND(OR(D378="S. acutus",D378="S. tabernaemontani"),G378&gt;0),E378*[1]Sheet1!$D$8+N378*[1]Sheet1!$E$8,IF(AND(D378="S. californicus",G378&gt;0),E378*[1]Sheet1!$D$9+N378*[1]Sheet1!$E$9,IF(D378="S. maritimus",F378*[1]Sheet1!$C$10+E378*[1]Sheet1!$D$10+G378*[1]Sheet1!$F$10+[1]Sheet1!$L$10,IF(D378="S. americanus",F378*[1]Sheet1!$C$6+E378*[1]Sheet1!$D$6+[1]Sheet1!$L$6,IF(AND(OR(D378="T. domingensis",D378="T. latifolia"),E378&gt;0),F378*[1]Sheet1!$C$4+E378*[1]Sheet1!$D$4+H378*[1]Sheet1!$J$4+I378*[1]Sheet1!$K$4+[1]Sheet1!$L$4,IF(AND(OR(D378="T. domingensis",D378="T. latifolia"),J378&gt;0),J378*[1]Sheet1!$G$5+K378*[1]Sheet1!$H$5+L378*[1]Sheet1!$I$5+[1]Sheet1!$L$5,0)))))))</f>
        <v>3.191058</v>
      </c>
      <c r="P378">
        <f t="shared" si="16"/>
        <v>3.191058</v>
      </c>
      <c r="S378">
        <f t="shared" si="17"/>
        <v>0.43008367099999995</v>
      </c>
    </row>
    <row r="379" spans="1:19">
      <c r="A379" s="7">
        <v>42501</v>
      </c>
      <c r="B379" s="6" t="s">
        <v>19</v>
      </c>
      <c r="C379">
        <v>5</v>
      </c>
      <c r="D379" s="6" t="s">
        <v>62</v>
      </c>
      <c r="E379">
        <v>55</v>
      </c>
      <c r="F379" s="6">
        <v>0.74</v>
      </c>
      <c r="N379">
        <f t="shared" si="15"/>
        <v>7.8848673016666657</v>
      </c>
      <c r="O379">
        <f>IF(AND(OR(D379="S. acutus",D379="S. californicus",D379="S. tabernaemontani"),G379=0),E379*[1]Sheet1!$D$7+[1]Sheet1!$L$7,IF(AND(OR(D379="S. acutus",D379="S. tabernaemontani"),G379&gt;0),E379*[1]Sheet1!$D$8+N379*[1]Sheet1!$E$8,IF(AND(D379="S. californicus",G379&gt;0),E379*[1]Sheet1!$D$9+N379*[1]Sheet1!$E$9,IF(D379="S. maritimus",F379*[1]Sheet1!$C$10+E379*[1]Sheet1!$D$10+G379*[1]Sheet1!$F$10+[1]Sheet1!$L$10,IF(D379="S. americanus",F379*[1]Sheet1!$C$6+E379*[1]Sheet1!$D$6+[1]Sheet1!$L$6,IF(AND(OR(D379="T. domingensis",D379="T. latifolia"),E379&gt;0),F379*[1]Sheet1!$C$4+E379*[1]Sheet1!$D$4+H379*[1]Sheet1!$J$4+I379*[1]Sheet1!$K$4+[1]Sheet1!$L$4,IF(AND(OR(D379="T. domingensis",D379="T. latifolia"),J379&gt;0),J379*[1]Sheet1!$G$5+K379*[1]Sheet1!$H$5+L379*[1]Sheet1!$I$5+[1]Sheet1!$L$5,0)))))))</f>
        <v>-0.73482199999999986</v>
      </c>
      <c r="P379" t="str">
        <f t="shared" si="16"/>
        <v xml:space="preserve"> </v>
      </c>
      <c r="S379">
        <f t="shared" si="17"/>
        <v>0.43008367099999995</v>
      </c>
    </row>
    <row r="380" spans="1:19">
      <c r="A380" s="7">
        <v>42501</v>
      </c>
      <c r="B380" s="6" t="s">
        <v>19</v>
      </c>
      <c r="C380">
        <v>5</v>
      </c>
      <c r="D380" s="6" t="s">
        <v>62</v>
      </c>
      <c r="E380">
        <v>68</v>
      </c>
      <c r="F380" s="6">
        <v>0.67</v>
      </c>
      <c r="N380">
        <f t="shared" si="15"/>
        <v>7.991471922333333</v>
      </c>
      <c r="O380">
        <f>IF(AND(OR(D380="S. acutus",D380="S. californicus",D380="S. tabernaemontani"),G380=0),E380*[1]Sheet1!$D$7+[1]Sheet1!$L$7,IF(AND(OR(D380="S. acutus",D380="S. tabernaemontani"),G380&gt;0),E380*[1]Sheet1!$D$8+N380*[1]Sheet1!$E$8,IF(AND(D380="S. californicus",G380&gt;0),E380*[1]Sheet1!$D$9+N380*[1]Sheet1!$E$9,IF(D380="S. maritimus",F380*[1]Sheet1!$C$10+E380*[1]Sheet1!$D$10+G380*[1]Sheet1!$F$10+[1]Sheet1!$L$10,IF(D380="S. americanus",F380*[1]Sheet1!$C$6+E380*[1]Sheet1!$D$6+[1]Sheet1!$L$6,IF(AND(OR(D380="T. domingensis",D380="T. latifolia"),E380&gt;0),F380*[1]Sheet1!$C$4+E380*[1]Sheet1!$D$4+H380*[1]Sheet1!$J$4+I380*[1]Sheet1!$K$4+[1]Sheet1!$L$4,IF(AND(OR(D380="T. domingensis",D380="T. latifolia"),J380&gt;0),J380*[1]Sheet1!$G$5+K380*[1]Sheet1!$H$5+L380*[1]Sheet1!$I$5+[1]Sheet1!$L$5,0)))))))</f>
        <v>0.17654300000000056</v>
      </c>
      <c r="P380">
        <f t="shared" si="16"/>
        <v>0.17654300000000056</v>
      </c>
      <c r="S380">
        <f t="shared" si="17"/>
        <v>0.35256493775000003</v>
      </c>
    </row>
    <row r="381" spans="1:19">
      <c r="A381" s="7">
        <v>42501</v>
      </c>
      <c r="B381" s="6" t="s">
        <v>19</v>
      </c>
      <c r="C381">
        <v>5</v>
      </c>
      <c r="D381" s="6" t="s">
        <v>62</v>
      </c>
      <c r="E381">
        <v>101</v>
      </c>
      <c r="F381" s="6">
        <v>1.1000000000000001</v>
      </c>
      <c r="N381">
        <f t="shared" si="15"/>
        <v>31.994476158333335</v>
      </c>
      <c r="O381">
        <f>IF(AND(OR(D381="S. acutus",D381="S. californicus",D381="S. tabernaemontani"),G381=0),E381*[1]Sheet1!$D$7+[1]Sheet1!$L$7,IF(AND(OR(D381="S. acutus",D381="S. tabernaemontani"),G381&gt;0),E381*[1]Sheet1!$D$8+N381*[1]Sheet1!$E$8,IF(AND(D381="S. californicus",G381&gt;0),E381*[1]Sheet1!$D$9+N381*[1]Sheet1!$E$9,IF(D381="S. maritimus",F381*[1]Sheet1!$C$10+E381*[1]Sheet1!$D$10+G381*[1]Sheet1!$F$10+[1]Sheet1!$L$10,IF(D381="S. americanus",F381*[1]Sheet1!$C$6+E381*[1]Sheet1!$D$6+[1]Sheet1!$L$6,IF(AND(OR(D381="T. domingensis",D381="T. latifolia"),E381&gt;0),F381*[1]Sheet1!$C$4+E381*[1]Sheet1!$D$4+H381*[1]Sheet1!$J$4+I381*[1]Sheet1!$K$4+[1]Sheet1!$L$4,IF(AND(OR(D381="T. domingensis",D381="T. latifolia"),J381&gt;0),J381*[1]Sheet1!$G$5+K381*[1]Sheet1!$H$5+L381*[1]Sheet1!$I$5+[1]Sheet1!$L$5,0)))))))</f>
        <v>2.4900080000000004</v>
      </c>
      <c r="P381">
        <f t="shared" si="16"/>
        <v>2.4900080000000004</v>
      </c>
      <c r="S381">
        <f t="shared" si="17"/>
        <v>0.95033097500000008</v>
      </c>
    </row>
    <row r="382" spans="1:19">
      <c r="A382" s="7">
        <v>42501</v>
      </c>
      <c r="B382" s="6" t="s">
        <v>19</v>
      </c>
      <c r="C382">
        <v>5</v>
      </c>
      <c r="D382" s="6" t="s">
        <v>62</v>
      </c>
      <c r="E382">
        <v>51</v>
      </c>
      <c r="F382" s="6">
        <v>0.3</v>
      </c>
      <c r="N382">
        <f t="shared" si="15"/>
        <v>1.2016581749999999</v>
      </c>
      <c r="O382">
        <f>IF(AND(OR(D382="S. acutus",D382="S. californicus",D382="S. tabernaemontani"),G382=0),E382*[1]Sheet1!$D$7+[1]Sheet1!$L$7,IF(AND(OR(D382="S. acutus",D382="S. tabernaemontani"),G382&gt;0),E382*[1]Sheet1!$D$8+N382*[1]Sheet1!$E$8,IF(AND(D382="S. californicus",G382&gt;0),E382*[1]Sheet1!$D$9+N382*[1]Sheet1!$E$9,IF(D382="S. maritimus",F382*[1]Sheet1!$C$10+E382*[1]Sheet1!$D$10+G382*[1]Sheet1!$F$10+[1]Sheet1!$L$10,IF(D382="S. americanus",F382*[1]Sheet1!$C$6+E382*[1]Sheet1!$D$6+[1]Sheet1!$L$6,IF(AND(OR(D382="T. domingensis",D382="T. latifolia"),E382&gt;0),F382*[1]Sheet1!$C$4+E382*[1]Sheet1!$D$4+H382*[1]Sheet1!$J$4+I382*[1]Sheet1!$K$4+[1]Sheet1!$L$4,IF(AND(OR(D382="T. domingensis",D382="T. latifolia"),J382&gt;0),J382*[1]Sheet1!$G$5+K382*[1]Sheet1!$H$5+L382*[1]Sheet1!$I$5+[1]Sheet1!$L$5,0)))))))</f>
        <v>-1.0152419999999998</v>
      </c>
      <c r="P382" t="str">
        <f t="shared" si="16"/>
        <v xml:space="preserve"> </v>
      </c>
      <c r="S382">
        <f t="shared" si="17"/>
        <v>7.0685774999999992E-2</v>
      </c>
    </row>
    <row r="383" spans="1:19">
      <c r="A383" s="7">
        <v>42501</v>
      </c>
      <c r="B383" s="6" t="s">
        <v>19</v>
      </c>
      <c r="C383">
        <v>5</v>
      </c>
      <c r="D383" s="6" t="s">
        <v>62</v>
      </c>
      <c r="E383">
        <v>29</v>
      </c>
      <c r="F383" s="6">
        <v>0.52</v>
      </c>
      <c r="N383">
        <f t="shared" si="15"/>
        <v>2.052924345333333</v>
      </c>
      <c r="O383">
        <f>IF(AND(OR(D383="S. acutus",D383="S. californicus",D383="S. tabernaemontani"),G383=0),E383*[1]Sheet1!$D$7+[1]Sheet1!$L$7,IF(AND(OR(D383="S. acutus",D383="S. tabernaemontani"),G383&gt;0),E383*[1]Sheet1!$D$8+N383*[1]Sheet1!$E$8,IF(AND(D383="S. californicus",G383&gt;0),E383*[1]Sheet1!$D$9+N383*[1]Sheet1!$E$9,IF(D383="S. maritimus",F383*[1]Sheet1!$C$10+E383*[1]Sheet1!$D$10+G383*[1]Sheet1!$F$10+[1]Sheet1!$L$10,IF(D383="S. americanus",F383*[1]Sheet1!$C$6+E383*[1]Sheet1!$D$6+[1]Sheet1!$L$6,IF(AND(OR(D383="T. domingensis",D383="T. latifolia"),E383&gt;0),F383*[1]Sheet1!$C$4+E383*[1]Sheet1!$D$4+H383*[1]Sheet1!$J$4+I383*[1]Sheet1!$K$4+[1]Sheet1!$L$4,IF(AND(OR(D383="T. domingensis",D383="T. latifolia"),J383&gt;0),J383*[1]Sheet1!$G$5+K383*[1]Sheet1!$H$5+L383*[1]Sheet1!$I$5+[1]Sheet1!$L$5,0)))))))</f>
        <v>-2.5575519999999998</v>
      </c>
      <c r="P383" t="str">
        <f t="shared" si="16"/>
        <v xml:space="preserve"> </v>
      </c>
      <c r="S383">
        <f t="shared" si="17"/>
        <v>0.21237148400000003</v>
      </c>
    </row>
    <row r="384" spans="1:19">
      <c r="A384" s="7">
        <v>42501</v>
      </c>
      <c r="B384" s="6" t="s">
        <v>19</v>
      </c>
      <c r="C384">
        <v>5</v>
      </c>
      <c r="D384" s="6" t="s">
        <v>62</v>
      </c>
      <c r="E384">
        <v>127</v>
      </c>
      <c r="F384" s="6">
        <v>1.1200000000000001</v>
      </c>
      <c r="G384">
        <v>3</v>
      </c>
      <c r="N384">
        <f t="shared" si="15"/>
        <v>41.706911082666664</v>
      </c>
      <c r="O384">
        <f>IF(AND(OR(D384="S. acutus",D384="S. californicus",D384="S. tabernaemontani"),G384=0),E384*[1]Sheet1!$D$7+[1]Sheet1!$L$7,IF(AND(OR(D384="S. acutus",D384="S. tabernaemontani"),G384&gt;0),E384*[1]Sheet1!$D$8+N384*[1]Sheet1!$E$8,IF(AND(D384="S. californicus",G384&gt;0),E384*[1]Sheet1!$D$9+N384*[1]Sheet1!$E$9,IF(D384="S. maritimus",F384*[1]Sheet1!$C$10+E384*[1]Sheet1!$D$10+G384*[1]Sheet1!$F$10+[1]Sheet1!$L$10,IF(D384="S. americanus",F384*[1]Sheet1!$C$6+E384*[1]Sheet1!$D$6+[1]Sheet1!$L$6,IF(AND(OR(D384="T. domingensis",D384="T. latifolia"),E384&gt;0),F384*[1]Sheet1!$C$4+E384*[1]Sheet1!$D$4+H384*[1]Sheet1!$J$4+I384*[1]Sheet1!$K$4+[1]Sheet1!$L$4,IF(AND(OR(D384="T. domingensis",D384="T. latifolia"),J384&gt;0),J384*[1]Sheet1!$G$5+K384*[1]Sheet1!$H$5+L384*[1]Sheet1!$I$5+[1]Sheet1!$L$5,0)))))))</f>
        <v>5.516091589781718</v>
      </c>
      <c r="P384">
        <f t="shared" si="16"/>
        <v>5.516091589781718</v>
      </c>
      <c r="S384">
        <f t="shared" si="17"/>
        <v>0.98520262400000014</v>
      </c>
    </row>
    <row r="385" spans="1:19">
      <c r="A385" s="7">
        <v>42501</v>
      </c>
      <c r="B385" s="6" t="s">
        <v>19</v>
      </c>
      <c r="C385">
        <v>5</v>
      </c>
      <c r="D385" s="6" t="s">
        <v>62</v>
      </c>
      <c r="E385">
        <v>121</v>
      </c>
      <c r="F385" s="6">
        <v>1.3</v>
      </c>
      <c r="N385">
        <f t="shared" si="15"/>
        <v>53.535311591666662</v>
      </c>
      <c r="O385">
        <f>IF(AND(OR(D385="S. acutus",D385="S. californicus",D385="S. tabernaemontani"),G385=0),E385*[1]Sheet1!$D$7+[1]Sheet1!$L$7,IF(AND(OR(D385="S. acutus",D385="S. tabernaemontani"),G385&gt;0),E385*[1]Sheet1!$D$8+N385*[1]Sheet1!$E$8,IF(AND(D385="S. californicus",G385&gt;0),E385*[1]Sheet1!$D$9+N385*[1]Sheet1!$E$9,IF(D385="S. maritimus",F385*[1]Sheet1!$C$10+E385*[1]Sheet1!$D$10+G385*[1]Sheet1!$F$10+[1]Sheet1!$L$10,IF(D385="S. americanus",F385*[1]Sheet1!$C$6+E385*[1]Sheet1!$D$6+[1]Sheet1!$L$6,IF(AND(OR(D385="T. domingensis",D385="T. latifolia"),E385&gt;0),F385*[1]Sheet1!$C$4+E385*[1]Sheet1!$D$4+H385*[1]Sheet1!$J$4+I385*[1]Sheet1!$K$4+[1]Sheet1!$L$4,IF(AND(OR(D385="T. domingensis",D385="T. latifolia"),J385&gt;0),J385*[1]Sheet1!$G$5+K385*[1]Sheet1!$H$5+L385*[1]Sheet1!$I$5+[1]Sheet1!$L$5,0)))))))</f>
        <v>3.8921079999999995</v>
      </c>
      <c r="P385">
        <f t="shared" si="16"/>
        <v>3.8921079999999995</v>
      </c>
      <c r="S385">
        <f t="shared" si="17"/>
        <v>1.3273217750000001</v>
      </c>
    </row>
    <row r="386" spans="1:19">
      <c r="A386" s="7">
        <v>42501</v>
      </c>
      <c r="B386" s="6" t="s">
        <v>19</v>
      </c>
      <c r="C386">
        <v>5</v>
      </c>
      <c r="D386" s="6" t="s">
        <v>62</v>
      </c>
      <c r="E386">
        <v>59</v>
      </c>
      <c r="F386" s="6">
        <v>0.57999999999999996</v>
      </c>
      <c r="N386">
        <f t="shared" si="15"/>
        <v>5.1960851403333317</v>
      </c>
      <c r="O386">
        <f>IF(AND(OR(D386="S. acutus",D386="S. californicus",D386="S. tabernaemontani"),G386=0),E386*[1]Sheet1!$D$7+[1]Sheet1!$L$7,IF(AND(OR(D386="S. acutus",D386="S. tabernaemontani"),G386&gt;0),E386*[1]Sheet1!$D$8+N386*[1]Sheet1!$E$8,IF(AND(D386="S. californicus",G386&gt;0),E386*[1]Sheet1!$D$9+N386*[1]Sheet1!$E$9,IF(D386="S. maritimus",F386*[1]Sheet1!$C$10+E386*[1]Sheet1!$D$10+G386*[1]Sheet1!$F$10+[1]Sheet1!$L$10,IF(D386="S. americanus",F386*[1]Sheet1!$C$6+E386*[1]Sheet1!$D$6+[1]Sheet1!$L$6,IF(AND(OR(D386="T. domingensis",D386="T. latifolia"),E386&gt;0),F386*[1]Sheet1!$C$4+E386*[1]Sheet1!$D$4+H386*[1]Sheet1!$J$4+I386*[1]Sheet1!$K$4+[1]Sheet1!$L$4,IF(AND(OR(D386="T. domingensis",D386="T. latifolia"),J386&gt;0),J386*[1]Sheet1!$G$5+K386*[1]Sheet1!$H$5+L386*[1]Sheet1!$I$5+[1]Sheet1!$L$5,0)))))))</f>
        <v>-0.45440199999999997</v>
      </c>
      <c r="P386" t="str">
        <f t="shared" si="16"/>
        <v xml:space="preserve"> </v>
      </c>
      <c r="S386">
        <f t="shared" si="17"/>
        <v>0.26420771899999995</v>
      </c>
    </row>
    <row r="387" spans="1:19">
      <c r="A387" s="7">
        <v>42501</v>
      </c>
      <c r="B387" s="6" t="s">
        <v>19</v>
      </c>
      <c r="C387">
        <v>5</v>
      </c>
      <c r="D387" s="6" t="s">
        <v>62</v>
      </c>
      <c r="E387">
        <v>104</v>
      </c>
      <c r="F387" s="6">
        <v>0.25</v>
      </c>
      <c r="N387">
        <f t="shared" si="15"/>
        <v>1.7016945833333332</v>
      </c>
      <c r="O387">
        <f>IF(AND(OR(D387="S. acutus",D387="S. californicus",D387="S. tabernaemontani"),G387=0),E387*[1]Sheet1!$D$7+[1]Sheet1!$L$7,IF(AND(OR(D387="S. acutus",D387="S. tabernaemontani"),G387&gt;0),E387*[1]Sheet1!$D$8+N387*[1]Sheet1!$E$8,IF(AND(D387="S. californicus",G387&gt;0),E387*[1]Sheet1!$D$9+N387*[1]Sheet1!$E$9,IF(D387="S. maritimus",F387*[1]Sheet1!$C$10+E387*[1]Sheet1!$D$10+G387*[1]Sheet1!$F$10+[1]Sheet1!$L$10,IF(D387="S. americanus",F387*[1]Sheet1!$C$6+E387*[1]Sheet1!$D$6+[1]Sheet1!$L$6,IF(AND(OR(D387="T. domingensis",D387="T. latifolia"),E387&gt;0),F387*[1]Sheet1!$C$4+E387*[1]Sheet1!$D$4+H387*[1]Sheet1!$J$4+I387*[1]Sheet1!$K$4+[1]Sheet1!$L$4,IF(AND(OR(D387="T. domingensis",D387="T. latifolia"),J387&gt;0),J387*[1]Sheet1!$G$5+K387*[1]Sheet1!$H$5+L387*[1]Sheet1!$I$5+[1]Sheet1!$L$5,0)))))))</f>
        <v>2.700323</v>
      </c>
      <c r="P387">
        <f t="shared" si="16"/>
        <v>2.700323</v>
      </c>
      <c r="S387">
        <f t="shared" si="17"/>
        <v>4.9087343749999998E-2</v>
      </c>
    </row>
    <row r="388" spans="1:19">
      <c r="A388" s="7">
        <v>42501</v>
      </c>
      <c r="B388" s="6" t="s">
        <v>19</v>
      </c>
      <c r="C388">
        <v>5</v>
      </c>
      <c r="D388" s="6" t="s">
        <v>62</v>
      </c>
      <c r="E388">
        <v>70</v>
      </c>
      <c r="F388" s="6">
        <v>0.69</v>
      </c>
      <c r="N388">
        <f t="shared" ref="N388:N451" si="18">IF(OR(D388="S. acutus", D388="S. tabernaemontani", D388="S. californicus"),(1/3)*(3.14159)*((F388/2)^2)*E388,"NA")</f>
        <v>8.7249808274999978</v>
      </c>
      <c r="O388">
        <f>IF(AND(OR(D388="S. acutus",D388="S. californicus",D388="S. tabernaemontani"),G388=0),E388*[1]Sheet1!$D$7+[1]Sheet1!$L$7,IF(AND(OR(D388="S. acutus",D388="S. tabernaemontani"),G388&gt;0),E388*[1]Sheet1!$D$8+N388*[1]Sheet1!$E$8,IF(AND(D388="S. californicus",G388&gt;0),E388*[1]Sheet1!$D$9+N388*[1]Sheet1!$E$9,IF(D388="S. maritimus",F388*[1]Sheet1!$C$10+E388*[1]Sheet1!$D$10+G388*[1]Sheet1!$F$10+[1]Sheet1!$L$10,IF(D388="S. americanus",F388*[1]Sheet1!$C$6+E388*[1]Sheet1!$D$6+[1]Sheet1!$L$6,IF(AND(OR(D388="T. domingensis",D388="T. latifolia"),E388&gt;0),F388*[1]Sheet1!$C$4+E388*[1]Sheet1!$D$4+H388*[1]Sheet1!$J$4+I388*[1]Sheet1!$K$4+[1]Sheet1!$L$4,IF(AND(OR(D388="T. domingensis",D388="T. latifolia"),J388&gt;0),J388*[1]Sheet1!$G$5+K388*[1]Sheet1!$H$5+L388*[1]Sheet1!$I$5+[1]Sheet1!$L$5,0)))))))</f>
        <v>0.31675300000000028</v>
      </c>
      <c r="P388">
        <f t="shared" ref="P388:P451" si="19">IF(O388&lt;0," ",O388)</f>
        <v>0.31675300000000028</v>
      </c>
      <c r="S388">
        <f t="shared" ref="S388:S451" si="20">3.14159*((F388/2)^2)</f>
        <v>0.37392774974999993</v>
      </c>
    </row>
    <row r="389" spans="1:19">
      <c r="A389" s="7">
        <v>42501</v>
      </c>
      <c r="B389" s="6" t="s">
        <v>19</v>
      </c>
      <c r="C389">
        <v>5</v>
      </c>
      <c r="D389" t="s">
        <v>62</v>
      </c>
      <c r="E389">
        <v>70</v>
      </c>
      <c r="F389" s="6">
        <v>0.65</v>
      </c>
      <c r="N389">
        <f t="shared" si="18"/>
        <v>7.7427103541666664</v>
      </c>
      <c r="O389">
        <f>IF(AND(OR(D389="S. acutus",D389="S. californicus",D389="S. tabernaemontani"),G389=0),E389*[1]Sheet1!$D$7+[1]Sheet1!$L$7,IF(AND(OR(D389="S. acutus",D389="S. tabernaemontani"),G389&gt;0),E389*[1]Sheet1!$D$8+N389*[1]Sheet1!$E$8,IF(AND(D389="S. californicus",G389&gt;0),E389*[1]Sheet1!$D$9+N389*[1]Sheet1!$E$9,IF(D389="S. maritimus",F389*[1]Sheet1!$C$10+E389*[1]Sheet1!$D$10+G389*[1]Sheet1!$F$10+[1]Sheet1!$L$10,IF(D389="S. americanus",F389*[1]Sheet1!$C$6+E389*[1]Sheet1!$D$6+[1]Sheet1!$L$6,IF(AND(OR(D389="T. domingensis",D389="T. latifolia"),E389&gt;0),F389*[1]Sheet1!$C$4+E389*[1]Sheet1!$D$4+H389*[1]Sheet1!$J$4+I389*[1]Sheet1!$K$4+[1]Sheet1!$L$4,IF(AND(OR(D389="T. domingensis",D389="T. latifolia"),J389&gt;0),J389*[1]Sheet1!$G$5+K389*[1]Sheet1!$H$5+L389*[1]Sheet1!$I$5+[1]Sheet1!$L$5,0)))))))</f>
        <v>0.31675300000000028</v>
      </c>
      <c r="P389">
        <f t="shared" si="19"/>
        <v>0.31675300000000028</v>
      </c>
      <c r="S389">
        <f t="shared" si="20"/>
        <v>0.33183044375000004</v>
      </c>
    </row>
    <row r="390" spans="1:19">
      <c r="A390" s="7">
        <v>42501</v>
      </c>
      <c r="B390" s="6" t="s">
        <v>19</v>
      </c>
      <c r="C390">
        <v>5</v>
      </c>
      <c r="D390" t="s">
        <v>62</v>
      </c>
      <c r="E390">
        <v>107</v>
      </c>
      <c r="F390" s="6">
        <v>0.89</v>
      </c>
      <c r="N390">
        <f t="shared" si="18"/>
        <v>22.188709831083333</v>
      </c>
      <c r="O390">
        <f>IF(AND(OR(D390="S. acutus",D390="S. californicus",D390="S. tabernaemontani"),G390=0),E390*[1]Sheet1!$D$7+[1]Sheet1!$L$7,IF(AND(OR(D390="S. acutus",D390="S. tabernaemontani"),G390&gt;0),E390*[1]Sheet1!$D$8+N390*[1]Sheet1!$E$8,IF(AND(D390="S. californicus",G390&gt;0),E390*[1]Sheet1!$D$9+N390*[1]Sheet1!$E$9,IF(D390="S. maritimus",F390*[1]Sheet1!$C$10+E390*[1]Sheet1!$D$10+G390*[1]Sheet1!$F$10+[1]Sheet1!$L$10,IF(D390="S. americanus",F390*[1]Sheet1!$C$6+E390*[1]Sheet1!$D$6+[1]Sheet1!$L$6,IF(AND(OR(D390="T. domingensis",D390="T. latifolia"),E390&gt;0),F390*[1]Sheet1!$C$4+E390*[1]Sheet1!$D$4+H390*[1]Sheet1!$J$4+I390*[1]Sheet1!$K$4+[1]Sheet1!$L$4,IF(AND(OR(D390="T. domingensis",D390="T. latifolia"),J390&gt;0),J390*[1]Sheet1!$G$5+K390*[1]Sheet1!$H$5+L390*[1]Sheet1!$I$5+[1]Sheet1!$L$5,0)))))))</f>
        <v>2.9106380000000005</v>
      </c>
      <c r="P390">
        <f t="shared" si="19"/>
        <v>2.9106380000000005</v>
      </c>
      <c r="S390">
        <f t="shared" si="20"/>
        <v>0.62211335975000004</v>
      </c>
    </row>
    <row r="391" spans="1:19">
      <c r="A391" s="5">
        <v>42502</v>
      </c>
      <c r="B391" t="s">
        <v>56</v>
      </c>
      <c r="C391">
        <v>47</v>
      </c>
      <c r="D391" t="s">
        <v>61</v>
      </c>
      <c r="F391" s="6">
        <v>5.42</v>
      </c>
      <c r="J391">
        <f>95+111+171+189+230+244+277+278+304+313</f>
        <v>2212</v>
      </c>
      <c r="K391">
        <v>10</v>
      </c>
      <c r="L391">
        <v>313</v>
      </c>
      <c r="N391" t="str">
        <f t="shared" si="18"/>
        <v>NA</v>
      </c>
      <c r="O391">
        <f>IF(AND(OR(D391="S. acutus",D391="S. californicus",D391="S. tabernaemontani"),G391=0),E391*[1]Sheet1!$D$7+[1]Sheet1!$L$7,IF(AND(OR(D391="S. acutus",D391="S. tabernaemontani"),G391&gt;0),E391*[1]Sheet1!$D$8+N391*[1]Sheet1!$E$8,IF(AND(D391="S. californicus",G391&gt;0),E391*[1]Sheet1!$D$9+N391*[1]Sheet1!$E$9,IF(D391="S. maritimus",F391*[1]Sheet1!$C$10+E391*[1]Sheet1!$D$10+G391*[1]Sheet1!$F$10+[1]Sheet1!$L$10,IF(D391="S. americanus",F391*[1]Sheet1!$C$6+E391*[1]Sheet1!$D$6+[1]Sheet1!$L$6,IF(AND(OR(D391="T. domingensis",D391="T. latifolia"),E391&gt;0),F391*[1]Sheet1!$C$4+E391*[1]Sheet1!$D$4+H391*[1]Sheet1!$J$4+I391*[1]Sheet1!$K$4+[1]Sheet1!$L$4,IF(AND(OR(D391="T. domingensis",D391="T. latifolia"),J391&gt;0),J391*[1]Sheet1!$G$5+K391*[1]Sheet1!$H$5+L391*[1]Sheet1!$I$5+[1]Sheet1!$L$5,0)))))))</f>
        <v>75.909829000000002</v>
      </c>
      <c r="P391">
        <f t="shared" si="19"/>
        <v>75.909829000000002</v>
      </c>
      <c r="S391">
        <f t="shared" si="20"/>
        <v>23.072151119000001</v>
      </c>
    </row>
    <row r="392" spans="1:19">
      <c r="A392" s="5">
        <v>42502</v>
      </c>
      <c r="B392" t="s">
        <v>56</v>
      </c>
      <c r="C392">
        <v>47</v>
      </c>
      <c r="D392" t="s">
        <v>61</v>
      </c>
      <c r="F392" s="6">
        <v>3.75</v>
      </c>
      <c r="I392" t="s">
        <v>66</v>
      </c>
      <c r="J392">
        <f>62+142+164+201+215+222+227</f>
        <v>1233</v>
      </c>
      <c r="K392">
        <v>7</v>
      </c>
      <c r="L392">
        <v>227</v>
      </c>
      <c r="N392" t="str">
        <f t="shared" si="18"/>
        <v>NA</v>
      </c>
      <c r="O392">
        <f>IF(AND(OR(D392="S. acutus",D392="S. californicus",D392="S. tabernaemontani"),G392=0),E392*[1]Sheet1!$D$7+[1]Sheet1!$L$7,IF(AND(OR(D392="S. acutus",D392="S. tabernaemontani"),G392&gt;0),E392*[1]Sheet1!$D$8+N392*[1]Sheet1!$E$8,IF(AND(D392="S. californicus",G392&gt;0),E392*[1]Sheet1!$D$9+N392*[1]Sheet1!$E$9,IF(D392="S. maritimus",F392*[1]Sheet1!$C$10+E392*[1]Sheet1!$D$10+G392*[1]Sheet1!$F$10+[1]Sheet1!$L$10,IF(D392="S. americanus",F392*[1]Sheet1!$C$6+E392*[1]Sheet1!$D$6+[1]Sheet1!$L$6,IF(AND(OR(D392="T. domingensis",D392="T. latifolia"),E392&gt;0),F392*[1]Sheet1!$C$4+E392*[1]Sheet1!$D$4+H392*[1]Sheet1!$J$4+I392*[1]Sheet1!$K$4+[1]Sheet1!$L$4,IF(AND(OR(D392="T. domingensis",D392="T. latifolia"),J392&gt;0),J392*[1]Sheet1!$G$5+K392*[1]Sheet1!$H$5+L392*[1]Sheet1!$I$5+[1]Sheet1!$L$5,0)))))))</f>
        <v>31.097813000000009</v>
      </c>
      <c r="P392">
        <f t="shared" si="19"/>
        <v>31.097813000000009</v>
      </c>
      <c r="S392">
        <f t="shared" si="20"/>
        <v>11.04465234375</v>
      </c>
    </row>
    <row r="393" spans="1:19">
      <c r="A393" s="5">
        <v>42502</v>
      </c>
      <c r="B393" t="s">
        <v>56</v>
      </c>
      <c r="C393">
        <v>47</v>
      </c>
      <c r="D393" t="s">
        <v>61</v>
      </c>
      <c r="F393" s="6">
        <v>0.8</v>
      </c>
      <c r="J393">
        <f>42+91+134+135</f>
        <v>402</v>
      </c>
      <c r="K393">
        <v>4</v>
      </c>
      <c r="L393">
        <v>135</v>
      </c>
      <c r="N393" t="str">
        <f t="shared" si="18"/>
        <v>NA</v>
      </c>
      <c r="O393">
        <f>IF(AND(OR(D393="S. acutus",D393="S. californicus",D393="S. tabernaemontani"),G393=0),E393*[1]Sheet1!$D$7+[1]Sheet1!$L$7,IF(AND(OR(D393="S. acutus",D393="S. tabernaemontani"),G393&gt;0),E393*[1]Sheet1!$D$8+N393*[1]Sheet1!$E$8,IF(AND(D393="S. californicus",G393&gt;0),E393*[1]Sheet1!$D$9+N393*[1]Sheet1!$E$9,IF(D393="S. maritimus",F393*[1]Sheet1!$C$10+E393*[1]Sheet1!$D$10+G393*[1]Sheet1!$F$10+[1]Sheet1!$L$10,IF(D393="S. americanus",F393*[1]Sheet1!$C$6+E393*[1]Sheet1!$D$6+[1]Sheet1!$L$6,IF(AND(OR(D393="T. domingensis",D393="T. latifolia"),E393&gt;0),F393*[1]Sheet1!$C$4+E393*[1]Sheet1!$D$4+H393*[1]Sheet1!$J$4+I393*[1]Sheet1!$K$4+[1]Sheet1!$L$4,IF(AND(OR(D393="T. domingensis",D393="T. latifolia"),J393&gt;0),J393*[1]Sheet1!$G$5+K393*[1]Sheet1!$H$5+L393*[1]Sheet1!$I$5+[1]Sheet1!$L$5,0)))))))</f>
        <v>1.9690070000000013</v>
      </c>
      <c r="P393">
        <f t="shared" si="19"/>
        <v>1.9690070000000013</v>
      </c>
      <c r="S393">
        <f t="shared" si="20"/>
        <v>0.50265440000000006</v>
      </c>
    </row>
    <row r="394" spans="1:19">
      <c r="A394" s="5">
        <v>42502</v>
      </c>
      <c r="B394" t="s">
        <v>56</v>
      </c>
      <c r="C394">
        <v>47</v>
      </c>
      <c r="D394" t="s">
        <v>61</v>
      </c>
      <c r="F394" s="6">
        <v>3.81</v>
      </c>
      <c r="J394">
        <f>50+103+111+120+132+164+191+219+228+246</f>
        <v>1564</v>
      </c>
      <c r="K394">
        <v>10</v>
      </c>
      <c r="L394">
        <v>246</v>
      </c>
      <c r="N394" t="str">
        <f t="shared" si="18"/>
        <v>NA</v>
      </c>
      <c r="O394">
        <f>IF(AND(OR(D394="S. acutus",D394="S. californicus",D394="S. tabernaemontani"),G394=0),E394*[1]Sheet1!$D$7+[1]Sheet1!$L$7,IF(AND(OR(D394="S. acutus",D394="S. tabernaemontani"),G394&gt;0),E394*[1]Sheet1!$D$8+N394*[1]Sheet1!$E$8,IF(AND(D394="S. californicus",G394&gt;0),E394*[1]Sheet1!$D$9+N394*[1]Sheet1!$E$9,IF(D394="S. maritimus",F394*[1]Sheet1!$C$10+E394*[1]Sheet1!$D$10+G394*[1]Sheet1!$F$10+[1]Sheet1!$L$10,IF(D394="S. americanus",F394*[1]Sheet1!$C$6+E394*[1]Sheet1!$D$6+[1]Sheet1!$L$6,IF(AND(OR(D394="T. domingensis",D394="T. latifolia"),E394&gt;0),F394*[1]Sheet1!$C$4+E394*[1]Sheet1!$D$4+H394*[1]Sheet1!$J$4+I394*[1]Sheet1!$K$4+[1]Sheet1!$L$4,IF(AND(OR(D394="T. domingensis",D394="T. latifolia"),J394&gt;0),J394*[1]Sheet1!$G$5+K394*[1]Sheet1!$H$5+L394*[1]Sheet1!$I$5+[1]Sheet1!$L$5,0)))))))</f>
        <v>35.340004000000015</v>
      </c>
      <c r="P394">
        <f t="shared" si="19"/>
        <v>35.340004000000015</v>
      </c>
      <c r="S394">
        <f t="shared" si="20"/>
        <v>11.400908649749999</v>
      </c>
    </row>
    <row r="395" spans="1:19">
      <c r="A395" s="5">
        <v>42502</v>
      </c>
      <c r="B395" t="s">
        <v>56</v>
      </c>
      <c r="C395">
        <v>47</v>
      </c>
      <c r="D395" t="s">
        <v>61</v>
      </c>
      <c r="F395" s="6">
        <v>4.1399999999999997</v>
      </c>
      <c r="J395">
        <f>161+226+262+200</f>
        <v>849</v>
      </c>
      <c r="K395">
        <v>4</v>
      </c>
      <c r="L395">
        <v>262</v>
      </c>
      <c r="N395" t="str">
        <f t="shared" si="18"/>
        <v>NA</v>
      </c>
      <c r="O395">
        <f>IF(AND(OR(D395="S. acutus",D395="S. californicus",D395="S. tabernaemontani"),G395=0),E395*[1]Sheet1!$D$7+[1]Sheet1!$L$7,IF(AND(OR(D395="S. acutus",D395="S. tabernaemontani"),G395&gt;0),E395*[1]Sheet1!$D$8+N395*[1]Sheet1!$E$8,IF(AND(D395="S. californicus",G395&gt;0),E395*[1]Sheet1!$D$9+N395*[1]Sheet1!$E$9,IF(D395="S. maritimus",F395*[1]Sheet1!$C$10+E395*[1]Sheet1!$D$10+G395*[1]Sheet1!$F$10+[1]Sheet1!$L$10,IF(D395="S. americanus",F395*[1]Sheet1!$C$6+E395*[1]Sheet1!$D$6+[1]Sheet1!$L$6,IF(AND(OR(D395="T. domingensis",D395="T. latifolia"),E395&gt;0),F395*[1]Sheet1!$C$4+E395*[1]Sheet1!$D$4+H395*[1]Sheet1!$J$4+I395*[1]Sheet1!$K$4+[1]Sheet1!$L$4,IF(AND(OR(D395="T. domingensis",D395="T. latifolia"),J395&gt;0),J395*[1]Sheet1!$G$5+K395*[1]Sheet1!$H$5+L395*[1]Sheet1!$I$5+[1]Sheet1!$L$5,0)))))))</f>
        <v>5.6193770000000072</v>
      </c>
      <c r="P395">
        <f t="shared" si="19"/>
        <v>5.6193770000000072</v>
      </c>
      <c r="S395">
        <f t="shared" si="20"/>
        <v>13.461398990999998</v>
      </c>
    </row>
    <row r="396" spans="1:19">
      <c r="A396" s="5">
        <v>42502</v>
      </c>
      <c r="B396" t="s">
        <v>56</v>
      </c>
      <c r="C396">
        <v>47</v>
      </c>
      <c r="D396" t="s">
        <v>61</v>
      </c>
      <c r="F396" s="6">
        <v>0.81</v>
      </c>
      <c r="J396">
        <f>29+29+33+52</f>
        <v>143</v>
      </c>
      <c r="K396">
        <v>4</v>
      </c>
      <c r="L396">
        <v>52</v>
      </c>
      <c r="N396" t="str">
        <f t="shared" si="18"/>
        <v>NA</v>
      </c>
      <c r="O396">
        <f>IF(AND(OR(D396="S. acutus",D396="S. californicus",D396="S. tabernaemontani"),G396=0),E396*[1]Sheet1!$D$7+[1]Sheet1!$L$7,IF(AND(OR(D396="S. acutus",D396="S. tabernaemontani"),G396&gt;0),E396*[1]Sheet1!$D$8+N396*[1]Sheet1!$E$8,IF(AND(D396="S. californicus",G396&gt;0),E396*[1]Sheet1!$D$9+N396*[1]Sheet1!$E$9,IF(D396="S. maritimus",F396*[1]Sheet1!$C$10+E396*[1]Sheet1!$D$10+G396*[1]Sheet1!$F$10+[1]Sheet1!$L$10,IF(D396="S. americanus",F396*[1]Sheet1!$C$6+E396*[1]Sheet1!$D$6+[1]Sheet1!$L$6,IF(AND(OR(D396="T. domingensis",D396="T. latifolia"),E396&gt;0),F396*[1]Sheet1!$C$4+E396*[1]Sheet1!$D$4+H396*[1]Sheet1!$J$4+I396*[1]Sheet1!$K$4+[1]Sheet1!$L$4,IF(AND(OR(D396="T. domingensis",D396="T. latifolia"),J396&gt;0),J396*[1]Sheet1!$G$5+K396*[1]Sheet1!$H$5+L396*[1]Sheet1!$I$5+[1]Sheet1!$L$5,0)))))))</f>
        <v>2.6897969999999987</v>
      </c>
      <c r="P396">
        <f t="shared" si="19"/>
        <v>2.6897969999999987</v>
      </c>
      <c r="S396">
        <f t="shared" si="20"/>
        <v>0.51529929975000011</v>
      </c>
    </row>
    <row r="397" spans="1:19">
      <c r="A397" s="5">
        <v>42502</v>
      </c>
      <c r="B397" t="s">
        <v>56</v>
      </c>
      <c r="C397">
        <v>47</v>
      </c>
      <c r="D397" t="s">
        <v>61</v>
      </c>
      <c r="F397" s="6">
        <v>4.26</v>
      </c>
      <c r="J397">
        <f>249+265+322+330+340+353</f>
        <v>1859</v>
      </c>
      <c r="K397">
        <v>6</v>
      </c>
      <c r="L397">
        <v>353</v>
      </c>
      <c r="N397" t="str">
        <f t="shared" si="18"/>
        <v>NA</v>
      </c>
      <c r="O397">
        <f>IF(AND(OR(D397="S. acutus",D397="S. californicus",D397="S. tabernaemontani"),G397=0),E397*[1]Sheet1!$D$7+[1]Sheet1!$L$7,IF(AND(OR(D397="S. acutus",D397="S. tabernaemontani"),G397&gt;0),E397*[1]Sheet1!$D$8+N397*[1]Sheet1!$E$8,IF(AND(D397="S. californicus",G397&gt;0),E397*[1]Sheet1!$D$9+N397*[1]Sheet1!$E$9,IF(D397="S. maritimus",F397*[1]Sheet1!$C$10+E397*[1]Sheet1!$D$10+G397*[1]Sheet1!$F$10+[1]Sheet1!$L$10,IF(D397="S. americanus",F397*[1]Sheet1!$C$6+E397*[1]Sheet1!$D$6+[1]Sheet1!$L$6,IF(AND(OR(D397="T. domingensis",D397="T. latifolia"),E397&gt;0),F397*[1]Sheet1!$C$4+E397*[1]Sheet1!$D$4+H397*[1]Sheet1!$J$4+I397*[1]Sheet1!$K$4+[1]Sheet1!$L$4,IF(AND(OR(D397="T. domingensis",D397="T. latifolia"),J397&gt;0),J397*[1]Sheet1!$G$5+K397*[1]Sheet1!$H$5+L397*[1]Sheet1!$I$5+[1]Sheet1!$L$5,0)))))))</f>
        <v>58.853926000000008</v>
      </c>
      <c r="P397">
        <f t="shared" si="19"/>
        <v>58.853926000000008</v>
      </c>
      <c r="S397">
        <f t="shared" si="20"/>
        <v>14.253079670999997</v>
      </c>
    </row>
    <row r="398" spans="1:19">
      <c r="A398" s="5">
        <v>42502</v>
      </c>
      <c r="B398" t="s">
        <v>56</v>
      </c>
      <c r="C398">
        <v>47</v>
      </c>
      <c r="D398" t="s">
        <v>61</v>
      </c>
      <c r="F398" s="6">
        <v>3.36</v>
      </c>
      <c r="J398">
        <f>42+53+89+142+157+189+223+246+271</f>
        <v>1412</v>
      </c>
      <c r="K398">
        <v>9</v>
      </c>
      <c r="L398">
        <v>271</v>
      </c>
      <c r="N398" t="str">
        <f t="shared" si="18"/>
        <v>NA</v>
      </c>
      <c r="O398">
        <f>IF(AND(OR(D398="S. acutus",D398="S. californicus",D398="S. tabernaemontani"),G398=0),E398*[1]Sheet1!$D$7+[1]Sheet1!$L$7,IF(AND(OR(D398="S. acutus",D398="S. tabernaemontani"),G398&gt;0),E398*[1]Sheet1!$D$8+N398*[1]Sheet1!$E$8,IF(AND(D398="S. californicus",G398&gt;0),E398*[1]Sheet1!$D$9+N398*[1]Sheet1!$E$9,IF(D398="S. maritimus",F398*[1]Sheet1!$C$10+E398*[1]Sheet1!$D$10+G398*[1]Sheet1!$F$10+[1]Sheet1!$L$10,IF(D398="S. americanus",F398*[1]Sheet1!$C$6+E398*[1]Sheet1!$D$6+[1]Sheet1!$L$6,IF(AND(OR(D398="T. domingensis",D398="T. latifolia"),E398&gt;0),F398*[1]Sheet1!$C$4+E398*[1]Sheet1!$D$4+H398*[1]Sheet1!$J$4+I398*[1]Sheet1!$K$4+[1]Sheet1!$L$4,IF(AND(OR(D398="T. domingensis",D398="T. latifolia"),J398&gt;0),J398*[1]Sheet1!$G$5+K398*[1]Sheet1!$H$5+L398*[1]Sheet1!$I$5+[1]Sheet1!$L$5,0)))))))</f>
        <v>20.580471999999993</v>
      </c>
      <c r="P398">
        <f t="shared" si="19"/>
        <v>20.580471999999993</v>
      </c>
      <c r="S398">
        <f t="shared" si="20"/>
        <v>8.8668236159999978</v>
      </c>
    </row>
    <row r="399" spans="1:19">
      <c r="A399" s="5">
        <v>42502</v>
      </c>
      <c r="B399" t="s">
        <v>56</v>
      </c>
      <c r="C399">
        <v>28</v>
      </c>
      <c r="D399" t="s">
        <v>61</v>
      </c>
      <c r="F399" s="6">
        <v>2.86</v>
      </c>
      <c r="J399">
        <f>85+137+139+148+197+208</f>
        <v>914</v>
      </c>
      <c r="K399">
        <v>6</v>
      </c>
      <c r="L399">
        <v>208</v>
      </c>
      <c r="N399" t="str">
        <f t="shared" si="18"/>
        <v>NA</v>
      </c>
      <c r="O399">
        <f>IF(AND(OR(D399="S. acutus",D399="S. californicus",D399="S. tabernaemontani"),G399=0),E399*[1]Sheet1!$D$7+[1]Sheet1!$L$7,IF(AND(OR(D399="S. acutus",D399="S. tabernaemontani"),G399&gt;0),E399*[1]Sheet1!$D$8+N399*[1]Sheet1!$E$8,IF(AND(D399="S. californicus",G399&gt;0),E399*[1]Sheet1!$D$9+N399*[1]Sheet1!$E$9,IF(D399="S. maritimus",F399*[1]Sheet1!$C$10+E399*[1]Sheet1!$D$10+G399*[1]Sheet1!$F$10+[1]Sheet1!$L$10,IF(D399="S. americanus",F399*[1]Sheet1!$C$6+E399*[1]Sheet1!$D$6+[1]Sheet1!$L$6,IF(AND(OR(D399="T. domingensis",D399="T. latifolia"),E399&gt;0),F399*[1]Sheet1!$C$4+E399*[1]Sheet1!$D$4+H399*[1]Sheet1!$J$4+I399*[1]Sheet1!$K$4+[1]Sheet1!$L$4,IF(AND(OR(D399="T. domingensis",D399="T. latifolia"),J399&gt;0),J399*[1]Sheet1!$G$5+K399*[1]Sheet1!$H$5+L399*[1]Sheet1!$I$5+[1]Sheet1!$L$5,0)))))))</f>
        <v>13.935976000000004</v>
      </c>
      <c r="P399">
        <f t="shared" si="19"/>
        <v>13.935976000000004</v>
      </c>
      <c r="S399">
        <f t="shared" si="20"/>
        <v>6.4242373909999992</v>
      </c>
    </row>
    <row r="400" spans="1:19">
      <c r="A400" s="5">
        <v>42502</v>
      </c>
      <c r="B400" t="s">
        <v>56</v>
      </c>
      <c r="C400">
        <v>28</v>
      </c>
      <c r="D400" t="s">
        <v>61</v>
      </c>
      <c r="F400" s="6">
        <v>3.01</v>
      </c>
      <c r="J400">
        <f>126+146+148+165+182+220+242+243+250+259+261</f>
        <v>2242</v>
      </c>
      <c r="K400">
        <v>11</v>
      </c>
      <c r="L400">
        <v>261</v>
      </c>
      <c r="N400" t="str">
        <f t="shared" si="18"/>
        <v>NA</v>
      </c>
      <c r="O400">
        <f>IF(AND(OR(D400="S. acutus",D400="S. californicus",D400="S. tabernaemontani"),G400=0),E400*[1]Sheet1!$D$7+[1]Sheet1!$L$7,IF(AND(OR(D400="S. acutus",D400="S. tabernaemontani"),G400&gt;0),E400*[1]Sheet1!$D$8+N400*[1]Sheet1!$E$8,IF(AND(D400="S. californicus",G400&gt;0),E400*[1]Sheet1!$D$9+N400*[1]Sheet1!$E$9,IF(D400="S. maritimus",F400*[1]Sheet1!$C$10+E400*[1]Sheet1!$D$10+G400*[1]Sheet1!$F$10+[1]Sheet1!$L$10,IF(D400="S. americanus",F400*[1]Sheet1!$C$6+E400*[1]Sheet1!$D$6+[1]Sheet1!$L$6,IF(AND(OR(D400="T. domingensis",D400="T. latifolia"),E400&gt;0),F400*[1]Sheet1!$C$4+E400*[1]Sheet1!$D$4+H400*[1]Sheet1!$J$4+I400*[1]Sheet1!$K$4+[1]Sheet1!$L$4,IF(AND(OR(D400="T. domingensis",D400="T. latifolia"),J400&gt;0),J400*[1]Sheet1!$G$5+K400*[1]Sheet1!$H$5+L400*[1]Sheet1!$I$5+[1]Sheet1!$L$5,0)))))))</f>
        <v>87.364866000000006</v>
      </c>
      <c r="P400">
        <f t="shared" si="19"/>
        <v>87.364866000000006</v>
      </c>
      <c r="S400">
        <f t="shared" si="20"/>
        <v>7.1157798897499989</v>
      </c>
    </row>
    <row r="401" spans="1:19">
      <c r="A401" s="5">
        <v>42502</v>
      </c>
      <c r="B401" t="s">
        <v>56</v>
      </c>
      <c r="C401">
        <v>28</v>
      </c>
      <c r="D401" t="s">
        <v>61</v>
      </c>
      <c r="F401" s="6">
        <v>2.73</v>
      </c>
      <c r="J401">
        <f>193+232+240+248+255+254+266+265+268+275</f>
        <v>2496</v>
      </c>
      <c r="K401">
        <v>10</v>
      </c>
      <c r="L401">
        <v>275</v>
      </c>
      <c r="N401" t="str">
        <f t="shared" si="18"/>
        <v>NA</v>
      </c>
      <c r="O401">
        <f>IF(AND(OR(D401="S. acutus",D401="S. californicus",D401="S. tabernaemontani"),G401=0),E401*[1]Sheet1!$D$7+[1]Sheet1!$L$7,IF(AND(OR(D401="S. acutus",D401="S. tabernaemontani"),G401&gt;0),E401*[1]Sheet1!$D$8+N401*[1]Sheet1!$E$8,IF(AND(D401="S. californicus",G401&gt;0),E401*[1]Sheet1!$D$9+N401*[1]Sheet1!$E$9,IF(D401="S. maritimus",F401*[1]Sheet1!$C$10+E401*[1]Sheet1!$D$10+G401*[1]Sheet1!$F$10+[1]Sheet1!$L$10,IF(D401="S. americanus",F401*[1]Sheet1!$C$6+E401*[1]Sheet1!$D$6+[1]Sheet1!$L$6,IF(AND(OR(D401="T. domingensis",D401="T. latifolia"),E401&gt;0),F401*[1]Sheet1!$C$4+E401*[1]Sheet1!$D$4+H401*[1]Sheet1!$J$4+I401*[1]Sheet1!$K$4+[1]Sheet1!$L$4,IF(AND(OR(D401="T. domingensis",D401="T. latifolia"),J401&gt;0),J401*[1]Sheet1!$G$5+K401*[1]Sheet1!$H$5+L401*[1]Sheet1!$I$5+[1]Sheet1!$L$5,0)))))))</f>
        <v>113.98355900000001</v>
      </c>
      <c r="P401">
        <f t="shared" si="19"/>
        <v>113.98355900000001</v>
      </c>
      <c r="S401">
        <f t="shared" si="20"/>
        <v>5.8534890277499994</v>
      </c>
    </row>
    <row r="402" spans="1:19">
      <c r="A402" s="5">
        <v>42502</v>
      </c>
      <c r="B402" t="s">
        <v>56</v>
      </c>
      <c r="C402">
        <v>28</v>
      </c>
      <c r="D402" t="s">
        <v>61</v>
      </c>
      <c r="F402" s="6">
        <v>3.53</v>
      </c>
      <c r="J402">
        <f>122+123+144+213+218+222+226+237+242+250</f>
        <v>1997</v>
      </c>
      <c r="K402">
        <v>10</v>
      </c>
      <c r="L402">
        <v>250</v>
      </c>
      <c r="N402" t="str">
        <f t="shared" si="18"/>
        <v>NA</v>
      </c>
      <c r="O402">
        <f>IF(AND(OR(D402="S. acutus",D402="S. californicus",D402="S. tabernaemontani"),G402=0),E402*[1]Sheet1!$D$7+[1]Sheet1!$L$7,IF(AND(OR(D402="S. acutus",D402="S. tabernaemontani"),G402&gt;0),E402*[1]Sheet1!$D$8+N402*[1]Sheet1!$E$8,IF(AND(D402="S. californicus",G402&gt;0),E402*[1]Sheet1!$D$9+N402*[1]Sheet1!$E$9,IF(D402="S. maritimus",F402*[1]Sheet1!$C$10+E402*[1]Sheet1!$D$10+G402*[1]Sheet1!$F$10+[1]Sheet1!$L$10,IF(D402="S. americanus",F402*[1]Sheet1!$C$6+E402*[1]Sheet1!$D$6+[1]Sheet1!$L$6,IF(AND(OR(D402="T. domingensis",D402="T. latifolia"),E402&gt;0),F402*[1]Sheet1!$C$4+E402*[1]Sheet1!$D$4+H402*[1]Sheet1!$J$4+I402*[1]Sheet1!$K$4+[1]Sheet1!$L$4,IF(AND(OR(D402="T. domingensis",D402="T. latifolia"),J402&gt;0),J402*[1]Sheet1!$G$5+K402*[1]Sheet1!$H$5+L402*[1]Sheet1!$I$5+[1]Sheet1!$L$5,0)))))))</f>
        <v>74.730939000000006</v>
      </c>
      <c r="P402">
        <f t="shared" si="19"/>
        <v>74.730939000000006</v>
      </c>
      <c r="S402">
        <f t="shared" si="20"/>
        <v>9.786759707749999</v>
      </c>
    </row>
    <row r="403" spans="1:19">
      <c r="A403" s="5">
        <v>42502</v>
      </c>
      <c r="B403" t="s">
        <v>56</v>
      </c>
      <c r="C403">
        <v>28</v>
      </c>
      <c r="D403" t="s">
        <v>61</v>
      </c>
      <c r="F403" s="6">
        <v>1.64</v>
      </c>
      <c r="J403">
        <f>159+183+204+217</f>
        <v>763</v>
      </c>
      <c r="K403">
        <v>4</v>
      </c>
      <c r="L403">
        <v>217</v>
      </c>
      <c r="N403" t="str">
        <f t="shared" si="18"/>
        <v>NA</v>
      </c>
      <c r="O403">
        <f>IF(AND(OR(D403="S. acutus",D403="S. californicus",D403="S. tabernaemontani"),G403=0),E403*[1]Sheet1!$D$7+[1]Sheet1!$L$7,IF(AND(OR(D403="S. acutus",D403="S. tabernaemontani"),G403&gt;0),E403*[1]Sheet1!$D$8+N403*[1]Sheet1!$E$8,IF(AND(D403="S. californicus",G403&gt;0),E403*[1]Sheet1!$D$9+N403*[1]Sheet1!$E$9,IF(D403="S. maritimus",F403*[1]Sheet1!$C$10+E403*[1]Sheet1!$D$10+G403*[1]Sheet1!$F$10+[1]Sheet1!$L$10,IF(D403="S. americanus",F403*[1]Sheet1!$C$6+E403*[1]Sheet1!$D$6+[1]Sheet1!$L$6,IF(AND(OR(D403="T. domingensis",D403="T. latifolia"),E403&gt;0),F403*[1]Sheet1!$C$4+E403*[1]Sheet1!$D$4+H403*[1]Sheet1!$J$4+I403*[1]Sheet1!$K$4+[1]Sheet1!$L$4,IF(AND(OR(D403="T. domingensis",D403="T. latifolia"),J403&gt;0),J403*[1]Sheet1!$G$5+K403*[1]Sheet1!$H$5+L403*[1]Sheet1!$I$5+[1]Sheet1!$L$5,0)))))))</f>
        <v>11.112472000000004</v>
      </c>
      <c r="P403">
        <f t="shared" si="19"/>
        <v>11.112472000000004</v>
      </c>
      <c r="S403">
        <f t="shared" si="20"/>
        <v>2.1124051159999997</v>
      </c>
    </row>
    <row r="404" spans="1:19">
      <c r="A404" s="5">
        <v>42502</v>
      </c>
      <c r="B404" t="s">
        <v>56</v>
      </c>
      <c r="C404">
        <v>28</v>
      </c>
      <c r="D404" t="s">
        <v>61</v>
      </c>
      <c r="F404" s="6">
        <v>3.37</v>
      </c>
      <c r="J404">
        <f>143+178+182+213+241+245+269+272</f>
        <v>1743</v>
      </c>
      <c r="K404">
        <v>8</v>
      </c>
      <c r="L404">
        <v>272</v>
      </c>
      <c r="N404" t="str">
        <f t="shared" si="18"/>
        <v>NA</v>
      </c>
      <c r="O404">
        <f>IF(AND(OR(D404="S. acutus",D404="S. californicus",D404="S. tabernaemontani"),G404=0),E404*[1]Sheet1!$D$7+[1]Sheet1!$L$7,IF(AND(OR(D404="S. acutus",D404="S. tabernaemontani"),G404&gt;0),E404*[1]Sheet1!$D$8+N404*[1]Sheet1!$E$8,IF(AND(D404="S. californicus",G404&gt;0),E404*[1]Sheet1!$D$9+N404*[1]Sheet1!$E$9,IF(D404="S. maritimus",F404*[1]Sheet1!$C$10+E404*[1]Sheet1!$D$10+G404*[1]Sheet1!$F$10+[1]Sheet1!$L$10,IF(D404="S. americanus",F404*[1]Sheet1!$C$6+E404*[1]Sheet1!$D$6+[1]Sheet1!$L$6,IF(AND(OR(D404="T. domingensis",D404="T. latifolia"),E404&gt;0),F404*[1]Sheet1!$C$4+E404*[1]Sheet1!$D$4+H404*[1]Sheet1!$J$4+I404*[1]Sheet1!$K$4+[1]Sheet1!$L$4,IF(AND(OR(D404="T. domingensis",D404="T. latifolia"),J404&gt;0),J404*[1]Sheet1!$G$5+K404*[1]Sheet1!$H$5+L404*[1]Sheet1!$I$5+[1]Sheet1!$L$5,0)))))))</f>
        <v>58.334485000000008</v>
      </c>
      <c r="P404">
        <f t="shared" si="19"/>
        <v>58.334485000000008</v>
      </c>
      <c r="S404">
        <f t="shared" si="20"/>
        <v>8.9196808677500012</v>
      </c>
    </row>
    <row r="405" spans="1:19">
      <c r="A405" s="5">
        <v>42502</v>
      </c>
      <c r="B405" t="s">
        <v>56</v>
      </c>
      <c r="C405">
        <v>28</v>
      </c>
      <c r="D405" t="s">
        <v>61</v>
      </c>
      <c r="F405" s="6">
        <v>3.24</v>
      </c>
      <c r="J405">
        <f>176+186+203+205+232+241+248+271+280+290+293</f>
        <v>2625</v>
      </c>
      <c r="K405">
        <v>11</v>
      </c>
      <c r="L405">
        <v>293</v>
      </c>
      <c r="N405" t="str">
        <f t="shared" si="18"/>
        <v>NA</v>
      </c>
      <c r="O405">
        <f>IF(AND(OR(D405="S. acutus",D405="S. californicus",D405="S. tabernaemontani"),G405=0),E405*[1]Sheet1!$D$7+[1]Sheet1!$L$7,IF(AND(OR(D405="S. acutus",D405="S. tabernaemontani"),G405&gt;0),E405*[1]Sheet1!$D$8+N405*[1]Sheet1!$E$8,IF(AND(D405="S. californicus",G405&gt;0),E405*[1]Sheet1!$D$9+N405*[1]Sheet1!$E$9,IF(D405="S. maritimus",F405*[1]Sheet1!$C$10+E405*[1]Sheet1!$D$10+G405*[1]Sheet1!$F$10+[1]Sheet1!$L$10,IF(D405="S. americanus",F405*[1]Sheet1!$C$6+E405*[1]Sheet1!$D$6+[1]Sheet1!$L$6,IF(AND(OR(D405="T. domingensis",D405="T. latifolia"),E405&gt;0),F405*[1]Sheet1!$C$4+E405*[1]Sheet1!$D$4+H405*[1]Sheet1!$J$4+I405*[1]Sheet1!$K$4+[1]Sheet1!$L$4,IF(AND(OR(D405="T. domingensis",D405="T. latifolia"),J405&gt;0),J405*[1]Sheet1!$G$5+K405*[1]Sheet1!$H$5+L405*[1]Sheet1!$I$5+[1]Sheet1!$L$5,0)))))))</f>
        <v>113.63319100000001</v>
      </c>
      <c r="P405">
        <f t="shared" si="19"/>
        <v>113.63319100000001</v>
      </c>
      <c r="S405">
        <f t="shared" si="20"/>
        <v>8.2447887960000017</v>
      </c>
    </row>
    <row r="406" spans="1:19">
      <c r="A406" s="5">
        <v>42502</v>
      </c>
      <c r="B406" t="s">
        <v>56</v>
      </c>
      <c r="C406">
        <v>28</v>
      </c>
      <c r="D406" t="s">
        <v>61</v>
      </c>
      <c r="F406" s="6">
        <v>4.3899999999999997</v>
      </c>
      <c r="J406">
        <f>191+214+246+267+262+295+303+304+305+305+306</f>
        <v>2998</v>
      </c>
      <c r="K406">
        <v>11</v>
      </c>
      <c r="L406">
        <v>306</v>
      </c>
      <c r="N406" t="str">
        <f t="shared" si="18"/>
        <v>NA</v>
      </c>
      <c r="O406">
        <f>IF(AND(OR(D406="S. acutus",D406="S. californicus",D406="S. tabernaemontani"),G406=0),E406*[1]Sheet1!$D$7+[1]Sheet1!$L$7,IF(AND(OR(D406="S. acutus",D406="S. tabernaemontani"),G406&gt;0),E406*[1]Sheet1!$D$8+N406*[1]Sheet1!$E$8,IF(AND(D406="S. californicus",G406&gt;0),E406*[1]Sheet1!$D$9+N406*[1]Sheet1!$E$9,IF(D406="S. maritimus",F406*[1]Sheet1!$C$10+E406*[1]Sheet1!$D$10+G406*[1]Sheet1!$F$10+[1]Sheet1!$L$10,IF(D406="S. americanus",F406*[1]Sheet1!$C$6+E406*[1]Sheet1!$D$6+[1]Sheet1!$L$6,IF(AND(OR(D406="T. domingensis",D406="T. latifolia"),E406&gt;0),F406*[1]Sheet1!$C$4+E406*[1]Sheet1!$D$4+H406*[1]Sheet1!$J$4+I406*[1]Sheet1!$K$4+[1]Sheet1!$L$4,IF(AND(OR(D406="T. domingensis",D406="T. latifolia"),J406&gt;0),J406*[1]Sheet1!$G$5+K406*[1]Sheet1!$H$5+L406*[1]Sheet1!$I$5+[1]Sheet1!$L$5,0)))))))</f>
        <v>144.68762100000001</v>
      </c>
      <c r="P406">
        <f t="shared" si="19"/>
        <v>144.68762100000001</v>
      </c>
      <c r="S406">
        <f t="shared" si="20"/>
        <v>15.136259159749999</v>
      </c>
    </row>
    <row r="407" spans="1:19">
      <c r="A407" s="5">
        <v>42502</v>
      </c>
      <c r="B407" t="s">
        <v>56</v>
      </c>
      <c r="C407">
        <v>28</v>
      </c>
      <c r="D407" t="s">
        <v>61</v>
      </c>
      <c r="F407" s="6">
        <v>2.13</v>
      </c>
      <c r="J407">
        <f>100+151+177+203+231</f>
        <v>862</v>
      </c>
      <c r="K407">
        <v>5</v>
      </c>
      <c r="L407">
        <v>231</v>
      </c>
      <c r="N407" t="str">
        <f t="shared" si="18"/>
        <v>NA</v>
      </c>
      <c r="O407">
        <f>IF(AND(OR(D407="S. acutus",D407="S. californicus",D407="S. tabernaemontani"),G407=0),E407*[1]Sheet1!$D$7+[1]Sheet1!$L$7,IF(AND(OR(D407="S. acutus",D407="S. tabernaemontani"),G407&gt;0),E407*[1]Sheet1!$D$8+N407*[1]Sheet1!$E$8,IF(AND(D407="S. californicus",G407&gt;0),E407*[1]Sheet1!$D$9+N407*[1]Sheet1!$E$9,IF(D407="S. maritimus",F407*[1]Sheet1!$C$10+E407*[1]Sheet1!$D$10+G407*[1]Sheet1!$F$10+[1]Sheet1!$L$10,IF(D407="S. americanus",F407*[1]Sheet1!$C$6+E407*[1]Sheet1!$D$6+[1]Sheet1!$L$6,IF(AND(OR(D407="T. domingensis",D407="T. latifolia"),E407&gt;0),F407*[1]Sheet1!$C$4+E407*[1]Sheet1!$D$4+H407*[1]Sheet1!$J$4+I407*[1]Sheet1!$K$4+[1]Sheet1!$L$4,IF(AND(OR(D407="T. domingensis",D407="T. latifolia"),J407&gt;0),J407*[1]Sheet1!$G$5+K407*[1]Sheet1!$H$5+L407*[1]Sheet1!$I$5+[1]Sheet1!$L$5,0)))))))</f>
        <v>9.1544340000000091</v>
      </c>
      <c r="P407">
        <f t="shared" si="19"/>
        <v>9.1544340000000091</v>
      </c>
      <c r="S407">
        <f t="shared" si="20"/>
        <v>3.5632699177499991</v>
      </c>
    </row>
    <row r="408" spans="1:19">
      <c r="A408" s="5">
        <v>42502</v>
      </c>
      <c r="B408" t="s">
        <v>56</v>
      </c>
      <c r="C408">
        <v>28</v>
      </c>
      <c r="D408" t="s">
        <v>61</v>
      </c>
      <c r="F408">
        <v>3.53</v>
      </c>
      <c r="J408">
        <f>163+156+185+207+233+235+274+285+289</f>
        <v>2027</v>
      </c>
      <c r="K408">
        <v>9</v>
      </c>
      <c r="L408">
        <v>289</v>
      </c>
      <c r="N408" t="str">
        <f t="shared" si="18"/>
        <v>NA</v>
      </c>
      <c r="O408">
        <f>IF(AND(OR(D408="S. acutus",D408="S. californicus",D408="S. tabernaemontani"),G408=0),E408*[1]Sheet1!$D$7+[1]Sheet1!$L$7,IF(AND(OR(D408="S. acutus",D408="S. tabernaemontani"),G408&gt;0),E408*[1]Sheet1!$D$8+N408*[1]Sheet1!$E$8,IF(AND(D408="S. californicus",G408&gt;0),E408*[1]Sheet1!$D$9+N408*[1]Sheet1!$E$9,IF(D408="S. maritimus",F408*[1]Sheet1!$C$10+E408*[1]Sheet1!$D$10+G408*[1]Sheet1!$F$10+[1]Sheet1!$L$10,IF(D408="S. americanus",F408*[1]Sheet1!$C$6+E408*[1]Sheet1!$D$6+[1]Sheet1!$L$6,IF(AND(OR(D408="T. domingensis",D408="T. latifolia"),E408&gt;0),F408*[1]Sheet1!$C$4+E408*[1]Sheet1!$D$4+H408*[1]Sheet1!$J$4+I408*[1]Sheet1!$K$4+[1]Sheet1!$L$4,IF(AND(OR(D408="T. domingensis",D408="T. latifolia"),J408&gt;0),J408*[1]Sheet1!$G$5+K408*[1]Sheet1!$H$5+L408*[1]Sheet1!$I$5+[1]Sheet1!$L$5,0)))))))</f>
        <v>72.817387000000025</v>
      </c>
      <c r="P408">
        <f t="shared" si="19"/>
        <v>72.817387000000025</v>
      </c>
      <c r="S408">
        <f t="shared" si="20"/>
        <v>9.786759707749999</v>
      </c>
    </row>
    <row r="409" spans="1:19">
      <c r="A409" s="5">
        <v>42502</v>
      </c>
      <c r="B409" t="s">
        <v>56</v>
      </c>
      <c r="C409">
        <v>28</v>
      </c>
      <c r="D409" t="s">
        <v>61</v>
      </c>
      <c r="F409" s="6">
        <v>2.87</v>
      </c>
      <c r="J409">
        <f>107+142+143+143+178+208+224+230+253+258+259</f>
        <v>2145</v>
      </c>
      <c r="K409">
        <v>11</v>
      </c>
      <c r="L409">
        <v>259</v>
      </c>
      <c r="N409" t="str">
        <f t="shared" si="18"/>
        <v>NA</v>
      </c>
      <c r="O409">
        <f>IF(AND(OR(D409="S. acutus",D409="S. californicus",D409="S. tabernaemontani"),G409=0),E409*[1]Sheet1!$D$7+[1]Sheet1!$L$7,IF(AND(OR(D409="S. acutus",D409="S. tabernaemontani"),G409&gt;0),E409*[1]Sheet1!$D$8+N409*[1]Sheet1!$E$8,IF(AND(D409="S. californicus",G409&gt;0),E409*[1]Sheet1!$D$9+N409*[1]Sheet1!$E$9,IF(D409="S. maritimus",F409*[1]Sheet1!$C$10+E409*[1]Sheet1!$D$10+G409*[1]Sheet1!$F$10+[1]Sheet1!$L$10,IF(D409="S. americanus",F409*[1]Sheet1!$C$6+E409*[1]Sheet1!$D$6+[1]Sheet1!$L$6,IF(AND(OR(D409="T. domingensis",D409="T. latifolia"),E409&gt;0),F409*[1]Sheet1!$C$4+E409*[1]Sheet1!$D$4+H409*[1]Sheet1!$J$4+I409*[1]Sheet1!$K$4+[1]Sheet1!$L$4,IF(AND(OR(D409="T. domingensis",D409="T. latifolia"),J409&gt;0),J409*[1]Sheet1!$G$5+K409*[1]Sheet1!$H$5+L409*[1]Sheet1!$I$5+[1]Sheet1!$L$5,0)))))))</f>
        <v>78.873121000000026</v>
      </c>
      <c r="P409">
        <f t="shared" si="19"/>
        <v>78.873121000000026</v>
      </c>
      <c r="S409">
        <f t="shared" si="20"/>
        <v>6.4692406677500003</v>
      </c>
    </row>
    <row r="410" spans="1:19">
      <c r="A410" s="5">
        <v>42502</v>
      </c>
      <c r="B410" t="s">
        <v>56</v>
      </c>
      <c r="C410">
        <v>28</v>
      </c>
      <c r="D410" t="s">
        <v>61</v>
      </c>
      <c r="F410" s="6">
        <v>0.27</v>
      </c>
      <c r="J410">
        <f>71+70+119+146+172+174+195</f>
        <v>947</v>
      </c>
      <c r="K410">
        <v>7</v>
      </c>
      <c r="L410">
        <v>195</v>
      </c>
      <c r="N410" t="str">
        <f t="shared" si="18"/>
        <v>NA</v>
      </c>
      <c r="O410">
        <f>IF(AND(OR(D410="S. acutus",D410="S. californicus",D410="S. tabernaemontani"),G410=0),E410*[1]Sheet1!$D$7+[1]Sheet1!$L$7,IF(AND(OR(D410="S. acutus",D410="S. tabernaemontani"),G410&gt;0),E410*[1]Sheet1!$D$8+N410*[1]Sheet1!$E$8,IF(AND(D410="S. californicus",G410&gt;0),E410*[1]Sheet1!$D$9+N410*[1]Sheet1!$E$9,IF(D410="S. maritimus",F410*[1]Sheet1!$C$10+E410*[1]Sheet1!$D$10+G410*[1]Sheet1!$F$10+[1]Sheet1!$L$10,IF(D410="S. americanus",F410*[1]Sheet1!$C$6+E410*[1]Sheet1!$D$6+[1]Sheet1!$L$6,IF(AND(OR(D410="T. domingensis",D410="T. latifolia"),E410&gt;0),F410*[1]Sheet1!$C$4+E410*[1]Sheet1!$D$4+H410*[1]Sheet1!$J$4+I410*[1]Sheet1!$K$4+[1]Sheet1!$L$4,IF(AND(OR(D410="T. domingensis",D410="T. latifolia"),J410&gt;0),J410*[1]Sheet1!$G$5+K410*[1]Sheet1!$H$5+L410*[1]Sheet1!$I$5+[1]Sheet1!$L$5,0)))))))</f>
        <v>13.923723000000017</v>
      </c>
      <c r="P410">
        <f t="shared" si="19"/>
        <v>13.923723000000017</v>
      </c>
      <c r="S410">
        <f t="shared" si="20"/>
        <v>5.7255477750000006E-2</v>
      </c>
    </row>
    <row r="411" spans="1:19">
      <c r="A411" s="5">
        <v>42502</v>
      </c>
      <c r="B411" t="s">
        <v>56</v>
      </c>
      <c r="C411">
        <v>28</v>
      </c>
      <c r="D411" t="s">
        <v>61</v>
      </c>
      <c r="F411" s="6">
        <v>1.66</v>
      </c>
      <c r="J411">
        <f>111+148+157+185+207+214</f>
        <v>1022</v>
      </c>
      <c r="K411">
        <v>6</v>
      </c>
      <c r="L411">
        <v>214</v>
      </c>
      <c r="N411" t="str">
        <f t="shared" si="18"/>
        <v>NA</v>
      </c>
      <c r="O411">
        <f>IF(AND(OR(D411="S. acutus",D411="S. californicus",D411="S. tabernaemontani"),G411=0),E411*[1]Sheet1!$D$7+[1]Sheet1!$L$7,IF(AND(OR(D411="S. acutus",D411="S. tabernaemontani"),G411&gt;0),E411*[1]Sheet1!$D$8+N411*[1]Sheet1!$E$8,IF(AND(D411="S. californicus",G411&gt;0),E411*[1]Sheet1!$D$9+N411*[1]Sheet1!$E$9,IF(D411="S. maritimus",F411*[1]Sheet1!$C$10+E411*[1]Sheet1!$D$10+G411*[1]Sheet1!$F$10+[1]Sheet1!$L$10,IF(D411="S. americanus",F411*[1]Sheet1!$C$6+E411*[1]Sheet1!$D$6+[1]Sheet1!$L$6,IF(AND(OR(D411="T. domingensis",D411="T. latifolia"),E411&gt;0),F411*[1]Sheet1!$C$4+E411*[1]Sheet1!$D$4+H411*[1]Sheet1!$J$4+I411*[1]Sheet1!$K$4+[1]Sheet1!$L$4,IF(AND(OR(D411="T. domingensis",D411="T. latifolia"),J411&gt;0),J411*[1]Sheet1!$G$5+K411*[1]Sheet1!$H$5+L411*[1]Sheet1!$I$5+[1]Sheet1!$L$5,0)))))))</f>
        <v>22.254045999999995</v>
      </c>
      <c r="P411">
        <f t="shared" si="19"/>
        <v>22.254045999999995</v>
      </c>
      <c r="S411">
        <f t="shared" si="20"/>
        <v>2.1642413509999998</v>
      </c>
    </row>
    <row r="412" spans="1:19">
      <c r="A412" s="5">
        <v>42502</v>
      </c>
      <c r="B412" t="s">
        <v>56</v>
      </c>
      <c r="C412">
        <v>28</v>
      </c>
      <c r="D412" t="s">
        <v>61</v>
      </c>
      <c r="F412" s="6">
        <v>2.7</v>
      </c>
      <c r="J412">
        <f>109+133+164+196+198+222+223+239+247</f>
        <v>1731</v>
      </c>
      <c r="K412">
        <v>9</v>
      </c>
      <c r="L412">
        <v>247</v>
      </c>
      <c r="N412" t="str">
        <f t="shared" si="18"/>
        <v>NA</v>
      </c>
      <c r="O412">
        <f>IF(AND(OR(D412="S. acutus",D412="S. californicus",D412="S. tabernaemontani"),G412=0),E412*[1]Sheet1!$D$7+[1]Sheet1!$L$7,IF(AND(OR(D412="S. acutus",D412="S. tabernaemontani"),G412&gt;0),E412*[1]Sheet1!$D$8+N412*[1]Sheet1!$E$8,IF(AND(D412="S. californicus",G412&gt;0),E412*[1]Sheet1!$D$9+N412*[1]Sheet1!$E$9,IF(D412="S. maritimus",F412*[1]Sheet1!$C$10+E412*[1]Sheet1!$D$10+G412*[1]Sheet1!$F$10+[1]Sheet1!$L$10,IF(D412="S. americanus",F412*[1]Sheet1!$C$6+E412*[1]Sheet1!$D$6+[1]Sheet1!$L$6,IF(AND(OR(D412="T. domingensis",D412="T. latifolia"),E412&gt;0),F412*[1]Sheet1!$C$4+E412*[1]Sheet1!$D$4+H412*[1]Sheet1!$J$4+I412*[1]Sheet1!$K$4+[1]Sheet1!$L$4,IF(AND(OR(D412="T. domingensis",D412="T. latifolia"),J412&gt;0),J412*[1]Sheet1!$G$5+K412*[1]Sheet1!$H$5+L412*[1]Sheet1!$I$5+[1]Sheet1!$L$5,0)))))))</f>
        <v>57.718197000000011</v>
      </c>
      <c r="P412">
        <f t="shared" si="19"/>
        <v>57.718197000000011</v>
      </c>
      <c r="S412">
        <f t="shared" si="20"/>
        <v>5.7255477750000008</v>
      </c>
    </row>
    <row r="413" spans="1:19">
      <c r="A413" s="5">
        <v>42502</v>
      </c>
      <c r="B413" t="s">
        <v>56</v>
      </c>
      <c r="C413">
        <v>13</v>
      </c>
      <c r="D413" t="s">
        <v>61</v>
      </c>
      <c r="F413" s="6">
        <v>5.21</v>
      </c>
      <c r="J413">
        <f>108+135+142+208+216+227+149</f>
        <v>1185</v>
      </c>
      <c r="K413">
        <v>7</v>
      </c>
      <c r="L413">
        <v>227</v>
      </c>
      <c r="N413" t="str">
        <f t="shared" si="18"/>
        <v>NA</v>
      </c>
      <c r="O413">
        <f>IF(AND(OR(D413="S. acutus",D413="S. californicus",D413="S. tabernaemontani"),G413=0),E413*[1]Sheet1!$D$7+[1]Sheet1!$L$7,IF(AND(OR(D413="S. acutus",D413="S. tabernaemontani"),G413&gt;0),E413*[1]Sheet1!$D$8+N413*[1]Sheet1!$E$8,IF(AND(D413="S. californicus",G413&gt;0),E413*[1]Sheet1!$D$9+N413*[1]Sheet1!$E$9,IF(D413="S. maritimus",F413*[1]Sheet1!$C$10+E413*[1]Sheet1!$D$10+G413*[1]Sheet1!$F$10+[1]Sheet1!$L$10,IF(D413="S. americanus",F413*[1]Sheet1!$C$6+E413*[1]Sheet1!$D$6+[1]Sheet1!$L$6,IF(AND(OR(D413="T. domingensis",D413="T. latifolia"),E413&gt;0),F413*[1]Sheet1!$C$4+E413*[1]Sheet1!$D$4+H413*[1]Sheet1!$J$4+I413*[1]Sheet1!$K$4+[1]Sheet1!$L$4,IF(AND(OR(D413="T. domingensis",D413="T. latifolia"),J413&gt;0),J413*[1]Sheet1!$G$5+K413*[1]Sheet1!$H$5+L413*[1]Sheet1!$I$5+[1]Sheet1!$L$5,0)))))))</f>
        <v>26.597573000000004</v>
      </c>
      <c r="P413">
        <f t="shared" si="19"/>
        <v>26.597573000000004</v>
      </c>
      <c r="S413">
        <f t="shared" si="20"/>
        <v>21.318908279749998</v>
      </c>
    </row>
    <row r="414" spans="1:19">
      <c r="A414" s="5">
        <v>42502</v>
      </c>
      <c r="B414" t="s">
        <v>56</v>
      </c>
      <c r="C414">
        <v>13</v>
      </c>
      <c r="D414" t="s">
        <v>61</v>
      </c>
      <c r="F414" s="6">
        <v>3.25</v>
      </c>
      <c r="J414">
        <f>48+68+72+66+119+136+139+166+170+175</f>
        <v>1159</v>
      </c>
      <c r="K414">
        <v>10</v>
      </c>
      <c r="L414">
        <v>175</v>
      </c>
      <c r="N414" t="str">
        <f t="shared" si="18"/>
        <v>NA</v>
      </c>
      <c r="O414">
        <f>IF(AND(OR(D414="S. acutus",D414="S. californicus",D414="S. tabernaemontani"),G414=0),E414*[1]Sheet1!$D$7+[1]Sheet1!$L$7,IF(AND(OR(D414="S. acutus",D414="S. tabernaemontani"),G414&gt;0),E414*[1]Sheet1!$D$8+N414*[1]Sheet1!$E$8,IF(AND(D414="S. californicus",G414&gt;0),E414*[1]Sheet1!$D$9+N414*[1]Sheet1!$E$9,IF(D414="S. maritimus",F414*[1]Sheet1!$C$10+E414*[1]Sheet1!$D$10+G414*[1]Sheet1!$F$10+[1]Sheet1!$L$10,IF(D414="S. americanus",F414*[1]Sheet1!$C$6+E414*[1]Sheet1!$D$6+[1]Sheet1!$L$6,IF(AND(OR(D414="T. domingensis",D414="T. latifolia"),E414&gt;0),F414*[1]Sheet1!$C$4+E414*[1]Sheet1!$D$4+H414*[1]Sheet1!$J$4+I414*[1]Sheet1!$K$4+[1]Sheet1!$L$4,IF(AND(OR(D414="T. domingensis",D414="T. latifolia"),J414&gt;0),J414*[1]Sheet1!$G$5+K414*[1]Sheet1!$H$5+L414*[1]Sheet1!$I$5+[1]Sheet1!$L$5,0)))))))</f>
        <v>18.757624000000007</v>
      </c>
      <c r="P414">
        <f t="shared" si="19"/>
        <v>18.757624000000007</v>
      </c>
      <c r="S414">
        <f t="shared" si="20"/>
        <v>8.2957610937500004</v>
      </c>
    </row>
    <row r="415" spans="1:19">
      <c r="A415" s="5">
        <v>42502</v>
      </c>
      <c r="B415" t="s">
        <v>56</v>
      </c>
      <c r="C415">
        <v>13</v>
      </c>
      <c r="D415" t="s">
        <v>61</v>
      </c>
      <c r="F415" s="6">
        <v>1.51</v>
      </c>
      <c r="J415">
        <f>49+68+85+119+123+148</f>
        <v>592</v>
      </c>
      <c r="K415">
        <v>6</v>
      </c>
      <c r="L415">
        <v>148</v>
      </c>
      <c r="N415" t="str">
        <f t="shared" si="18"/>
        <v>NA</v>
      </c>
      <c r="O415">
        <f>IF(AND(OR(D415="S. acutus",D415="S. californicus",D415="S. tabernaemontani"),G415=0),E415*[1]Sheet1!$D$7+[1]Sheet1!$L$7,IF(AND(OR(D415="S. acutus",D415="S. tabernaemontani"),G415&gt;0),E415*[1]Sheet1!$D$8+N415*[1]Sheet1!$E$8,IF(AND(D415="S. californicus",G415&gt;0),E415*[1]Sheet1!$D$9+N415*[1]Sheet1!$E$9,IF(D415="S. maritimus",F415*[1]Sheet1!$C$10+E415*[1]Sheet1!$D$10+G415*[1]Sheet1!$F$10+[1]Sheet1!$L$10,IF(D415="S. americanus",F415*[1]Sheet1!$C$6+E415*[1]Sheet1!$D$6+[1]Sheet1!$L$6,IF(AND(OR(D415="T. domingensis",D415="T. latifolia"),E415&gt;0),F415*[1]Sheet1!$C$4+E415*[1]Sheet1!$D$4+H415*[1]Sheet1!$J$4+I415*[1]Sheet1!$K$4+[1]Sheet1!$L$4,IF(AND(OR(D415="T. domingensis",D415="T. latifolia"),J415&gt;0),J415*[1]Sheet1!$G$5+K415*[1]Sheet1!$H$5+L415*[1]Sheet1!$I$5+[1]Sheet1!$L$5,0)))))))</f>
        <v>1.8215659999999971</v>
      </c>
      <c r="P415">
        <f t="shared" si="19"/>
        <v>1.8215659999999971</v>
      </c>
      <c r="S415">
        <f t="shared" si="20"/>
        <v>1.7907848397499999</v>
      </c>
    </row>
    <row r="416" spans="1:19">
      <c r="A416" s="5">
        <v>42502</v>
      </c>
      <c r="B416" t="s">
        <v>56</v>
      </c>
      <c r="C416">
        <v>13</v>
      </c>
      <c r="D416" t="s">
        <v>61</v>
      </c>
      <c r="F416" s="6">
        <v>4.6500000000000004</v>
      </c>
      <c r="J416">
        <f>92+115+138+140+154+174+180+206+205+217</f>
        <v>1621</v>
      </c>
      <c r="K416">
        <v>10</v>
      </c>
      <c r="L416">
        <v>217</v>
      </c>
      <c r="N416" t="str">
        <f t="shared" si="18"/>
        <v>NA</v>
      </c>
      <c r="O416">
        <f>IF(AND(OR(D416="S. acutus",D416="S. californicus",D416="S. tabernaemontani"),G416=0),E416*[1]Sheet1!$D$7+[1]Sheet1!$L$7,IF(AND(OR(D416="S. acutus",D416="S. tabernaemontani"),G416&gt;0),E416*[1]Sheet1!$D$8+N416*[1]Sheet1!$E$8,IF(AND(D416="S. californicus",G416&gt;0),E416*[1]Sheet1!$D$9+N416*[1]Sheet1!$E$9,IF(D416="S. maritimus",F416*[1]Sheet1!$C$10+E416*[1]Sheet1!$D$10+G416*[1]Sheet1!$F$10+[1]Sheet1!$L$10,IF(D416="S. americanus",F416*[1]Sheet1!$C$6+E416*[1]Sheet1!$D$6+[1]Sheet1!$L$6,IF(AND(OR(D416="T. domingensis",D416="T. latifolia"),E416&gt;0),F416*[1]Sheet1!$C$4+E416*[1]Sheet1!$D$4+H416*[1]Sheet1!$J$4+I416*[1]Sheet1!$K$4+[1]Sheet1!$L$4,IF(AND(OR(D416="T. domingensis",D416="T. latifolia"),J416&gt;0),J416*[1]Sheet1!$G$5+K416*[1]Sheet1!$H$5+L416*[1]Sheet1!$I$5+[1]Sheet1!$L$5,0)))))))</f>
        <v>49.420144000000001</v>
      </c>
      <c r="P416">
        <f t="shared" si="19"/>
        <v>49.420144000000001</v>
      </c>
      <c r="S416">
        <f t="shared" si="20"/>
        <v>16.982257443750001</v>
      </c>
    </row>
    <row r="417" spans="1:19">
      <c r="A417" s="5">
        <v>42502</v>
      </c>
      <c r="B417" t="s">
        <v>56</v>
      </c>
      <c r="C417">
        <v>13</v>
      </c>
      <c r="D417" t="s">
        <v>61</v>
      </c>
      <c r="F417" s="6">
        <v>4.8899999999999997</v>
      </c>
      <c r="J417">
        <f>84+94+132+143+171+173+196+209+227+230</f>
        <v>1659</v>
      </c>
      <c r="K417">
        <v>10</v>
      </c>
      <c r="L417">
        <v>230</v>
      </c>
      <c r="N417" t="str">
        <f t="shared" si="18"/>
        <v>NA</v>
      </c>
      <c r="O417">
        <f>IF(AND(OR(D417="S. acutus",D417="S. californicus",D417="S. tabernaemontani"),G417=0),E417*[1]Sheet1!$D$7+[1]Sheet1!$L$7,IF(AND(OR(D417="S. acutus",D417="S. tabernaemontani"),G417&gt;0),E417*[1]Sheet1!$D$8+N417*[1]Sheet1!$E$8,IF(AND(D417="S. californicus",G417&gt;0),E417*[1]Sheet1!$D$9+N417*[1]Sheet1!$E$9,IF(D417="S. maritimus",F417*[1]Sheet1!$C$10+E417*[1]Sheet1!$D$10+G417*[1]Sheet1!$F$10+[1]Sheet1!$L$10,IF(D417="S. americanus",F417*[1]Sheet1!$C$6+E417*[1]Sheet1!$D$6+[1]Sheet1!$L$6,IF(AND(OR(D417="T. domingensis",D417="T. latifolia"),E417&gt;0),F417*[1]Sheet1!$C$4+E417*[1]Sheet1!$D$4+H417*[1]Sheet1!$J$4+I417*[1]Sheet1!$K$4+[1]Sheet1!$L$4,IF(AND(OR(D417="T. domingensis",D417="T. latifolia"),J417&gt;0),J417*[1]Sheet1!$G$5+K417*[1]Sheet1!$H$5+L417*[1]Sheet1!$I$5+[1]Sheet1!$L$5,0)))))))</f>
        <v>49.066649000000005</v>
      </c>
      <c r="P417">
        <f t="shared" si="19"/>
        <v>49.066649000000005</v>
      </c>
      <c r="S417">
        <f t="shared" si="20"/>
        <v>18.780503559749995</v>
      </c>
    </row>
    <row r="418" spans="1:19">
      <c r="A418" s="5">
        <v>42502</v>
      </c>
      <c r="B418" t="s">
        <v>56</v>
      </c>
      <c r="C418">
        <v>13</v>
      </c>
      <c r="D418" t="s">
        <v>61</v>
      </c>
      <c r="F418" s="6">
        <v>4.9800000000000004</v>
      </c>
      <c r="J418">
        <f>42+75+107+109+142+143+178+201+218</f>
        <v>1215</v>
      </c>
      <c r="K418">
        <v>9</v>
      </c>
      <c r="L418">
        <v>218</v>
      </c>
      <c r="N418" t="str">
        <f t="shared" si="18"/>
        <v>NA</v>
      </c>
      <c r="O418">
        <f>IF(AND(OR(D418="S. acutus",D418="S. californicus",D418="S. tabernaemontani"),G418=0),E418*[1]Sheet1!$D$7+[1]Sheet1!$L$7,IF(AND(OR(D418="S. acutus",D418="S. tabernaemontani"),G418&gt;0),E418*[1]Sheet1!$D$8+N418*[1]Sheet1!$E$8,IF(AND(D418="S. californicus",G418&gt;0),E418*[1]Sheet1!$D$9+N418*[1]Sheet1!$E$9,IF(D418="S. maritimus",F418*[1]Sheet1!$C$10+E418*[1]Sheet1!$D$10+G418*[1]Sheet1!$F$10+[1]Sheet1!$L$10,IF(D418="S. americanus",F418*[1]Sheet1!$C$6+E418*[1]Sheet1!$D$6+[1]Sheet1!$L$6,IF(AND(OR(D418="T. domingensis",D418="T. latifolia"),E418&gt;0),F418*[1]Sheet1!$C$4+E418*[1]Sheet1!$D$4+H418*[1]Sheet1!$J$4+I418*[1]Sheet1!$K$4+[1]Sheet1!$L$4,IF(AND(OR(D418="T. domingensis",D418="T. latifolia"),J418&gt;0),J418*[1]Sheet1!$G$5+K418*[1]Sheet1!$H$5+L418*[1]Sheet1!$I$5+[1]Sheet1!$L$5,0)))))))</f>
        <v>18.076722000000011</v>
      </c>
      <c r="P418">
        <f t="shared" si="19"/>
        <v>18.076722000000011</v>
      </c>
      <c r="S418">
        <f t="shared" si="20"/>
        <v>19.478172159000003</v>
      </c>
    </row>
    <row r="419" spans="1:19">
      <c r="A419" s="5">
        <v>42502</v>
      </c>
      <c r="B419" t="s">
        <v>56</v>
      </c>
      <c r="C419">
        <v>13</v>
      </c>
      <c r="D419" t="s">
        <v>61</v>
      </c>
      <c r="F419" s="6">
        <v>2.0099999999999998</v>
      </c>
      <c r="J419">
        <f>71+75+53+96+95</f>
        <v>390</v>
      </c>
      <c r="K419">
        <v>5</v>
      </c>
      <c r="L419">
        <v>96</v>
      </c>
      <c r="N419" t="str">
        <f t="shared" si="18"/>
        <v>NA</v>
      </c>
      <c r="O419">
        <f>IF(AND(OR(D419="S. acutus",D419="S. californicus",D419="S. tabernaemontani"),G419=0),E419*[1]Sheet1!$D$7+[1]Sheet1!$L$7,IF(AND(OR(D419="S. acutus",D419="S. tabernaemontani"),G419&gt;0),E419*[1]Sheet1!$D$8+N419*[1]Sheet1!$E$8,IF(AND(D419="S. californicus",G419&gt;0),E419*[1]Sheet1!$D$9+N419*[1]Sheet1!$E$9,IF(D419="S. maritimus",F419*[1]Sheet1!$C$10+E419*[1]Sheet1!$D$10+G419*[1]Sheet1!$F$10+[1]Sheet1!$L$10,IF(D419="S. americanus",F419*[1]Sheet1!$C$6+E419*[1]Sheet1!$D$6+[1]Sheet1!$L$6,IF(AND(OR(D419="T. domingensis",D419="T. latifolia"),E419&gt;0),F419*[1]Sheet1!$C$4+E419*[1]Sheet1!$D$4+H419*[1]Sheet1!$J$4+I419*[1]Sheet1!$K$4+[1]Sheet1!$L$4,IF(AND(OR(D419="T. domingensis",D419="T. latifolia"),J419&gt;0),J419*[1]Sheet1!$G$5+K419*[1]Sheet1!$H$5+L419*[1]Sheet1!$I$5+[1]Sheet1!$L$5,0)))))))</f>
        <v>5.5701490000000007</v>
      </c>
      <c r="P419">
        <f t="shared" si="19"/>
        <v>5.5701490000000007</v>
      </c>
      <c r="S419">
        <f t="shared" si="20"/>
        <v>3.1730844397499989</v>
      </c>
    </row>
    <row r="420" spans="1:19">
      <c r="A420" s="5">
        <v>42502</v>
      </c>
      <c r="B420" t="s">
        <v>56</v>
      </c>
      <c r="C420">
        <v>13</v>
      </c>
      <c r="D420" t="s">
        <v>61</v>
      </c>
      <c r="F420" s="6">
        <v>5.56</v>
      </c>
      <c r="J420">
        <f>78+95+127+138+145+159+168+187+207+211</f>
        <v>1515</v>
      </c>
      <c r="K420">
        <v>10</v>
      </c>
      <c r="L420">
        <v>211</v>
      </c>
      <c r="N420" t="str">
        <f t="shared" si="18"/>
        <v>NA</v>
      </c>
      <c r="O420">
        <f>IF(AND(OR(D420="S. acutus",D420="S. californicus",D420="S. tabernaemontani"),G420=0),E420*[1]Sheet1!$D$7+[1]Sheet1!$L$7,IF(AND(OR(D420="S. acutus",D420="S. tabernaemontani"),G420&gt;0),E420*[1]Sheet1!$D$8+N420*[1]Sheet1!$E$8,IF(AND(D420="S. californicus",G420&gt;0),E420*[1]Sheet1!$D$9+N420*[1]Sheet1!$E$9,IF(D420="S. maritimus",F420*[1]Sheet1!$C$10+E420*[1]Sheet1!$D$10+G420*[1]Sheet1!$F$10+[1]Sheet1!$L$10,IF(D420="S. americanus",F420*[1]Sheet1!$C$6+E420*[1]Sheet1!$D$6+[1]Sheet1!$L$6,IF(AND(OR(D420="T. domingensis",D420="T. latifolia"),E420&gt;0),F420*[1]Sheet1!$C$4+E420*[1]Sheet1!$D$4+H420*[1]Sheet1!$J$4+I420*[1]Sheet1!$K$4+[1]Sheet1!$L$4,IF(AND(OR(D420="T. domingensis",D420="T. latifolia"),J420&gt;0),J420*[1]Sheet1!$G$5+K420*[1]Sheet1!$H$5+L420*[1]Sheet1!$I$5+[1]Sheet1!$L$5,0)))))))</f>
        <v>41.289584000000005</v>
      </c>
      <c r="P420">
        <f t="shared" si="19"/>
        <v>41.289584000000005</v>
      </c>
      <c r="S420">
        <f t="shared" si="20"/>
        <v>24.279464155999996</v>
      </c>
    </row>
    <row r="421" spans="1:19">
      <c r="A421" s="5">
        <v>42502</v>
      </c>
      <c r="B421" t="s">
        <v>56</v>
      </c>
      <c r="C421">
        <v>13</v>
      </c>
      <c r="D421" t="s">
        <v>61</v>
      </c>
      <c r="F421" s="6">
        <v>0.94</v>
      </c>
      <c r="J421">
        <f>34+46+21+49+56</f>
        <v>206</v>
      </c>
      <c r="K421">
        <v>5</v>
      </c>
      <c r="L421">
        <v>56</v>
      </c>
      <c r="N421" t="str">
        <f t="shared" si="18"/>
        <v>NA</v>
      </c>
      <c r="O421">
        <f>IF(AND(OR(D421="S. acutus",D421="S. californicus",D421="S. tabernaemontani"),G421=0),E421*[1]Sheet1!$D$7+[1]Sheet1!$L$7,IF(AND(OR(D421="S. acutus",D421="S. tabernaemontani"),G421&gt;0),E421*[1]Sheet1!$D$8+N421*[1]Sheet1!$E$8,IF(AND(D421="S. californicus",G421&gt;0),E421*[1]Sheet1!$D$9+N421*[1]Sheet1!$E$9,IF(D421="S. maritimus",F421*[1]Sheet1!$C$10+E421*[1]Sheet1!$D$10+G421*[1]Sheet1!$F$10+[1]Sheet1!$L$10,IF(D421="S. americanus",F421*[1]Sheet1!$C$6+E421*[1]Sheet1!$D$6+[1]Sheet1!$L$6,IF(AND(OR(D421="T. domingensis",D421="T. latifolia"),E421&gt;0),F421*[1]Sheet1!$C$4+E421*[1]Sheet1!$D$4+H421*[1]Sheet1!$J$4+I421*[1]Sheet1!$K$4+[1]Sheet1!$L$4,IF(AND(OR(D421="T. domingensis",D421="T. latifolia"),J421&gt;0),J421*[1]Sheet1!$G$5+K421*[1]Sheet1!$H$5+L421*[1]Sheet1!$I$5+[1]Sheet1!$L$5,0)))))))</f>
        <v>0.36902899999999761</v>
      </c>
      <c r="P421">
        <f t="shared" si="19"/>
        <v>0.36902899999999761</v>
      </c>
      <c r="S421">
        <f t="shared" si="20"/>
        <v>0.69397723099999997</v>
      </c>
    </row>
    <row r="422" spans="1:19">
      <c r="A422" s="5">
        <v>42502</v>
      </c>
      <c r="B422" t="s">
        <v>56</v>
      </c>
      <c r="C422">
        <v>13</v>
      </c>
      <c r="D422" t="s">
        <v>61</v>
      </c>
      <c r="F422" s="6">
        <v>1.82</v>
      </c>
      <c r="J422">
        <f>72+68+105+111+129+138</f>
        <v>623</v>
      </c>
      <c r="K422">
        <v>6</v>
      </c>
      <c r="L422">
        <v>138</v>
      </c>
      <c r="N422" t="str">
        <f t="shared" si="18"/>
        <v>NA</v>
      </c>
      <c r="O422">
        <f>IF(AND(OR(D422="S. acutus",D422="S. californicus",D422="S. tabernaemontani"),G422=0),E422*[1]Sheet1!$D$7+[1]Sheet1!$L$7,IF(AND(OR(D422="S. acutus",D422="S. tabernaemontani"),G422&gt;0),E422*[1]Sheet1!$D$8+N422*[1]Sheet1!$E$8,IF(AND(D422="S. californicus",G422&gt;0),E422*[1]Sheet1!$D$9+N422*[1]Sheet1!$E$9,IF(D422="S. maritimus",F422*[1]Sheet1!$C$10+E422*[1]Sheet1!$D$10+G422*[1]Sheet1!$F$10+[1]Sheet1!$L$10,IF(D422="S. americanus",F422*[1]Sheet1!$C$6+E422*[1]Sheet1!$D$6+[1]Sheet1!$L$6,IF(AND(OR(D422="T. domingensis",D422="T. latifolia"),E422&gt;0),F422*[1]Sheet1!$C$4+E422*[1]Sheet1!$D$4+H422*[1]Sheet1!$J$4+I422*[1]Sheet1!$K$4+[1]Sheet1!$L$4,IF(AND(OR(D422="T. domingensis",D422="T. latifolia"),J422&gt;0),J422*[1]Sheet1!$G$5+K422*[1]Sheet1!$H$5+L422*[1]Sheet1!$I$5+[1]Sheet1!$L$5,0)))))))</f>
        <v>7.7404209999999978</v>
      </c>
      <c r="P422">
        <f t="shared" si="19"/>
        <v>7.7404209999999978</v>
      </c>
      <c r="S422">
        <f t="shared" si="20"/>
        <v>2.6015506790000003</v>
      </c>
    </row>
    <row r="423" spans="1:19">
      <c r="A423" s="5">
        <v>42502</v>
      </c>
      <c r="B423" t="s">
        <v>56</v>
      </c>
      <c r="C423">
        <v>13</v>
      </c>
      <c r="D423" t="s">
        <v>61</v>
      </c>
      <c r="F423" s="6">
        <v>4.57</v>
      </c>
      <c r="J423">
        <f>38+54+68+99+100+108+105+126+135</f>
        <v>833</v>
      </c>
      <c r="K423">
        <v>9</v>
      </c>
      <c r="L423">
        <v>135</v>
      </c>
      <c r="N423" t="str">
        <f t="shared" si="18"/>
        <v>NA</v>
      </c>
      <c r="O423">
        <f>IF(AND(OR(D423="S. acutus",D423="S. californicus",D423="S. tabernaemontani"),G423=0),E423*[1]Sheet1!$D$7+[1]Sheet1!$L$7,IF(AND(OR(D423="S. acutus",D423="S. tabernaemontani"),G423&gt;0),E423*[1]Sheet1!$D$8+N423*[1]Sheet1!$E$8,IF(AND(D423="S. californicus",G423&gt;0),E423*[1]Sheet1!$D$9+N423*[1]Sheet1!$E$9,IF(D423="S. maritimus",F423*[1]Sheet1!$C$10+E423*[1]Sheet1!$D$10+G423*[1]Sheet1!$F$10+[1]Sheet1!$L$10,IF(D423="S. americanus",F423*[1]Sheet1!$C$6+E423*[1]Sheet1!$D$6+[1]Sheet1!$L$6,IF(AND(OR(D423="T. domingensis",D423="T. latifolia"),E423&gt;0),F423*[1]Sheet1!$C$4+E423*[1]Sheet1!$D$4+H423*[1]Sheet1!$J$4+I423*[1]Sheet1!$K$4+[1]Sheet1!$L$4,IF(AND(OR(D423="T. domingensis",D423="T. latifolia"),J423&gt;0),J423*[1]Sheet1!$G$5+K423*[1]Sheet1!$H$5+L423*[1]Sheet1!$I$5+[1]Sheet1!$L$5,0)))))))</f>
        <v>7.2656470000000013</v>
      </c>
      <c r="P423">
        <f t="shared" si="19"/>
        <v>7.2656470000000013</v>
      </c>
      <c r="S423">
        <f t="shared" si="20"/>
        <v>16.40294824775</v>
      </c>
    </row>
    <row r="424" spans="1:19">
      <c r="A424" s="5">
        <v>42502</v>
      </c>
      <c r="B424" t="s">
        <v>56</v>
      </c>
      <c r="C424">
        <v>13</v>
      </c>
      <c r="D424" t="s">
        <v>61</v>
      </c>
      <c r="F424" s="6">
        <v>4.0999999999999996</v>
      </c>
      <c r="J424">
        <f>111+140+159+159+179+188+204+205</f>
        <v>1345</v>
      </c>
      <c r="K424">
        <v>8</v>
      </c>
      <c r="L424">
        <v>205</v>
      </c>
      <c r="N424" t="str">
        <f t="shared" si="18"/>
        <v>NA</v>
      </c>
      <c r="O424">
        <f>IF(AND(OR(D424="S. acutus",D424="S. californicus",D424="S. tabernaemontani"),G424=0),E424*[1]Sheet1!$D$7+[1]Sheet1!$L$7,IF(AND(OR(D424="S. acutus",D424="S. tabernaemontani"),G424&gt;0),E424*[1]Sheet1!$D$8+N424*[1]Sheet1!$E$8,IF(AND(D424="S. californicus",G424&gt;0),E424*[1]Sheet1!$D$9+N424*[1]Sheet1!$E$9,IF(D424="S. maritimus",F424*[1]Sheet1!$C$10+E424*[1]Sheet1!$D$10+G424*[1]Sheet1!$F$10+[1]Sheet1!$L$10,IF(D424="S. americanus",F424*[1]Sheet1!$C$6+E424*[1]Sheet1!$D$6+[1]Sheet1!$L$6,IF(AND(OR(D424="T. domingensis",D424="T. latifolia"),E424&gt;0),F424*[1]Sheet1!$C$4+E424*[1]Sheet1!$D$4+H424*[1]Sheet1!$J$4+I424*[1]Sheet1!$K$4+[1]Sheet1!$L$4,IF(AND(OR(D424="T. domingensis",D424="T. latifolia"),J424&gt;0),J424*[1]Sheet1!$G$5+K424*[1]Sheet1!$H$5+L424*[1]Sheet1!$I$5+[1]Sheet1!$L$5,0)))))))</f>
        <v>41.203409999999998</v>
      </c>
      <c r="P424">
        <f t="shared" si="19"/>
        <v>41.203409999999998</v>
      </c>
      <c r="S424">
        <f t="shared" si="20"/>
        <v>13.202531974999998</v>
      </c>
    </row>
    <row r="425" spans="1:19">
      <c r="A425" s="5">
        <v>42502</v>
      </c>
      <c r="B425" t="s">
        <v>56</v>
      </c>
      <c r="C425">
        <v>6</v>
      </c>
      <c r="M425" t="s">
        <v>67</v>
      </c>
      <c r="N425" t="str">
        <f t="shared" si="18"/>
        <v>NA</v>
      </c>
      <c r="O425">
        <f>IF(AND(OR(D425="S. acutus",D425="S. californicus",D425="S. tabernaemontani"),G425=0),E425*[1]Sheet1!$D$7+[1]Sheet1!$L$7,IF(AND(OR(D425="S. acutus",D425="S. tabernaemontani"),G425&gt;0),E425*[1]Sheet1!$D$8+N425*[1]Sheet1!$E$8,IF(AND(D425="S. californicus",G425&gt;0),E425*[1]Sheet1!$D$9+N425*[1]Sheet1!$E$9,IF(D425="S. maritimus",F425*[1]Sheet1!$C$10+E425*[1]Sheet1!$D$10+G425*[1]Sheet1!$F$10+[1]Sheet1!$L$10,IF(D425="S. americanus",F425*[1]Sheet1!$C$6+E425*[1]Sheet1!$D$6+[1]Sheet1!$L$6,IF(AND(OR(D425="T. domingensis",D425="T. latifolia"),E425&gt;0),F425*[1]Sheet1!$C$4+E425*[1]Sheet1!$D$4+H425*[1]Sheet1!$J$4+I425*[1]Sheet1!$K$4+[1]Sheet1!$L$4,IF(AND(OR(D425="T. domingensis",D425="T. latifolia"),J425&gt;0),J425*[1]Sheet1!$G$5+K425*[1]Sheet1!$H$5+L425*[1]Sheet1!$I$5+[1]Sheet1!$L$5,0)))))))</f>
        <v>0</v>
      </c>
      <c r="P425">
        <f t="shared" si="19"/>
        <v>0</v>
      </c>
      <c r="S425">
        <f t="shared" si="20"/>
        <v>0</v>
      </c>
    </row>
    <row r="426" spans="1:19">
      <c r="A426" s="5">
        <v>42502</v>
      </c>
      <c r="B426" t="s">
        <v>56</v>
      </c>
      <c r="C426">
        <v>2</v>
      </c>
      <c r="D426" t="s">
        <v>62</v>
      </c>
      <c r="E426">
        <v>81</v>
      </c>
      <c r="F426" s="6">
        <v>0.18</v>
      </c>
      <c r="G426">
        <v>5</v>
      </c>
      <c r="N426">
        <f t="shared" si="18"/>
        <v>0.68706573299999985</v>
      </c>
      <c r="O426">
        <f>IF(AND(OR(D426="S. acutus",D426="S. californicus",D426="S. tabernaemontani"),G426=0),E426*[1]Sheet1!$D$7+[1]Sheet1!$L$7,IF(AND(OR(D426="S. acutus",D426="S. tabernaemontani"),G426&gt;0),E426*[1]Sheet1!$D$8+N426*[1]Sheet1!$E$8,IF(AND(D426="S. californicus",G426&gt;0),E426*[1]Sheet1!$D$9+N426*[1]Sheet1!$E$9,IF(D426="S. maritimus",F426*[1]Sheet1!$C$10+E426*[1]Sheet1!$D$10+G426*[1]Sheet1!$F$10+[1]Sheet1!$L$10,IF(D426="S. americanus",F426*[1]Sheet1!$C$6+E426*[1]Sheet1!$D$6+[1]Sheet1!$L$6,IF(AND(OR(D426="T. domingensis",D426="T. latifolia"),E426&gt;0),F426*[1]Sheet1!$C$4+E426*[1]Sheet1!$D$4+H426*[1]Sheet1!$J$4+I426*[1]Sheet1!$K$4+[1]Sheet1!$L$4,IF(AND(OR(D426="T. domingensis",D426="T. latifolia"),J426&gt;0),J426*[1]Sheet1!$G$5+K426*[1]Sheet1!$H$5+L426*[1]Sheet1!$I$5+[1]Sheet1!$L$5,0)))))))</f>
        <v>2.0236074290850423</v>
      </c>
      <c r="P426">
        <f t="shared" si="19"/>
        <v>2.0236074290850423</v>
      </c>
      <c r="S426">
        <f t="shared" si="20"/>
        <v>2.5446878999999999E-2</v>
      </c>
    </row>
    <row r="427" spans="1:19">
      <c r="A427" s="5">
        <v>42502</v>
      </c>
      <c r="B427" t="s">
        <v>56</v>
      </c>
      <c r="C427">
        <v>2</v>
      </c>
      <c r="D427" t="s">
        <v>62</v>
      </c>
      <c r="E427">
        <v>43</v>
      </c>
      <c r="F427" s="6">
        <v>0.6</v>
      </c>
      <c r="N427">
        <f t="shared" si="18"/>
        <v>4.0526510999999994</v>
      </c>
      <c r="O427">
        <f>IF(AND(OR(D427="S. acutus",D427="S. californicus",D427="S. tabernaemontani"),G427=0),E427*[1]Sheet1!$D$7+[1]Sheet1!$L$7,IF(AND(OR(D427="S. acutus",D427="S. tabernaemontani"),G427&gt;0),E427*[1]Sheet1!$D$8+N427*[1]Sheet1!$E$8,IF(AND(D427="S. californicus",G427&gt;0),E427*[1]Sheet1!$D$9+N427*[1]Sheet1!$E$9,IF(D427="S. maritimus",F427*[1]Sheet1!$C$10+E427*[1]Sheet1!$D$10+G427*[1]Sheet1!$F$10+[1]Sheet1!$L$10,IF(D427="S. americanus",F427*[1]Sheet1!$C$6+E427*[1]Sheet1!$D$6+[1]Sheet1!$L$6,IF(AND(OR(D427="T. domingensis",D427="T. latifolia"),E427&gt;0),F427*[1]Sheet1!$C$4+E427*[1]Sheet1!$D$4+H427*[1]Sheet1!$J$4+I427*[1]Sheet1!$K$4+[1]Sheet1!$L$4,IF(AND(OR(D427="T. domingensis",D427="T. latifolia"),J427&gt;0),J427*[1]Sheet1!$G$5+K427*[1]Sheet1!$H$5+L427*[1]Sheet1!$I$5+[1]Sheet1!$L$5,0)))))))</f>
        <v>-1.576082</v>
      </c>
      <c r="P427" t="str">
        <f t="shared" si="19"/>
        <v xml:space="preserve"> </v>
      </c>
      <c r="S427">
        <f t="shared" si="20"/>
        <v>0.28274309999999997</v>
      </c>
    </row>
    <row r="428" spans="1:19">
      <c r="A428" s="5">
        <v>42502</v>
      </c>
      <c r="B428" t="s">
        <v>56</v>
      </c>
      <c r="C428">
        <v>2</v>
      </c>
      <c r="D428" t="s">
        <v>62</v>
      </c>
      <c r="E428">
        <v>102</v>
      </c>
      <c r="F428" s="6">
        <v>0.13</v>
      </c>
      <c r="N428">
        <f t="shared" si="18"/>
        <v>0.45128940349999996</v>
      </c>
      <c r="O428">
        <f>IF(AND(OR(D428="S. acutus",D428="S. californicus",D428="S. tabernaemontani"),G428=0),E428*[1]Sheet1!$D$7+[1]Sheet1!$L$7,IF(AND(OR(D428="S. acutus",D428="S. tabernaemontani"),G428&gt;0),E428*[1]Sheet1!$D$8+N428*[1]Sheet1!$E$8,IF(AND(D428="S. californicus",G428&gt;0),E428*[1]Sheet1!$D$9+N428*[1]Sheet1!$E$9,IF(D428="S. maritimus",F428*[1]Sheet1!$C$10+E428*[1]Sheet1!$D$10+G428*[1]Sheet1!$F$10+[1]Sheet1!$L$10,IF(D428="S. americanus",F428*[1]Sheet1!$C$6+E428*[1]Sheet1!$D$6+[1]Sheet1!$L$6,IF(AND(OR(D428="T. domingensis",D428="T. latifolia"),E428&gt;0),F428*[1]Sheet1!$C$4+E428*[1]Sheet1!$D$4+H428*[1]Sheet1!$J$4+I428*[1]Sheet1!$K$4+[1]Sheet1!$L$4,IF(AND(OR(D428="T. domingensis",D428="T. latifolia"),J428&gt;0),J428*[1]Sheet1!$G$5+K428*[1]Sheet1!$H$5+L428*[1]Sheet1!$I$5+[1]Sheet1!$L$5,0)))))))</f>
        <v>2.5601130000000003</v>
      </c>
      <c r="P428">
        <f t="shared" si="19"/>
        <v>2.5601130000000003</v>
      </c>
      <c r="S428">
        <f t="shared" si="20"/>
        <v>1.3273217750000002E-2</v>
      </c>
    </row>
    <row r="429" spans="1:19">
      <c r="A429" s="5">
        <v>42502</v>
      </c>
      <c r="B429" t="s">
        <v>56</v>
      </c>
      <c r="C429">
        <v>2</v>
      </c>
      <c r="D429" t="s">
        <v>62</v>
      </c>
      <c r="E429">
        <v>103</v>
      </c>
      <c r="F429" s="6">
        <v>0.03</v>
      </c>
      <c r="N429">
        <f t="shared" si="18"/>
        <v>2.4268782749999995E-2</v>
      </c>
      <c r="O429">
        <f>IF(AND(OR(D429="S. acutus",D429="S. californicus",D429="S. tabernaemontani"),G429=0),E429*[1]Sheet1!$D$7+[1]Sheet1!$L$7,IF(AND(OR(D429="S. acutus",D429="S. tabernaemontani"),G429&gt;0),E429*[1]Sheet1!$D$8+N429*[1]Sheet1!$E$8,IF(AND(D429="S. californicus",G429&gt;0),E429*[1]Sheet1!$D$9+N429*[1]Sheet1!$E$9,IF(D429="S. maritimus",F429*[1]Sheet1!$C$10+E429*[1]Sheet1!$D$10+G429*[1]Sheet1!$F$10+[1]Sheet1!$L$10,IF(D429="S. americanus",F429*[1]Sheet1!$C$6+E429*[1]Sheet1!$D$6+[1]Sheet1!$L$6,IF(AND(OR(D429="T. domingensis",D429="T. latifolia"),E429&gt;0),F429*[1]Sheet1!$C$4+E429*[1]Sheet1!$D$4+H429*[1]Sheet1!$J$4+I429*[1]Sheet1!$K$4+[1]Sheet1!$L$4,IF(AND(OR(D429="T. domingensis",D429="T. latifolia"),J429&gt;0),J429*[1]Sheet1!$G$5+K429*[1]Sheet1!$H$5+L429*[1]Sheet1!$I$5+[1]Sheet1!$L$5,0)))))))</f>
        <v>2.6302180000000002</v>
      </c>
      <c r="P429">
        <f t="shared" si="19"/>
        <v>2.6302180000000002</v>
      </c>
      <c r="S429">
        <f t="shared" si="20"/>
        <v>7.068577499999999E-4</v>
      </c>
    </row>
    <row r="430" spans="1:19">
      <c r="A430" s="5">
        <v>42502</v>
      </c>
      <c r="B430" t="s">
        <v>56</v>
      </c>
      <c r="C430">
        <v>2</v>
      </c>
      <c r="D430" t="s">
        <v>62</v>
      </c>
      <c r="E430">
        <v>93</v>
      </c>
      <c r="F430" s="6">
        <v>1.1299999999999999</v>
      </c>
      <c r="N430">
        <f t="shared" si="18"/>
        <v>31.089096100249989</v>
      </c>
      <c r="O430">
        <f>IF(AND(OR(D430="S. acutus",D430="S. californicus",D430="S. tabernaemontani"),G430=0),E430*[1]Sheet1!$D$7+[1]Sheet1!$L$7,IF(AND(OR(D430="S. acutus",D430="S. tabernaemontani"),G430&gt;0),E430*[1]Sheet1!$D$8+N430*[1]Sheet1!$E$8,IF(AND(D430="S. californicus",G430&gt;0),E430*[1]Sheet1!$D$9+N430*[1]Sheet1!$E$9,IF(D430="S. maritimus",F430*[1]Sheet1!$C$10+E430*[1]Sheet1!$D$10+G430*[1]Sheet1!$F$10+[1]Sheet1!$L$10,IF(D430="S. americanus",F430*[1]Sheet1!$C$6+E430*[1]Sheet1!$D$6+[1]Sheet1!$L$6,IF(AND(OR(D430="T. domingensis",D430="T. latifolia"),E430&gt;0),F430*[1]Sheet1!$C$4+E430*[1]Sheet1!$D$4+H430*[1]Sheet1!$J$4+I430*[1]Sheet1!$K$4+[1]Sheet1!$L$4,IF(AND(OR(D430="T. domingensis",D430="T. latifolia"),J430&gt;0),J430*[1]Sheet1!$G$5+K430*[1]Sheet1!$H$5+L430*[1]Sheet1!$I$5+[1]Sheet1!$L$5,0)))))))</f>
        <v>1.9291680000000007</v>
      </c>
      <c r="P430">
        <f t="shared" si="19"/>
        <v>1.9291680000000007</v>
      </c>
      <c r="S430">
        <f t="shared" si="20"/>
        <v>1.0028740677499997</v>
      </c>
    </row>
    <row r="431" spans="1:19">
      <c r="A431" s="5">
        <v>42502</v>
      </c>
      <c r="B431" t="s">
        <v>56</v>
      </c>
      <c r="C431">
        <v>2</v>
      </c>
      <c r="D431" t="s">
        <v>62</v>
      </c>
      <c r="E431">
        <v>56</v>
      </c>
      <c r="F431" s="6">
        <v>0.92</v>
      </c>
      <c r="N431">
        <f t="shared" si="18"/>
        <v>12.408861621333333</v>
      </c>
      <c r="O431">
        <f>IF(AND(OR(D431="S. acutus",D431="S. californicus",D431="S. tabernaemontani"),G431=0),E431*[1]Sheet1!$D$7+[1]Sheet1!$L$7,IF(AND(OR(D431="S. acutus",D431="S. tabernaemontani"),G431&gt;0),E431*[1]Sheet1!$D$8+N431*[1]Sheet1!$E$8,IF(AND(D431="S. californicus",G431&gt;0),E431*[1]Sheet1!$D$9+N431*[1]Sheet1!$E$9,IF(D431="S. maritimus",F431*[1]Sheet1!$C$10+E431*[1]Sheet1!$D$10+G431*[1]Sheet1!$F$10+[1]Sheet1!$L$10,IF(D431="S. americanus",F431*[1]Sheet1!$C$6+E431*[1]Sheet1!$D$6+[1]Sheet1!$L$6,IF(AND(OR(D431="T. domingensis",D431="T. latifolia"),E431&gt;0),F431*[1]Sheet1!$C$4+E431*[1]Sheet1!$D$4+H431*[1]Sheet1!$J$4+I431*[1]Sheet1!$K$4+[1]Sheet1!$L$4,IF(AND(OR(D431="T. domingensis",D431="T. latifolia"),J431&gt;0),J431*[1]Sheet1!$G$5+K431*[1]Sheet1!$H$5+L431*[1]Sheet1!$I$5+[1]Sheet1!$L$5,0)))))))</f>
        <v>-0.66471699999999956</v>
      </c>
      <c r="P431" t="str">
        <f t="shared" si="19"/>
        <v xml:space="preserve"> </v>
      </c>
      <c r="S431">
        <f t="shared" si="20"/>
        <v>0.66476044400000001</v>
      </c>
    </row>
    <row r="432" spans="1:19">
      <c r="A432" s="5">
        <v>42502</v>
      </c>
      <c r="B432" t="s">
        <v>56</v>
      </c>
      <c r="C432">
        <v>2</v>
      </c>
      <c r="D432" t="s">
        <v>62</v>
      </c>
      <c r="E432">
        <v>109</v>
      </c>
      <c r="F432" s="6">
        <v>1.48</v>
      </c>
      <c r="G432">
        <v>3</v>
      </c>
      <c r="N432">
        <f t="shared" si="18"/>
        <v>62.505493518666661</v>
      </c>
      <c r="O432">
        <f>IF(AND(OR(D432="S. acutus",D432="S. californicus",D432="S. tabernaemontani"),G432=0),E432*[1]Sheet1!$D$7+[1]Sheet1!$L$7,IF(AND(OR(D432="S. acutus",D432="S. tabernaemontani"),G432&gt;0),E432*[1]Sheet1!$D$8+N432*[1]Sheet1!$E$8,IF(AND(D432="S. californicus",G432&gt;0),E432*[1]Sheet1!$D$9+N432*[1]Sheet1!$E$9,IF(D432="S. maritimus",F432*[1]Sheet1!$C$10+E432*[1]Sheet1!$D$10+G432*[1]Sheet1!$F$10+[1]Sheet1!$L$10,IF(D432="S. americanus",F432*[1]Sheet1!$C$6+E432*[1]Sheet1!$D$6+[1]Sheet1!$L$6,IF(AND(OR(D432="T. domingensis",D432="T. latifolia"),E432&gt;0),F432*[1]Sheet1!$C$4+E432*[1]Sheet1!$D$4+H432*[1]Sheet1!$J$4+I432*[1]Sheet1!$K$4+[1]Sheet1!$L$4,IF(AND(OR(D432="T. domingensis",D432="T. latifolia"),J432&gt;0),J432*[1]Sheet1!$G$5+K432*[1]Sheet1!$H$5+L432*[1]Sheet1!$I$5+[1]Sheet1!$L$5,0)))))))</f>
        <v>6.2747442331955812</v>
      </c>
      <c r="P432">
        <f t="shared" si="19"/>
        <v>6.2747442331955812</v>
      </c>
      <c r="S432">
        <f t="shared" si="20"/>
        <v>1.7203346839999998</v>
      </c>
    </row>
    <row r="433" spans="1:19">
      <c r="A433" s="5">
        <v>42502</v>
      </c>
      <c r="B433" t="s">
        <v>56</v>
      </c>
      <c r="C433">
        <v>2</v>
      </c>
      <c r="D433" t="s">
        <v>62</v>
      </c>
      <c r="E433">
        <v>222</v>
      </c>
      <c r="F433" s="6">
        <v>0.87</v>
      </c>
      <c r="G433">
        <v>3</v>
      </c>
      <c r="N433">
        <f t="shared" si="18"/>
        <v>43.990585213499998</v>
      </c>
      <c r="O433">
        <f>IF(AND(OR(D433="S. acutus",D433="S. californicus",D433="S. tabernaemontani"),G433=0),E433*[1]Sheet1!$D$7+[1]Sheet1!$L$7,IF(AND(OR(D433="S. acutus",D433="S. tabernaemontani"),G433&gt;0),E433*[1]Sheet1!$D$8+N433*[1]Sheet1!$E$8,IF(AND(D433="S. californicus",G433&gt;0),E433*[1]Sheet1!$D$9+N433*[1]Sheet1!$E$9,IF(D433="S. maritimus",F433*[1]Sheet1!$C$10+E433*[1]Sheet1!$D$10+G433*[1]Sheet1!$F$10+[1]Sheet1!$L$10,IF(D433="S. americanus",F433*[1]Sheet1!$C$6+E433*[1]Sheet1!$D$6+[1]Sheet1!$L$6,IF(AND(OR(D433="T. domingensis",D433="T. latifolia"),E433&gt;0),F433*[1]Sheet1!$C$4+E433*[1]Sheet1!$D$4+H433*[1]Sheet1!$J$4+I433*[1]Sheet1!$K$4+[1]Sheet1!$L$4,IF(AND(OR(D433="T. domingensis",D433="T. latifolia"),J433&gt;0),J433*[1]Sheet1!$G$5+K433*[1]Sheet1!$H$5+L433*[1]Sheet1!$I$5+[1]Sheet1!$L$5,0)))))))</f>
        <v>7.9746922116033989</v>
      </c>
      <c r="P433">
        <f t="shared" si="19"/>
        <v>7.9746922116033989</v>
      </c>
      <c r="S433">
        <f t="shared" si="20"/>
        <v>0.59446736774999998</v>
      </c>
    </row>
    <row r="434" spans="1:19">
      <c r="A434" s="5">
        <v>42502</v>
      </c>
      <c r="B434" t="s">
        <v>56</v>
      </c>
      <c r="C434">
        <v>2</v>
      </c>
      <c r="D434" t="s">
        <v>62</v>
      </c>
      <c r="E434">
        <v>117</v>
      </c>
      <c r="F434" s="6">
        <v>0.38</v>
      </c>
      <c r="N434">
        <f t="shared" si="18"/>
        <v>4.4230445610000002</v>
      </c>
      <c r="O434">
        <f>IF(AND(OR(D434="S. acutus",D434="S. californicus",D434="S. tabernaemontani"),G434=0),E434*[1]Sheet1!$D$7+[1]Sheet1!$L$7,IF(AND(OR(D434="S. acutus",D434="S. tabernaemontani"),G434&gt;0),E434*[1]Sheet1!$D$8+N434*[1]Sheet1!$E$8,IF(AND(D434="S. californicus",G434&gt;0),E434*[1]Sheet1!$D$9+N434*[1]Sheet1!$E$9,IF(D434="S. maritimus",F434*[1]Sheet1!$C$10+E434*[1]Sheet1!$D$10+G434*[1]Sheet1!$F$10+[1]Sheet1!$L$10,IF(D434="S. americanus",F434*[1]Sheet1!$C$6+E434*[1]Sheet1!$D$6+[1]Sheet1!$L$6,IF(AND(OR(D434="T. domingensis",D434="T. latifolia"),E434&gt;0),F434*[1]Sheet1!$C$4+E434*[1]Sheet1!$D$4+H434*[1]Sheet1!$J$4+I434*[1]Sheet1!$K$4+[1]Sheet1!$L$4,IF(AND(OR(D434="T. domingensis",D434="T. latifolia"),J434&gt;0),J434*[1]Sheet1!$G$5+K434*[1]Sheet1!$H$5+L434*[1]Sheet1!$I$5+[1]Sheet1!$L$5,0)))))))</f>
        <v>3.611688</v>
      </c>
      <c r="P434">
        <f t="shared" si="19"/>
        <v>3.611688</v>
      </c>
      <c r="S434">
        <f t="shared" si="20"/>
        <v>0.113411399</v>
      </c>
    </row>
    <row r="435" spans="1:19">
      <c r="A435" s="5">
        <v>42502</v>
      </c>
      <c r="B435" t="s">
        <v>56</v>
      </c>
      <c r="C435">
        <v>2</v>
      </c>
      <c r="D435" t="s">
        <v>62</v>
      </c>
      <c r="E435">
        <v>100</v>
      </c>
      <c r="F435" s="6">
        <v>0.78</v>
      </c>
      <c r="N435">
        <f t="shared" si="18"/>
        <v>15.927861299999998</v>
      </c>
      <c r="O435">
        <f>IF(AND(OR(D435="S. acutus",D435="S. californicus",D435="S. tabernaemontani"),G435=0),E435*[1]Sheet1!$D$7+[1]Sheet1!$L$7,IF(AND(OR(D435="S. acutus",D435="S. tabernaemontani"),G435&gt;0),E435*[1]Sheet1!$D$8+N435*[1]Sheet1!$E$8,IF(AND(D435="S. californicus",G435&gt;0),E435*[1]Sheet1!$D$9+N435*[1]Sheet1!$E$9,IF(D435="S. maritimus",F435*[1]Sheet1!$C$10+E435*[1]Sheet1!$D$10+G435*[1]Sheet1!$F$10+[1]Sheet1!$L$10,IF(D435="S. americanus",F435*[1]Sheet1!$C$6+E435*[1]Sheet1!$D$6+[1]Sheet1!$L$6,IF(AND(OR(D435="T. domingensis",D435="T. latifolia"),E435&gt;0),F435*[1]Sheet1!$C$4+E435*[1]Sheet1!$D$4+H435*[1]Sheet1!$J$4+I435*[1]Sheet1!$K$4+[1]Sheet1!$L$4,IF(AND(OR(D435="T. domingensis",D435="T. latifolia"),J435&gt;0),J435*[1]Sheet1!$G$5+K435*[1]Sheet1!$H$5+L435*[1]Sheet1!$I$5+[1]Sheet1!$L$5,0)))))))</f>
        <v>2.4199030000000006</v>
      </c>
      <c r="P435">
        <f t="shared" si="19"/>
        <v>2.4199030000000006</v>
      </c>
      <c r="S435">
        <f t="shared" si="20"/>
        <v>0.47783583900000004</v>
      </c>
    </row>
    <row r="436" spans="1:19">
      <c r="A436" s="5">
        <v>42502</v>
      </c>
      <c r="B436" t="s">
        <v>56</v>
      </c>
      <c r="C436">
        <v>2</v>
      </c>
      <c r="D436" t="s">
        <v>62</v>
      </c>
      <c r="E436">
        <v>85</v>
      </c>
      <c r="F436" s="6">
        <v>0.8</v>
      </c>
      <c r="G436">
        <v>3</v>
      </c>
      <c r="N436">
        <f t="shared" si="18"/>
        <v>14.241874666666668</v>
      </c>
      <c r="O436">
        <f>IF(AND(OR(D436="S. acutus",D436="S. californicus",D436="S. tabernaemontani"),G436=0),E436*[1]Sheet1!$D$7+[1]Sheet1!$L$7,IF(AND(OR(D436="S. acutus",D436="S. tabernaemontani"),G436&gt;0),E436*[1]Sheet1!$D$8+N436*[1]Sheet1!$E$8,IF(AND(D436="S. californicus",G436&gt;0),E436*[1]Sheet1!$D$9+N436*[1]Sheet1!$E$9,IF(D436="S. maritimus",F436*[1]Sheet1!$C$10+E436*[1]Sheet1!$D$10+G436*[1]Sheet1!$F$10+[1]Sheet1!$L$10,IF(D436="S. americanus",F436*[1]Sheet1!$C$6+E436*[1]Sheet1!$D$6+[1]Sheet1!$L$6,IF(AND(OR(D436="T. domingensis",D436="T. latifolia"),E436&gt;0),F436*[1]Sheet1!$C$4+E436*[1]Sheet1!$D$4+H436*[1]Sheet1!$J$4+I436*[1]Sheet1!$K$4+[1]Sheet1!$L$4,IF(AND(OR(D436="T. domingensis",D436="T. latifolia"),J436&gt;0),J436*[1]Sheet1!$G$5+K436*[1]Sheet1!$H$5+L436*[1]Sheet1!$I$5+[1]Sheet1!$L$5,0)))))))</f>
        <v>2.9033418795253336</v>
      </c>
      <c r="P436">
        <f t="shared" si="19"/>
        <v>2.9033418795253336</v>
      </c>
      <c r="S436">
        <f t="shared" si="20"/>
        <v>0.50265440000000006</v>
      </c>
    </row>
    <row r="437" spans="1:19">
      <c r="A437" s="5">
        <v>42502</v>
      </c>
      <c r="B437" t="s">
        <v>56</v>
      </c>
      <c r="C437">
        <v>2</v>
      </c>
      <c r="D437" t="s">
        <v>62</v>
      </c>
      <c r="E437">
        <v>85</v>
      </c>
      <c r="F437" s="6">
        <v>0.17</v>
      </c>
      <c r="N437">
        <f t="shared" si="18"/>
        <v>0.64310965291666666</v>
      </c>
      <c r="O437">
        <f>IF(AND(OR(D437="S. acutus",D437="S. californicus",D437="S. tabernaemontani"),G437=0),E437*[1]Sheet1!$D$7+[1]Sheet1!$L$7,IF(AND(OR(D437="S. acutus",D437="S. tabernaemontani"),G437&gt;0),E437*[1]Sheet1!$D$8+N437*[1]Sheet1!$E$8,IF(AND(D437="S. californicus",G437&gt;0),E437*[1]Sheet1!$D$9+N437*[1]Sheet1!$E$9,IF(D437="S. maritimus",F437*[1]Sheet1!$C$10+E437*[1]Sheet1!$D$10+G437*[1]Sheet1!$F$10+[1]Sheet1!$L$10,IF(D437="S. americanus",F437*[1]Sheet1!$C$6+E437*[1]Sheet1!$D$6+[1]Sheet1!$L$6,IF(AND(OR(D437="T. domingensis",D437="T. latifolia"),E437&gt;0),F437*[1]Sheet1!$C$4+E437*[1]Sheet1!$D$4+H437*[1]Sheet1!$J$4+I437*[1]Sheet1!$K$4+[1]Sheet1!$L$4,IF(AND(OR(D437="T. domingensis",D437="T. latifolia"),J437&gt;0),J437*[1]Sheet1!$G$5+K437*[1]Sheet1!$H$5+L437*[1]Sheet1!$I$5+[1]Sheet1!$L$5,0)))))))</f>
        <v>1.368328</v>
      </c>
      <c r="P437">
        <f t="shared" si="19"/>
        <v>1.368328</v>
      </c>
      <c r="S437">
        <f t="shared" si="20"/>
        <v>2.2697987750000002E-2</v>
      </c>
    </row>
    <row r="438" spans="1:19">
      <c r="A438" s="5">
        <v>42502</v>
      </c>
      <c r="B438" t="s">
        <v>56</v>
      </c>
      <c r="C438">
        <v>2</v>
      </c>
      <c r="D438" t="s">
        <v>62</v>
      </c>
      <c r="E438">
        <v>89</v>
      </c>
      <c r="F438" s="6">
        <v>0.69</v>
      </c>
      <c r="G438">
        <v>3</v>
      </c>
      <c r="N438">
        <f t="shared" si="18"/>
        <v>11.093189909249997</v>
      </c>
      <c r="O438">
        <f>IF(AND(OR(D438="S. acutus",D438="S. californicus",D438="S. tabernaemontani"),G438=0),E438*[1]Sheet1!$D$7+[1]Sheet1!$L$7,IF(AND(OR(D438="S. acutus",D438="S. tabernaemontani"),G438&gt;0),E438*[1]Sheet1!$D$8+N438*[1]Sheet1!$E$8,IF(AND(D438="S. californicus",G438&gt;0),E438*[1]Sheet1!$D$9+N438*[1]Sheet1!$E$9,IF(D438="S. maritimus",F438*[1]Sheet1!$C$10+E438*[1]Sheet1!$D$10+G438*[1]Sheet1!$F$10+[1]Sheet1!$L$10,IF(D438="S. americanus",F438*[1]Sheet1!$C$6+E438*[1]Sheet1!$D$6+[1]Sheet1!$L$6,IF(AND(OR(D438="T. domingensis",D438="T. latifolia"),E438&gt;0),F438*[1]Sheet1!$C$4+E438*[1]Sheet1!$D$4+H438*[1]Sheet1!$J$4+I438*[1]Sheet1!$K$4+[1]Sheet1!$L$4,IF(AND(OR(D438="T. domingensis",D438="T. latifolia"),J438&gt;0),J438*[1]Sheet1!$G$5+K438*[1]Sheet1!$H$5+L438*[1]Sheet1!$I$5+[1]Sheet1!$L$5,0)))))))</f>
        <v>2.8197190348260843</v>
      </c>
      <c r="P438">
        <f t="shared" si="19"/>
        <v>2.8197190348260843</v>
      </c>
      <c r="S438">
        <f t="shared" si="20"/>
        <v>0.37392774974999993</v>
      </c>
    </row>
    <row r="439" spans="1:19">
      <c r="A439" s="5">
        <v>42502</v>
      </c>
      <c r="B439" t="s">
        <v>56</v>
      </c>
      <c r="C439">
        <v>2</v>
      </c>
      <c r="D439" t="s">
        <v>62</v>
      </c>
      <c r="E439">
        <v>102</v>
      </c>
      <c r="F439" s="6">
        <v>0.93</v>
      </c>
      <c r="G439">
        <v>2</v>
      </c>
      <c r="N439">
        <f t="shared" si="18"/>
        <v>23.095870123500003</v>
      </c>
      <c r="O439">
        <f>IF(AND(OR(D439="S. acutus",D439="S. californicus",D439="S. tabernaemontani"),G439=0),E439*[1]Sheet1!$D$7+[1]Sheet1!$L$7,IF(AND(OR(D439="S. acutus",D439="S. tabernaemontani"),G439&gt;0),E439*[1]Sheet1!$D$8+N439*[1]Sheet1!$E$8,IF(AND(D439="S. californicus",G439&gt;0),E439*[1]Sheet1!$D$9+N439*[1]Sheet1!$E$9,IF(D439="S. maritimus",F439*[1]Sheet1!$C$10+E439*[1]Sheet1!$D$10+G439*[1]Sheet1!$F$10+[1]Sheet1!$L$10,IF(D439="S. americanus",F439*[1]Sheet1!$C$6+E439*[1]Sheet1!$D$6+[1]Sheet1!$L$6,IF(AND(OR(D439="T. domingensis",D439="T. latifolia"),E439&gt;0),F439*[1]Sheet1!$C$4+E439*[1]Sheet1!$D$4+H439*[1]Sheet1!$J$4+I439*[1]Sheet1!$K$4+[1]Sheet1!$L$4,IF(AND(OR(D439="T. domingensis",D439="T. latifolia"),J439&gt;0),J439*[1]Sheet1!$G$5+K439*[1]Sheet1!$H$5+L439*[1]Sheet1!$I$5+[1]Sheet1!$L$5,0)))))))</f>
        <v>3.8303784135027392</v>
      </c>
      <c r="P439">
        <f t="shared" si="19"/>
        <v>3.8303784135027392</v>
      </c>
      <c r="S439">
        <f t="shared" si="20"/>
        <v>0.67929029775000005</v>
      </c>
    </row>
    <row r="440" spans="1:19">
      <c r="A440" s="5">
        <v>42502</v>
      </c>
      <c r="B440" t="s">
        <v>56</v>
      </c>
      <c r="C440">
        <v>2</v>
      </c>
      <c r="D440" t="s">
        <v>62</v>
      </c>
      <c r="E440">
        <v>101</v>
      </c>
      <c r="F440" s="6">
        <v>0.9</v>
      </c>
      <c r="G440">
        <v>2</v>
      </c>
      <c r="N440">
        <f t="shared" si="18"/>
        <v>21.417789825</v>
      </c>
      <c r="O440">
        <f>IF(AND(OR(D440="S. acutus",D440="S. californicus",D440="S. tabernaemontani"),G440=0),E440*[1]Sheet1!$D$7+[1]Sheet1!$L$7,IF(AND(OR(D440="S. acutus",D440="S. tabernaemontani"),G440&gt;0),E440*[1]Sheet1!$D$8+N440*[1]Sheet1!$E$8,IF(AND(D440="S. californicus",G440&gt;0),E440*[1]Sheet1!$D$9+N440*[1]Sheet1!$E$9,IF(D440="S. maritimus",F440*[1]Sheet1!$C$10+E440*[1]Sheet1!$D$10+G440*[1]Sheet1!$F$10+[1]Sheet1!$L$10,IF(D440="S. americanus",F440*[1]Sheet1!$C$6+E440*[1]Sheet1!$D$6+[1]Sheet1!$L$6,IF(AND(OR(D440="T. domingensis",D440="T. latifolia"),E440&gt;0),F440*[1]Sheet1!$C$4+E440*[1]Sheet1!$D$4+H440*[1]Sheet1!$J$4+I440*[1]Sheet1!$K$4+[1]Sheet1!$L$4,IF(AND(OR(D440="T. domingensis",D440="T. latifolia"),J440&gt;0),J440*[1]Sheet1!$G$5+K440*[1]Sheet1!$H$5+L440*[1]Sheet1!$I$5+[1]Sheet1!$L$5,0)))))))</f>
        <v>3.7091032103670498</v>
      </c>
      <c r="P440">
        <f t="shared" si="19"/>
        <v>3.7091032103670498</v>
      </c>
      <c r="S440">
        <f t="shared" si="20"/>
        <v>0.636171975</v>
      </c>
    </row>
    <row r="441" spans="1:19">
      <c r="A441" s="5">
        <v>42502</v>
      </c>
      <c r="B441" t="s">
        <v>56</v>
      </c>
      <c r="C441">
        <v>2</v>
      </c>
      <c r="D441" t="s">
        <v>62</v>
      </c>
      <c r="E441">
        <v>111</v>
      </c>
      <c r="F441" s="6">
        <v>0.15</v>
      </c>
      <c r="G441">
        <v>2</v>
      </c>
      <c r="N441">
        <f t="shared" si="18"/>
        <v>0.65384341874999996</v>
      </c>
      <c r="O441">
        <f>IF(AND(OR(D441="S. acutus",D441="S. californicus",D441="S. tabernaemontani"),G441=0),E441*[1]Sheet1!$D$7+[1]Sheet1!$L$7,IF(AND(OR(D441="S. acutus",D441="S. tabernaemontani"),G441&gt;0),E441*[1]Sheet1!$D$8+N441*[1]Sheet1!$E$8,IF(AND(D441="S. californicus",G441&gt;0),E441*[1]Sheet1!$D$9+N441*[1]Sheet1!$E$9,IF(D441="S. maritimus",F441*[1]Sheet1!$C$10+E441*[1]Sheet1!$D$10+G441*[1]Sheet1!$F$10+[1]Sheet1!$L$10,IF(D441="S. americanus",F441*[1]Sheet1!$C$6+E441*[1]Sheet1!$D$6+[1]Sheet1!$L$6,IF(AND(OR(D441="T. domingensis",D441="T. latifolia"),E441&gt;0),F441*[1]Sheet1!$C$4+E441*[1]Sheet1!$D$4+H441*[1]Sheet1!$J$4+I441*[1]Sheet1!$K$4+[1]Sheet1!$L$4,IF(AND(OR(D441="T. domingensis",D441="T. latifolia"),J441&gt;0),J441*[1]Sheet1!$G$5+K441*[1]Sheet1!$H$5+L441*[1]Sheet1!$I$5+[1]Sheet1!$L$5,0)))))))</f>
        <v>2.7564993653329877</v>
      </c>
      <c r="P441">
        <f t="shared" si="19"/>
        <v>2.7564993653329877</v>
      </c>
      <c r="S441">
        <f t="shared" si="20"/>
        <v>1.7671443749999998E-2</v>
      </c>
    </row>
    <row r="442" spans="1:19">
      <c r="A442" s="5">
        <v>42502</v>
      </c>
      <c r="B442" t="s">
        <v>56</v>
      </c>
      <c r="C442">
        <v>2</v>
      </c>
      <c r="D442" t="s">
        <v>62</v>
      </c>
      <c r="E442">
        <v>95</v>
      </c>
      <c r="F442" s="6">
        <v>1.21</v>
      </c>
      <c r="N442">
        <f t="shared" si="18"/>
        <v>36.413515192083331</v>
      </c>
      <c r="O442">
        <f>IF(AND(OR(D442="S. acutus",D442="S. californicus",D442="S. tabernaemontani"),G442=0),E442*[1]Sheet1!$D$7+[1]Sheet1!$L$7,IF(AND(OR(D442="S. acutus",D442="S. tabernaemontani"),G442&gt;0),E442*[1]Sheet1!$D$8+N442*[1]Sheet1!$E$8,IF(AND(D442="S. californicus",G442&gt;0),E442*[1]Sheet1!$D$9+N442*[1]Sheet1!$E$9,IF(D442="S. maritimus",F442*[1]Sheet1!$C$10+E442*[1]Sheet1!$D$10+G442*[1]Sheet1!$F$10+[1]Sheet1!$L$10,IF(D442="S. americanus",F442*[1]Sheet1!$C$6+E442*[1]Sheet1!$D$6+[1]Sheet1!$L$6,IF(AND(OR(D442="T. domingensis",D442="T. latifolia"),E442&gt;0),F442*[1]Sheet1!$C$4+E442*[1]Sheet1!$D$4+H442*[1]Sheet1!$J$4+I442*[1]Sheet1!$K$4+[1]Sheet1!$L$4,IF(AND(OR(D442="T. domingensis",D442="T. latifolia"),J442&gt;0),J442*[1]Sheet1!$G$5+K442*[1]Sheet1!$H$5+L442*[1]Sheet1!$I$5+[1]Sheet1!$L$5,0)))))))</f>
        <v>2.0693780000000004</v>
      </c>
      <c r="P442">
        <f t="shared" si="19"/>
        <v>2.0693780000000004</v>
      </c>
      <c r="S442">
        <f t="shared" si="20"/>
        <v>1.1499004797499999</v>
      </c>
    </row>
    <row r="443" spans="1:19">
      <c r="A443" s="5">
        <v>42502</v>
      </c>
      <c r="B443" t="s">
        <v>56</v>
      </c>
      <c r="C443">
        <v>2</v>
      </c>
      <c r="D443" t="s">
        <v>62</v>
      </c>
      <c r="E443">
        <v>53</v>
      </c>
      <c r="F443" s="6">
        <v>0.13</v>
      </c>
      <c r="N443">
        <f t="shared" si="18"/>
        <v>0.23449351358333331</v>
      </c>
      <c r="O443">
        <f>IF(AND(OR(D443="S. acutus",D443="S. californicus",D443="S. tabernaemontani"),G443=0),E443*[1]Sheet1!$D$7+[1]Sheet1!$L$7,IF(AND(OR(D443="S. acutus",D443="S. tabernaemontani"),G443&gt;0),E443*[1]Sheet1!$D$8+N443*[1]Sheet1!$E$8,IF(AND(D443="S. californicus",G443&gt;0),E443*[1]Sheet1!$D$9+N443*[1]Sheet1!$E$9,IF(D443="S. maritimus",F443*[1]Sheet1!$C$10+E443*[1]Sheet1!$D$10+G443*[1]Sheet1!$F$10+[1]Sheet1!$L$10,IF(D443="S. americanus",F443*[1]Sheet1!$C$6+E443*[1]Sheet1!$D$6+[1]Sheet1!$L$6,IF(AND(OR(D443="T. domingensis",D443="T. latifolia"),E443&gt;0),F443*[1]Sheet1!$C$4+E443*[1]Sheet1!$D$4+H443*[1]Sheet1!$J$4+I443*[1]Sheet1!$K$4+[1]Sheet1!$L$4,IF(AND(OR(D443="T. domingensis",D443="T. latifolia"),J443&gt;0),J443*[1]Sheet1!$G$5+K443*[1]Sheet1!$H$5+L443*[1]Sheet1!$I$5+[1]Sheet1!$L$5,0)))))))</f>
        <v>-0.87503199999999959</v>
      </c>
      <c r="P443" t="str">
        <f t="shared" si="19"/>
        <v xml:space="preserve"> </v>
      </c>
      <c r="S443">
        <f t="shared" si="20"/>
        <v>1.3273217750000002E-2</v>
      </c>
    </row>
    <row r="444" spans="1:19">
      <c r="A444" s="5">
        <v>42502</v>
      </c>
      <c r="B444" t="s">
        <v>56</v>
      </c>
      <c r="C444">
        <v>2</v>
      </c>
      <c r="D444" t="s">
        <v>62</v>
      </c>
      <c r="E444">
        <v>96</v>
      </c>
      <c r="F444" s="6">
        <v>1.57</v>
      </c>
      <c r="G444">
        <v>5</v>
      </c>
      <c r="N444">
        <f t="shared" si="18"/>
        <v>61.949641528000001</v>
      </c>
      <c r="O444">
        <f>IF(AND(OR(D444="S. acutus",D444="S. californicus",D444="S. tabernaemontani"),G444=0),E444*[1]Sheet1!$D$7+[1]Sheet1!$L$7,IF(AND(OR(D444="S. acutus",D444="S. tabernaemontani"),G444&gt;0),E444*[1]Sheet1!$D$8+N444*[1]Sheet1!$E$8,IF(AND(D444="S. californicus",G444&gt;0),E444*[1]Sheet1!$D$9+N444*[1]Sheet1!$E$9,IF(D444="S. maritimus",F444*[1]Sheet1!$C$10+E444*[1]Sheet1!$D$10+G444*[1]Sheet1!$F$10+[1]Sheet1!$L$10,IF(D444="S. americanus",F444*[1]Sheet1!$C$6+E444*[1]Sheet1!$D$6+[1]Sheet1!$L$6,IF(AND(OR(D444="T. domingensis",D444="T. latifolia"),E444&gt;0),F444*[1]Sheet1!$C$4+E444*[1]Sheet1!$D$4+H444*[1]Sheet1!$J$4+I444*[1]Sheet1!$K$4+[1]Sheet1!$L$4,IF(AND(OR(D444="T. domingensis",D444="T. latifolia"),J444&gt;0),J444*[1]Sheet1!$G$5+K444*[1]Sheet1!$H$5+L444*[1]Sheet1!$I$5+[1]Sheet1!$L$5,0)))))))</f>
        <v>5.9242692254858724</v>
      </c>
      <c r="P444">
        <f t="shared" si="19"/>
        <v>5.9242692254858724</v>
      </c>
      <c r="S444">
        <f t="shared" si="20"/>
        <v>1.93592629775</v>
      </c>
    </row>
    <row r="445" spans="1:19">
      <c r="A445" s="5">
        <v>42502</v>
      </c>
      <c r="B445" t="s">
        <v>56</v>
      </c>
      <c r="C445">
        <v>2</v>
      </c>
      <c r="D445" t="s">
        <v>62</v>
      </c>
      <c r="E445">
        <v>117</v>
      </c>
      <c r="F445" s="6">
        <v>1.56</v>
      </c>
      <c r="G445">
        <v>4</v>
      </c>
      <c r="N445">
        <f t="shared" si="18"/>
        <v>74.542390884</v>
      </c>
      <c r="O445">
        <f>IF(AND(OR(D445="S. acutus",D445="S. californicus",D445="S. tabernaemontani"),G445=0),E445*[1]Sheet1!$D$7+[1]Sheet1!$L$7,IF(AND(OR(D445="S. acutus",D445="S. tabernaemontani"),G445&gt;0),E445*[1]Sheet1!$D$8+N445*[1]Sheet1!$E$8,IF(AND(D445="S. californicus",G445&gt;0),E445*[1]Sheet1!$D$9+N445*[1]Sheet1!$E$9,IF(D445="S. maritimus",F445*[1]Sheet1!$C$10+E445*[1]Sheet1!$D$10+G445*[1]Sheet1!$F$10+[1]Sheet1!$L$10,IF(D445="S. americanus",F445*[1]Sheet1!$C$6+E445*[1]Sheet1!$D$6+[1]Sheet1!$L$6,IF(AND(OR(D445="T. domingensis",D445="T. latifolia"),E445&gt;0),F445*[1]Sheet1!$C$4+E445*[1]Sheet1!$D$4+H445*[1]Sheet1!$J$4+I445*[1]Sheet1!$K$4+[1]Sheet1!$L$4,IF(AND(OR(D445="T. domingensis",D445="T. latifolia"),J445&gt;0),J445*[1]Sheet1!$G$5+K445*[1]Sheet1!$H$5+L445*[1]Sheet1!$I$5+[1]Sheet1!$L$5,0)))))))</f>
        <v>7.1649090518438161</v>
      </c>
      <c r="P445">
        <f t="shared" si="19"/>
        <v>7.1649090518438161</v>
      </c>
      <c r="S445">
        <f t="shared" si="20"/>
        <v>1.9113433560000002</v>
      </c>
    </row>
    <row r="446" spans="1:19">
      <c r="A446" s="5">
        <v>42502</v>
      </c>
      <c r="B446" t="s">
        <v>56</v>
      </c>
      <c r="C446">
        <v>2</v>
      </c>
      <c r="D446" t="s">
        <v>62</v>
      </c>
      <c r="E446">
        <v>43</v>
      </c>
      <c r="F446" s="6">
        <v>0.49</v>
      </c>
      <c r="N446">
        <f t="shared" si="18"/>
        <v>2.702893136416666</v>
      </c>
      <c r="O446">
        <f>IF(AND(OR(D446="S. acutus",D446="S. californicus",D446="S. tabernaemontani"),G446=0),E446*[1]Sheet1!$D$7+[1]Sheet1!$L$7,IF(AND(OR(D446="S. acutus",D446="S. tabernaemontani"),G446&gt;0),E446*[1]Sheet1!$D$8+N446*[1]Sheet1!$E$8,IF(AND(D446="S. californicus",G446&gt;0),E446*[1]Sheet1!$D$9+N446*[1]Sheet1!$E$9,IF(D446="S. maritimus",F446*[1]Sheet1!$C$10+E446*[1]Sheet1!$D$10+G446*[1]Sheet1!$F$10+[1]Sheet1!$L$10,IF(D446="S. americanus",F446*[1]Sheet1!$C$6+E446*[1]Sheet1!$D$6+[1]Sheet1!$L$6,IF(AND(OR(D446="T. domingensis",D446="T. latifolia"),E446&gt;0),F446*[1]Sheet1!$C$4+E446*[1]Sheet1!$D$4+H446*[1]Sheet1!$J$4+I446*[1]Sheet1!$K$4+[1]Sheet1!$L$4,IF(AND(OR(D446="T. domingensis",D446="T. latifolia"),J446&gt;0),J446*[1]Sheet1!$G$5+K446*[1]Sheet1!$H$5+L446*[1]Sheet1!$I$5+[1]Sheet1!$L$5,0)))))))</f>
        <v>-1.576082</v>
      </c>
      <c r="P446" t="str">
        <f t="shared" si="19"/>
        <v xml:space="preserve"> </v>
      </c>
      <c r="S446">
        <f t="shared" si="20"/>
        <v>0.18857393974999997</v>
      </c>
    </row>
    <row r="447" spans="1:19">
      <c r="A447" s="5">
        <v>42502</v>
      </c>
      <c r="B447" t="s">
        <v>56</v>
      </c>
      <c r="C447">
        <v>2</v>
      </c>
      <c r="D447" t="s">
        <v>62</v>
      </c>
      <c r="E447">
        <v>105</v>
      </c>
      <c r="F447" s="6">
        <v>1.41</v>
      </c>
      <c r="G447">
        <v>2</v>
      </c>
      <c r="N447">
        <f t="shared" si="18"/>
        <v>54.650706941249986</v>
      </c>
      <c r="O447">
        <f>IF(AND(OR(D447="S. acutus",D447="S. californicus",D447="S. tabernaemontani"),G447=0),E447*[1]Sheet1!$D$7+[1]Sheet1!$L$7,IF(AND(OR(D447="S. acutus",D447="S. tabernaemontani"),G447&gt;0),E447*[1]Sheet1!$D$8+N447*[1]Sheet1!$E$8,IF(AND(D447="S. californicus",G447&gt;0),E447*[1]Sheet1!$D$9+N447*[1]Sheet1!$E$9,IF(D447="S. maritimus",F447*[1]Sheet1!$C$10+E447*[1]Sheet1!$D$10+G447*[1]Sheet1!$F$10+[1]Sheet1!$L$10,IF(D447="S. americanus",F447*[1]Sheet1!$C$6+E447*[1]Sheet1!$D$6+[1]Sheet1!$L$6,IF(AND(OR(D447="T. domingensis",D447="T. latifolia"),E447&gt;0),F447*[1]Sheet1!$C$4+E447*[1]Sheet1!$D$4+H447*[1]Sheet1!$J$4+I447*[1]Sheet1!$K$4+[1]Sheet1!$L$4,IF(AND(OR(D447="T. domingensis",D447="T. latifolia"),J447&gt;0),J447*[1]Sheet1!$G$5+K447*[1]Sheet1!$H$5+L447*[1]Sheet1!$I$5+[1]Sheet1!$L$5,0)))))))</f>
        <v>5.7237528721296513</v>
      </c>
      <c r="P447">
        <f t="shared" si="19"/>
        <v>5.7237528721296513</v>
      </c>
      <c r="S447">
        <f t="shared" si="20"/>
        <v>1.5614487697499997</v>
      </c>
    </row>
    <row r="448" spans="1:19">
      <c r="A448" s="5">
        <v>42502</v>
      </c>
      <c r="B448" t="s">
        <v>56</v>
      </c>
      <c r="C448">
        <v>2</v>
      </c>
      <c r="D448" t="s">
        <v>62</v>
      </c>
      <c r="E448">
        <v>62</v>
      </c>
      <c r="F448" s="6">
        <v>0.73</v>
      </c>
      <c r="N448">
        <f t="shared" si="18"/>
        <v>8.6497921068333312</v>
      </c>
      <c r="O448">
        <f>IF(AND(OR(D448="S. acutus",D448="S. californicus",D448="S. tabernaemontani"),G448=0),E448*[1]Sheet1!$D$7+[1]Sheet1!$L$7,IF(AND(OR(D448="S. acutus",D448="S. tabernaemontani"),G448&gt;0),E448*[1]Sheet1!$D$8+N448*[1]Sheet1!$E$8,IF(AND(D448="S. californicus",G448&gt;0),E448*[1]Sheet1!$D$9+N448*[1]Sheet1!$E$9,IF(D448="S. maritimus",F448*[1]Sheet1!$C$10+E448*[1]Sheet1!$D$10+G448*[1]Sheet1!$F$10+[1]Sheet1!$L$10,IF(D448="S. americanus",F448*[1]Sheet1!$C$6+E448*[1]Sheet1!$D$6+[1]Sheet1!$L$6,IF(AND(OR(D448="T. domingensis",D448="T. latifolia"),E448&gt;0),F448*[1]Sheet1!$C$4+E448*[1]Sheet1!$D$4+H448*[1]Sheet1!$J$4+I448*[1]Sheet1!$K$4+[1]Sheet1!$L$4,IF(AND(OR(D448="T. domingensis",D448="T. latifolia"),J448&gt;0),J448*[1]Sheet1!$G$5+K448*[1]Sheet1!$H$5+L448*[1]Sheet1!$I$5+[1]Sheet1!$L$5,0)))))))</f>
        <v>-0.2440869999999995</v>
      </c>
      <c r="P448" t="str">
        <f t="shared" si="19"/>
        <v xml:space="preserve"> </v>
      </c>
      <c r="S448">
        <f t="shared" si="20"/>
        <v>0.41853832774999994</v>
      </c>
    </row>
    <row r="449" spans="1:19">
      <c r="A449" s="5">
        <v>42502</v>
      </c>
      <c r="B449" t="s">
        <v>56</v>
      </c>
      <c r="C449">
        <v>2</v>
      </c>
      <c r="D449" t="s">
        <v>62</v>
      </c>
      <c r="E449">
        <v>101</v>
      </c>
      <c r="F449" s="6">
        <v>0.87</v>
      </c>
      <c r="N449">
        <f t="shared" si="18"/>
        <v>20.013734714249999</v>
      </c>
      <c r="O449">
        <f>IF(AND(OR(D449="S. acutus",D449="S. californicus",D449="S. tabernaemontani"),G449=0),E449*[1]Sheet1!$D$7+[1]Sheet1!$L$7,IF(AND(OR(D449="S. acutus",D449="S. tabernaemontani"),G449&gt;0),E449*[1]Sheet1!$D$8+N449*[1]Sheet1!$E$8,IF(AND(D449="S. californicus",G449&gt;0),E449*[1]Sheet1!$D$9+N449*[1]Sheet1!$E$9,IF(D449="S. maritimus",F449*[1]Sheet1!$C$10+E449*[1]Sheet1!$D$10+G449*[1]Sheet1!$F$10+[1]Sheet1!$L$10,IF(D449="S. americanus",F449*[1]Sheet1!$C$6+E449*[1]Sheet1!$D$6+[1]Sheet1!$L$6,IF(AND(OR(D449="T. domingensis",D449="T. latifolia"),E449&gt;0),F449*[1]Sheet1!$C$4+E449*[1]Sheet1!$D$4+H449*[1]Sheet1!$J$4+I449*[1]Sheet1!$K$4+[1]Sheet1!$L$4,IF(AND(OR(D449="T. domingensis",D449="T. latifolia"),J449&gt;0),J449*[1]Sheet1!$G$5+K449*[1]Sheet1!$H$5+L449*[1]Sheet1!$I$5+[1]Sheet1!$L$5,0)))))))</f>
        <v>2.4900080000000004</v>
      </c>
      <c r="P449">
        <f t="shared" si="19"/>
        <v>2.4900080000000004</v>
      </c>
      <c r="S449">
        <f t="shared" si="20"/>
        <v>0.59446736774999998</v>
      </c>
    </row>
    <row r="450" spans="1:19">
      <c r="A450" s="5">
        <v>42502</v>
      </c>
      <c r="B450" t="s">
        <v>56</v>
      </c>
      <c r="C450">
        <v>2</v>
      </c>
      <c r="D450" t="s">
        <v>62</v>
      </c>
      <c r="E450">
        <v>105</v>
      </c>
      <c r="F450" s="6">
        <v>0.13</v>
      </c>
      <c r="G450">
        <v>3</v>
      </c>
      <c r="N450">
        <f t="shared" si="18"/>
        <v>0.46456262124999997</v>
      </c>
      <c r="O450">
        <f>IF(AND(OR(D450="S. acutus",D450="S. californicus",D450="S. tabernaemontani"),G450=0),E450*[1]Sheet1!$D$7+[1]Sheet1!$L$7,IF(AND(OR(D450="S. acutus",D450="S. tabernaemontani"),G450&gt;0),E450*[1]Sheet1!$D$8+N450*[1]Sheet1!$E$8,IF(AND(D450="S. californicus",G450&gt;0),E450*[1]Sheet1!$D$9+N450*[1]Sheet1!$E$9,IF(D450="S. maritimus",F450*[1]Sheet1!$C$10+E450*[1]Sheet1!$D$10+G450*[1]Sheet1!$F$10+[1]Sheet1!$L$10,IF(D450="S. americanus",F450*[1]Sheet1!$C$6+E450*[1]Sheet1!$D$6+[1]Sheet1!$L$6,IF(AND(OR(D450="T. domingensis",D450="T. latifolia"),E450&gt;0),F450*[1]Sheet1!$C$4+E450*[1]Sheet1!$D$4+H450*[1]Sheet1!$J$4+I450*[1]Sheet1!$K$4+[1]Sheet1!$L$4,IF(AND(OR(D450="T. domingensis",D450="T. latifolia"),J450&gt;0),J450*[1]Sheet1!$G$5+K450*[1]Sheet1!$H$5+L450*[1]Sheet1!$I$5+[1]Sheet1!$L$5,0)))))))</f>
        <v>2.5986211846179725</v>
      </c>
      <c r="P450">
        <f t="shared" si="19"/>
        <v>2.5986211846179725</v>
      </c>
      <c r="S450">
        <f t="shared" si="20"/>
        <v>1.3273217750000002E-2</v>
      </c>
    </row>
    <row r="451" spans="1:19">
      <c r="A451" s="5">
        <v>42502</v>
      </c>
      <c r="B451" t="s">
        <v>56</v>
      </c>
      <c r="C451">
        <v>2</v>
      </c>
      <c r="D451" t="s">
        <v>62</v>
      </c>
      <c r="E451">
        <v>36</v>
      </c>
      <c r="F451" s="6">
        <v>0.5</v>
      </c>
      <c r="N451">
        <f t="shared" si="18"/>
        <v>2.3561924999999997</v>
      </c>
      <c r="O451">
        <f>IF(AND(OR(D451="S. acutus",D451="S. californicus",D451="S. tabernaemontani"),G451=0),E451*[1]Sheet1!$D$7+[1]Sheet1!$L$7,IF(AND(OR(D451="S. acutus",D451="S. tabernaemontani"),G451&gt;0),E451*[1]Sheet1!$D$8+N451*[1]Sheet1!$E$8,IF(AND(D451="S. californicus",G451&gt;0),E451*[1]Sheet1!$D$9+N451*[1]Sheet1!$E$9,IF(D451="S. maritimus",F451*[1]Sheet1!$C$10+E451*[1]Sheet1!$D$10+G451*[1]Sheet1!$F$10+[1]Sheet1!$L$10,IF(D451="S. americanus",F451*[1]Sheet1!$C$6+E451*[1]Sheet1!$D$6+[1]Sheet1!$L$6,IF(AND(OR(D451="T. domingensis",D451="T. latifolia"),E451&gt;0),F451*[1]Sheet1!$C$4+E451*[1]Sheet1!$D$4+H451*[1]Sheet1!$J$4+I451*[1]Sheet1!$K$4+[1]Sheet1!$L$4,IF(AND(OR(D451="T. domingensis",D451="T. latifolia"),J451&gt;0),J451*[1]Sheet1!$G$5+K451*[1]Sheet1!$H$5+L451*[1]Sheet1!$I$5+[1]Sheet1!$L$5,0)))))))</f>
        <v>-2.0668169999999999</v>
      </c>
      <c r="P451" t="str">
        <f t="shared" si="19"/>
        <v xml:space="preserve"> </v>
      </c>
      <c r="S451">
        <f t="shared" si="20"/>
        <v>0.19634937499999999</v>
      </c>
    </row>
    <row r="452" spans="1:19">
      <c r="A452" s="5">
        <v>42502</v>
      </c>
      <c r="B452" t="s">
        <v>56</v>
      </c>
      <c r="C452">
        <v>2</v>
      </c>
      <c r="D452" t="s">
        <v>62</v>
      </c>
      <c r="E452">
        <v>33</v>
      </c>
      <c r="F452" s="6">
        <v>0.38</v>
      </c>
      <c r="N452">
        <f t="shared" ref="N452:N515" si="21">IF(OR(D452="S. acutus", D452="S. tabernaemontani", D452="S. californicus"),(1/3)*(3.14159)*((F452/2)^2)*E452,"NA")</f>
        <v>1.247525389</v>
      </c>
      <c r="O452">
        <f>IF(AND(OR(D452="S. acutus",D452="S. californicus",D452="S. tabernaemontani"),G452=0),E452*[1]Sheet1!$D$7+[1]Sheet1!$L$7,IF(AND(OR(D452="S. acutus",D452="S. tabernaemontani"),G452&gt;0),E452*[1]Sheet1!$D$8+N452*[1]Sheet1!$E$8,IF(AND(D452="S. californicus",G452&gt;0),E452*[1]Sheet1!$D$9+N452*[1]Sheet1!$E$9,IF(D452="S. maritimus",F452*[1]Sheet1!$C$10+E452*[1]Sheet1!$D$10+G452*[1]Sheet1!$F$10+[1]Sheet1!$L$10,IF(D452="S. americanus",F452*[1]Sheet1!$C$6+E452*[1]Sheet1!$D$6+[1]Sheet1!$L$6,IF(AND(OR(D452="T. domingensis",D452="T. latifolia"),E452&gt;0),F452*[1]Sheet1!$C$4+E452*[1]Sheet1!$D$4+H452*[1]Sheet1!$J$4+I452*[1]Sheet1!$K$4+[1]Sheet1!$L$4,IF(AND(OR(D452="T. domingensis",D452="T. latifolia"),J452&gt;0),J452*[1]Sheet1!$G$5+K452*[1]Sheet1!$H$5+L452*[1]Sheet1!$I$5+[1]Sheet1!$L$5,0)))))))</f>
        <v>-2.2771319999999999</v>
      </c>
      <c r="P452" t="str">
        <f t="shared" ref="P452:P515" si="22">IF(O452&lt;0," ",O452)</f>
        <v xml:space="preserve"> </v>
      </c>
      <c r="S452">
        <f t="shared" ref="S452:S515" si="23">3.14159*((F452/2)^2)</f>
        <v>0.113411399</v>
      </c>
    </row>
    <row r="453" spans="1:19">
      <c r="A453" s="5">
        <v>42502</v>
      </c>
      <c r="B453" t="s">
        <v>56</v>
      </c>
      <c r="C453">
        <v>2</v>
      </c>
      <c r="D453" t="s">
        <v>62</v>
      </c>
      <c r="E453">
        <v>117</v>
      </c>
      <c r="F453" s="6">
        <v>0.27</v>
      </c>
      <c r="G453">
        <v>3</v>
      </c>
      <c r="N453">
        <f t="shared" si="21"/>
        <v>2.2329636322500002</v>
      </c>
      <c r="O453">
        <f>IF(AND(OR(D453="S. acutus",D453="S. californicus",D453="S. tabernaemontani"),G453=0),E453*[1]Sheet1!$D$7+[1]Sheet1!$L$7,IF(AND(OR(D453="S. acutus",D453="S. tabernaemontani"),G453&gt;0),E453*[1]Sheet1!$D$8+N453*[1]Sheet1!$E$8,IF(AND(D453="S. californicus",G453&gt;0),E453*[1]Sheet1!$D$9+N453*[1]Sheet1!$E$9,IF(D453="S. maritimus",F453*[1]Sheet1!$C$10+E453*[1]Sheet1!$D$10+G453*[1]Sheet1!$F$10+[1]Sheet1!$L$10,IF(D453="S. americanus",F453*[1]Sheet1!$C$6+E453*[1]Sheet1!$D$6+[1]Sheet1!$L$6,IF(AND(OR(D453="T. domingensis",D453="T. latifolia"),E453&gt;0),F453*[1]Sheet1!$C$4+E453*[1]Sheet1!$D$4+H453*[1]Sheet1!$J$4+I453*[1]Sheet1!$K$4+[1]Sheet1!$L$4,IF(AND(OR(D453="T. domingensis",D453="T. latifolia"),J453&gt;0),J453*[1]Sheet1!$G$5+K453*[1]Sheet1!$H$5+L453*[1]Sheet1!$I$5+[1]Sheet1!$L$5,0)))))))</f>
        <v>2.9945351445263864</v>
      </c>
      <c r="P453">
        <f t="shared" si="22"/>
        <v>2.9945351445263864</v>
      </c>
      <c r="S453">
        <f t="shared" si="23"/>
        <v>5.7255477750000006E-2</v>
      </c>
    </row>
    <row r="454" spans="1:19">
      <c r="A454" s="5">
        <v>42502</v>
      </c>
      <c r="B454" t="s">
        <v>56</v>
      </c>
      <c r="C454">
        <v>2</v>
      </c>
      <c r="D454" t="s">
        <v>62</v>
      </c>
      <c r="E454">
        <v>16</v>
      </c>
      <c r="F454" s="6">
        <v>0.31</v>
      </c>
      <c r="N454">
        <f t="shared" si="21"/>
        <v>0.40254239866666663</v>
      </c>
      <c r="O454">
        <f>IF(AND(OR(D454="S. acutus",D454="S. californicus",D454="S. tabernaemontani"),G454=0),E454*[1]Sheet1!$D$7+[1]Sheet1!$L$7,IF(AND(OR(D454="S. acutus",D454="S. tabernaemontani"),G454&gt;0),E454*[1]Sheet1!$D$8+N454*[1]Sheet1!$E$8,IF(AND(D454="S. californicus",G454&gt;0),E454*[1]Sheet1!$D$9+N454*[1]Sheet1!$E$9,IF(D454="S. maritimus",F454*[1]Sheet1!$C$10+E454*[1]Sheet1!$D$10+G454*[1]Sheet1!$F$10+[1]Sheet1!$L$10,IF(D454="S. americanus",F454*[1]Sheet1!$C$6+E454*[1]Sheet1!$D$6+[1]Sheet1!$L$6,IF(AND(OR(D454="T. domingensis",D454="T. latifolia"),E454&gt;0),F454*[1]Sheet1!$C$4+E454*[1]Sheet1!$D$4+H454*[1]Sheet1!$J$4+I454*[1]Sheet1!$K$4+[1]Sheet1!$L$4,IF(AND(OR(D454="T. domingensis",D454="T. latifolia"),J454&gt;0),J454*[1]Sheet1!$G$5+K454*[1]Sheet1!$H$5+L454*[1]Sheet1!$I$5+[1]Sheet1!$L$5,0)))))))</f>
        <v>-3.4689169999999998</v>
      </c>
      <c r="P454" t="str">
        <f t="shared" si="22"/>
        <v xml:space="preserve"> </v>
      </c>
      <c r="S454">
        <f t="shared" si="23"/>
        <v>7.5476699750000001E-2</v>
      </c>
    </row>
    <row r="455" spans="1:19">
      <c r="A455" s="5">
        <v>42502</v>
      </c>
      <c r="B455" t="s">
        <v>56</v>
      </c>
      <c r="C455">
        <v>2</v>
      </c>
      <c r="D455" t="s">
        <v>62</v>
      </c>
      <c r="E455">
        <v>73</v>
      </c>
      <c r="F455" s="6">
        <v>0.89</v>
      </c>
      <c r="N455">
        <f t="shared" si="21"/>
        <v>15.138091753916665</v>
      </c>
      <c r="O455">
        <f>IF(AND(OR(D455="S. acutus",D455="S. californicus",D455="S. tabernaemontani"),G455=0),E455*[1]Sheet1!$D$7+[1]Sheet1!$L$7,IF(AND(OR(D455="S. acutus",D455="S. tabernaemontani"),G455&gt;0),E455*[1]Sheet1!$D$8+N455*[1]Sheet1!$E$8,IF(AND(D455="S. californicus",G455&gt;0),E455*[1]Sheet1!$D$9+N455*[1]Sheet1!$E$9,IF(D455="S. maritimus",F455*[1]Sheet1!$C$10+E455*[1]Sheet1!$D$10+G455*[1]Sheet1!$F$10+[1]Sheet1!$L$10,IF(D455="S. americanus",F455*[1]Sheet1!$C$6+E455*[1]Sheet1!$D$6+[1]Sheet1!$L$6,IF(AND(OR(D455="T. domingensis",D455="T. latifolia"),E455&gt;0),F455*[1]Sheet1!$C$4+E455*[1]Sheet1!$D$4+H455*[1]Sheet1!$J$4+I455*[1]Sheet1!$K$4+[1]Sheet1!$L$4,IF(AND(OR(D455="T. domingensis",D455="T. latifolia"),J455&gt;0),J455*[1]Sheet1!$G$5+K455*[1]Sheet1!$H$5+L455*[1]Sheet1!$I$5+[1]Sheet1!$L$5,0)))))))</f>
        <v>0.52706799999999987</v>
      </c>
      <c r="P455">
        <f t="shared" si="22"/>
        <v>0.52706799999999987</v>
      </c>
      <c r="S455">
        <f t="shared" si="23"/>
        <v>0.62211335975000004</v>
      </c>
    </row>
    <row r="456" spans="1:19">
      <c r="A456" s="5">
        <v>42502</v>
      </c>
      <c r="B456" t="s">
        <v>56</v>
      </c>
      <c r="C456">
        <v>2</v>
      </c>
      <c r="D456" t="s">
        <v>62</v>
      </c>
      <c r="E456">
        <v>117</v>
      </c>
      <c r="F456" s="6">
        <v>1.04</v>
      </c>
      <c r="G456">
        <v>1</v>
      </c>
      <c r="N456">
        <f t="shared" si="21"/>
        <v>33.129951503999997</v>
      </c>
      <c r="O456">
        <f>IF(AND(OR(D456="S. acutus",D456="S. californicus",D456="S. tabernaemontani"),G456=0),E456*[1]Sheet1!$D$7+[1]Sheet1!$L$7,IF(AND(OR(D456="S. acutus",D456="S. tabernaemontani"),G456&gt;0),E456*[1]Sheet1!$D$8+N456*[1]Sheet1!$E$8,IF(AND(D456="S. californicus",G456&gt;0),E456*[1]Sheet1!$D$9+N456*[1]Sheet1!$E$9,IF(D456="S. maritimus",F456*[1]Sheet1!$C$10+E456*[1]Sheet1!$D$10+G456*[1]Sheet1!$F$10+[1]Sheet1!$L$10,IF(D456="S. americanus",F456*[1]Sheet1!$C$6+E456*[1]Sheet1!$D$6+[1]Sheet1!$L$6,IF(AND(OR(D456="T. domingensis",D456="T. latifolia"),E456&gt;0),F456*[1]Sheet1!$C$4+E456*[1]Sheet1!$D$4+H456*[1]Sheet1!$J$4+I456*[1]Sheet1!$K$4+[1]Sheet1!$L$4,IF(AND(OR(D456="T. domingensis",D456="T. latifolia"),J456&gt;0),J456*[1]Sheet1!$G$5+K456*[1]Sheet1!$H$5+L456*[1]Sheet1!$I$5+[1]Sheet1!$L$5,0)))))))</f>
        <v>4.7764880230416962</v>
      </c>
      <c r="P456">
        <f t="shared" si="22"/>
        <v>4.7764880230416962</v>
      </c>
      <c r="S456">
        <f t="shared" si="23"/>
        <v>0.84948593600000011</v>
      </c>
    </row>
    <row r="457" spans="1:19">
      <c r="A457" s="5">
        <v>42502</v>
      </c>
      <c r="B457" t="s">
        <v>56</v>
      </c>
      <c r="C457">
        <v>2</v>
      </c>
      <c r="D457" t="s">
        <v>62</v>
      </c>
      <c r="E457">
        <v>104</v>
      </c>
      <c r="F457" s="6">
        <v>1.4</v>
      </c>
      <c r="N457">
        <f t="shared" si="21"/>
        <v>53.365142133333322</v>
      </c>
      <c r="O457">
        <f>IF(AND(OR(D457="S. acutus",D457="S. californicus",D457="S. tabernaemontani"),G457=0),E457*[1]Sheet1!$D$7+[1]Sheet1!$L$7,IF(AND(OR(D457="S. acutus",D457="S. tabernaemontani"),G457&gt;0),E457*[1]Sheet1!$D$8+N457*[1]Sheet1!$E$8,IF(AND(D457="S. californicus",G457&gt;0),E457*[1]Sheet1!$D$9+N457*[1]Sheet1!$E$9,IF(D457="S. maritimus",F457*[1]Sheet1!$C$10+E457*[1]Sheet1!$D$10+G457*[1]Sheet1!$F$10+[1]Sheet1!$L$10,IF(D457="S. americanus",F457*[1]Sheet1!$C$6+E457*[1]Sheet1!$D$6+[1]Sheet1!$L$6,IF(AND(OR(D457="T. domingensis",D457="T. latifolia"),E457&gt;0),F457*[1]Sheet1!$C$4+E457*[1]Sheet1!$D$4+H457*[1]Sheet1!$J$4+I457*[1]Sheet1!$K$4+[1]Sheet1!$L$4,IF(AND(OR(D457="T. domingensis",D457="T. latifolia"),J457&gt;0),J457*[1]Sheet1!$G$5+K457*[1]Sheet1!$H$5+L457*[1]Sheet1!$I$5+[1]Sheet1!$L$5,0)))))))</f>
        <v>2.700323</v>
      </c>
      <c r="P457">
        <f t="shared" si="22"/>
        <v>2.700323</v>
      </c>
      <c r="S457">
        <f t="shared" si="23"/>
        <v>1.5393790999999997</v>
      </c>
    </row>
    <row r="458" spans="1:19">
      <c r="A458" s="5">
        <v>42502</v>
      </c>
      <c r="B458" t="s">
        <v>56</v>
      </c>
      <c r="C458">
        <v>2</v>
      </c>
      <c r="D458" t="s">
        <v>62</v>
      </c>
      <c r="E458">
        <v>83</v>
      </c>
      <c r="F458" s="6">
        <v>0.73</v>
      </c>
      <c r="N458">
        <f t="shared" si="21"/>
        <v>11.579560401083331</v>
      </c>
      <c r="O458">
        <f>IF(AND(OR(D458="S. acutus",D458="S. californicus",D458="S. tabernaemontani"),G458=0),E458*[1]Sheet1!$D$7+[1]Sheet1!$L$7,IF(AND(OR(D458="S. acutus",D458="S. tabernaemontani"),G458&gt;0),E458*[1]Sheet1!$D$8+N458*[1]Sheet1!$E$8,IF(AND(D458="S. californicus",G458&gt;0),E458*[1]Sheet1!$D$9+N458*[1]Sheet1!$E$9,IF(D458="S. maritimus",F458*[1]Sheet1!$C$10+E458*[1]Sheet1!$D$10+G458*[1]Sheet1!$F$10+[1]Sheet1!$L$10,IF(D458="S. americanus",F458*[1]Sheet1!$C$6+E458*[1]Sheet1!$D$6+[1]Sheet1!$L$6,IF(AND(OR(D458="T. domingensis",D458="T. latifolia"),E458&gt;0),F458*[1]Sheet1!$C$4+E458*[1]Sheet1!$D$4+H458*[1]Sheet1!$J$4+I458*[1]Sheet1!$K$4+[1]Sheet1!$L$4,IF(AND(OR(D458="T. domingensis",D458="T. latifolia"),J458&gt;0),J458*[1]Sheet1!$G$5+K458*[1]Sheet1!$H$5+L458*[1]Sheet1!$I$5+[1]Sheet1!$L$5,0)))))))</f>
        <v>1.2281180000000003</v>
      </c>
      <c r="P458">
        <f t="shared" si="22"/>
        <v>1.2281180000000003</v>
      </c>
      <c r="S458">
        <f t="shared" si="23"/>
        <v>0.41853832774999994</v>
      </c>
    </row>
    <row r="459" spans="1:19">
      <c r="A459" s="5">
        <v>42502</v>
      </c>
      <c r="B459" t="s">
        <v>56</v>
      </c>
      <c r="C459">
        <v>2</v>
      </c>
      <c r="D459" t="s">
        <v>62</v>
      </c>
      <c r="E459">
        <v>111</v>
      </c>
      <c r="F459" s="6">
        <v>1</v>
      </c>
      <c r="G459">
        <v>2</v>
      </c>
      <c r="N459">
        <f t="shared" si="21"/>
        <v>29.059707499999998</v>
      </c>
      <c r="O459">
        <f>IF(AND(OR(D459="S. acutus",D459="S. californicus",D459="S. tabernaemontani"),G459=0),E459*[1]Sheet1!$D$7+[1]Sheet1!$L$7,IF(AND(OR(D459="S. acutus",D459="S. tabernaemontani"),G459&gt;0),E459*[1]Sheet1!$D$8+N459*[1]Sheet1!$E$8,IF(AND(D459="S. californicus",G459&gt;0),E459*[1]Sheet1!$D$9+N459*[1]Sheet1!$E$9,IF(D459="S. maritimus",F459*[1]Sheet1!$C$10+E459*[1]Sheet1!$D$10+G459*[1]Sheet1!$F$10+[1]Sheet1!$L$10,IF(D459="S. americanus",F459*[1]Sheet1!$C$6+E459*[1]Sheet1!$D$6+[1]Sheet1!$L$6,IF(AND(OR(D459="T. domingensis",D459="T. latifolia"),E459&gt;0),F459*[1]Sheet1!$C$4+E459*[1]Sheet1!$D$4+H459*[1]Sheet1!$J$4+I459*[1]Sheet1!$K$4+[1]Sheet1!$L$4,IF(AND(OR(D459="T. domingensis",D459="T. latifolia"),J459&gt;0),J459*[1]Sheet1!$G$5+K459*[1]Sheet1!$H$5+L459*[1]Sheet1!$I$5+[1]Sheet1!$L$5,0)))))))</f>
        <v>4.3947791703550001</v>
      </c>
      <c r="P459">
        <f t="shared" si="22"/>
        <v>4.3947791703550001</v>
      </c>
      <c r="S459">
        <f t="shared" si="23"/>
        <v>0.78539749999999997</v>
      </c>
    </row>
    <row r="460" spans="1:19">
      <c r="A460" s="5">
        <v>42502</v>
      </c>
      <c r="B460" t="s">
        <v>56</v>
      </c>
      <c r="C460">
        <v>2</v>
      </c>
      <c r="D460" t="s">
        <v>62</v>
      </c>
      <c r="E460">
        <v>79</v>
      </c>
      <c r="F460" s="6">
        <v>0.61</v>
      </c>
      <c r="N460">
        <f t="shared" si="21"/>
        <v>7.6958221234166651</v>
      </c>
      <c r="O460">
        <f>IF(AND(OR(D460="S. acutus",D460="S. californicus",D460="S. tabernaemontani"),G460=0),E460*[1]Sheet1!$D$7+[1]Sheet1!$L$7,IF(AND(OR(D460="S. acutus",D460="S. tabernaemontani"),G460&gt;0),E460*[1]Sheet1!$D$8+N460*[1]Sheet1!$E$8,IF(AND(D460="S. californicus",G460&gt;0),E460*[1]Sheet1!$D$9+N460*[1]Sheet1!$E$9,IF(D460="S. maritimus",F460*[1]Sheet1!$C$10+E460*[1]Sheet1!$D$10+G460*[1]Sheet1!$F$10+[1]Sheet1!$L$10,IF(D460="S. americanus",F460*[1]Sheet1!$C$6+E460*[1]Sheet1!$D$6+[1]Sheet1!$L$6,IF(AND(OR(D460="T. domingensis",D460="T. latifolia"),E460&gt;0),F460*[1]Sheet1!$C$4+E460*[1]Sheet1!$D$4+H460*[1]Sheet1!$J$4+I460*[1]Sheet1!$K$4+[1]Sheet1!$L$4,IF(AND(OR(D460="T. domingensis",D460="T. latifolia"),J460&gt;0),J460*[1]Sheet1!$G$5+K460*[1]Sheet1!$H$5+L460*[1]Sheet1!$I$5+[1]Sheet1!$L$5,0)))))))</f>
        <v>0.94769799999999993</v>
      </c>
      <c r="P460">
        <f t="shared" si="22"/>
        <v>0.94769799999999993</v>
      </c>
      <c r="S460">
        <f t="shared" si="23"/>
        <v>0.29224640974999999</v>
      </c>
    </row>
    <row r="461" spans="1:19">
      <c r="A461" s="5">
        <v>42502</v>
      </c>
      <c r="B461" t="s">
        <v>56</v>
      </c>
      <c r="C461">
        <v>2</v>
      </c>
      <c r="D461" t="s">
        <v>62</v>
      </c>
      <c r="E461">
        <v>83</v>
      </c>
      <c r="F461" s="6">
        <v>0.54</v>
      </c>
      <c r="N461">
        <f t="shared" si="21"/>
        <v>6.3362728710000003</v>
      </c>
      <c r="O461">
        <f>IF(AND(OR(D461="S. acutus",D461="S. californicus",D461="S. tabernaemontani"),G461=0),E461*[1]Sheet1!$D$7+[1]Sheet1!$L$7,IF(AND(OR(D461="S. acutus",D461="S. tabernaemontani"),G461&gt;0),E461*[1]Sheet1!$D$8+N461*[1]Sheet1!$E$8,IF(AND(D461="S. californicus",G461&gt;0),E461*[1]Sheet1!$D$9+N461*[1]Sheet1!$E$9,IF(D461="S. maritimus",F461*[1]Sheet1!$C$10+E461*[1]Sheet1!$D$10+G461*[1]Sheet1!$F$10+[1]Sheet1!$L$10,IF(D461="S. americanus",F461*[1]Sheet1!$C$6+E461*[1]Sheet1!$D$6+[1]Sheet1!$L$6,IF(AND(OR(D461="T. domingensis",D461="T. latifolia"),E461&gt;0),F461*[1]Sheet1!$C$4+E461*[1]Sheet1!$D$4+H461*[1]Sheet1!$J$4+I461*[1]Sheet1!$K$4+[1]Sheet1!$L$4,IF(AND(OR(D461="T. domingensis",D461="T. latifolia"),J461&gt;0),J461*[1]Sheet1!$G$5+K461*[1]Sheet1!$H$5+L461*[1]Sheet1!$I$5+[1]Sheet1!$L$5,0)))))))</f>
        <v>1.2281180000000003</v>
      </c>
      <c r="P461">
        <f t="shared" si="22"/>
        <v>1.2281180000000003</v>
      </c>
      <c r="S461">
        <f t="shared" si="23"/>
        <v>0.22902191100000002</v>
      </c>
    </row>
    <row r="462" spans="1:19">
      <c r="A462" s="5">
        <v>42502</v>
      </c>
      <c r="B462" t="s">
        <v>56</v>
      </c>
      <c r="C462">
        <v>2</v>
      </c>
      <c r="D462" t="s">
        <v>62</v>
      </c>
      <c r="E462">
        <v>99</v>
      </c>
      <c r="F462" s="6">
        <v>0.56999999999999995</v>
      </c>
      <c r="N462">
        <f t="shared" si="21"/>
        <v>8.4207963757499975</v>
      </c>
      <c r="O462">
        <f>IF(AND(OR(D462="S. acutus",D462="S. californicus",D462="S. tabernaemontani"),G462=0),E462*[1]Sheet1!$D$7+[1]Sheet1!$L$7,IF(AND(OR(D462="S. acutus",D462="S. tabernaemontani"),G462&gt;0),E462*[1]Sheet1!$D$8+N462*[1]Sheet1!$E$8,IF(AND(D462="S. californicus",G462&gt;0),E462*[1]Sheet1!$D$9+N462*[1]Sheet1!$E$9,IF(D462="S. maritimus",F462*[1]Sheet1!$C$10+E462*[1]Sheet1!$D$10+G462*[1]Sheet1!$F$10+[1]Sheet1!$L$10,IF(D462="S. americanus",F462*[1]Sheet1!$C$6+E462*[1]Sheet1!$D$6+[1]Sheet1!$L$6,IF(AND(OR(D462="T. domingensis",D462="T. latifolia"),E462&gt;0),F462*[1]Sheet1!$C$4+E462*[1]Sheet1!$D$4+H462*[1]Sheet1!$J$4+I462*[1]Sheet1!$K$4+[1]Sheet1!$L$4,IF(AND(OR(D462="T. domingensis",D462="T. latifolia"),J462&gt;0),J462*[1]Sheet1!$G$5+K462*[1]Sheet1!$H$5+L462*[1]Sheet1!$I$5+[1]Sheet1!$L$5,0)))))))</f>
        <v>2.3497979999999998</v>
      </c>
      <c r="P462">
        <f t="shared" si="22"/>
        <v>2.3497979999999998</v>
      </c>
      <c r="S462">
        <f t="shared" si="23"/>
        <v>0.25517564774999996</v>
      </c>
    </row>
    <row r="463" spans="1:19">
      <c r="A463" s="5">
        <v>42502</v>
      </c>
      <c r="B463" t="s">
        <v>56</v>
      </c>
      <c r="C463">
        <v>2</v>
      </c>
      <c r="D463" t="s">
        <v>62</v>
      </c>
      <c r="E463">
        <v>110</v>
      </c>
      <c r="F463" s="6">
        <v>1.03</v>
      </c>
      <c r="G463">
        <v>2</v>
      </c>
      <c r="N463">
        <f t="shared" si="21"/>
        <v>30.551700950833332</v>
      </c>
      <c r="O463">
        <f>IF(AND(OR(D463="S. acutus",D463="S. californicus",D463="S. tabernaemontani"),G463=0),E463*[1]Sheet1!$D$7+[1]Sheet1!$L$7,IF(AND(OR(D463="S. acutus",D463="S. tabernaemontani"),G463&gt;0),E463*[1]Sheet1!$D$8+N463*[1]Sheet1!$E$8,IF(AND(D463="S. californicus",G463&gt;0),E463*[1]Sheet1!$D$9+N463*[1]Sheet1!$E$9,IF(D463="S. maritimus",F463*[1]Sheet1!$C$10+E463*[1]Sheet1!$D$10+G463*[1]Sheet1!$F$10+[1]Sheet1!$L$10,IF(D463="S. americanus",F463*[1]Sheet1!$C$6+E463*[1]Sheet1!$D$6+[1]Sheet1!$L$6,IF(AND(OR(D463="T. domingensis",D463="T. latifolia"),E463&gt;0),F463*[1]Sheet1!$C$4+E463*[1]Sheet1!$D$4+H463*[1]Sheet1!$J$4+I463*[1]Sheet1!$K$4+[1]Sheet1!$L$4,IF(AND(OR(D463="T. domingensis",D463="T. latifolia"),J463&gt;0),J463*[1]Sheet1!$G$5+K463*[1]Sheet1!$H$5+L463*[1]Sheet1!$I$5+[1]Sheet1!$L$5,0)))))))</f>
        <v>4.4563348006383618</v>
      </c>
      <c r="P463">
        <f t="shared" si="22"/>
        <v>4.4563348006383618</v>
      </c>
      <c r="S463">
        <f t="shared" si="23"/>
        <v>0.83322820774999995</v>
      </c>
    </row>
    <row r="464" spans="1:19">
      <c r="A464" s="5">
        <v>42502</v>
      </c>
      <c r="B464" t="s">
        <v>56</v>
      </c>
      <c r="C464">
        <v>2</v>
      </c>
      <c r="D464" t="s">
        <v>62</v>
      </c>
      <c r="E464">
        <v>69</v>
      </c>
      <c r="F464" s="6">
        <v>0.61</v>
      </c>
      <c r="N464">
        <f t="shared" si="21"/>
        <v>6.7216674242499987</v>
      </c>
      <c r="O464">
        <f>IF(AND(OR(D464="S. acutus",D464="S. californicus",D464="S. tabernaemontani"),G464=0),E464*[1]Sheet1!$D$7+[1]Sheet1!$L$7,IF(AND(OR(D464="S. acutus",D464="S. tabernaemontani"),G464&gt;0),E464*[1]Sheet1!$D$8+N464*[1]Sheet1!$E$8,IF(AND(D464="S. californicus",G464&gt;0),E464*[1]Sheet1!$D$9+N464*[1]Sheet1!$E$9,IF(D464="S. maritimus",F464*[1]Sheet1!$C$10+E464*[1]Sheet1!$D$10+G464*[1]Sheet1!$F$10+[1]Sheet1!$L$10,IF(D464="S. americanus",F464*[1]Sheet1!$C$6+E464*[1]Sheet1!$D$6+[1]Sheet1!$L$6,IF(AND(OR(D464="T. domingensis",D464="T. latifolia"),E464&gt;0),F464*[1]Sheet1!$C$4+E464*[1]Sheet1!$D$4+H464*[1]Sheet1!$J$4+I464*[1]Sheet1!$K$4+[1]Sheet1!$L$4,IF(AND(OR(D464="T. domingensis",D464="T. latifolia"),J464&gt;0),J464*[1]Sheet1!$G$5+K464*[1]Sheet1!$H$5+L464*[1]Sheet1!$I$5+[1]Sheet1!$L$5,0)))))))</f>
        <v>0.24664800000000042</v>
      </c>
      <c r="P464">
        <f t="shared" si="22"/>
        <v>0.24664800000000042</v>
      </c>
      <c r="S464">
        <f t="shared" si="23"/>
        <v>0.29224640974999999</v>
      </c>
    </row>
    <row r="465" spans="1:19">
      <c r="A465" s="5">
        <v>42502</v>
      </c>
      <c r="B465" t="s">
        <v>56</v>
      </c>
      <c r="C465">
        <v>2</v>
      </c>
      <c r="D465" t="s">
        <v>62</v>
      </c>
      <c r="E465">
        <v>111</v>
      </c>
      <c r="F465" s="6">
        <v>0.88</v>
      </c>
      <c r="N465">
        <f t="shared" si="21"/>
        <v>22.503837487999995</v>
      </c>
      <c r="O465">
        <f>IF(AND(OR(D465="S. acutus",D465="S. californicus",D465="S. tabernaemontani"),G465=0),E465*[1]Sheet1!$D$7+[1]Sheet1!$L$7,IF(AND(OR(D465="S. acutus",D465="S. tabernaemontani"),G465&gt;0),E465*[1]Sheet1!$D$8+N465*[1]Sheet1!$E$8,IF(AND(D465="S. californicus",G465&gt;0),E465*[1]Sheet1!$D$9+N465*[1]Sheet1!$E$9,IF(D465="S. maritimus",F465*[1]Sheet1!$C$10+E465*[1]Sheet1!$D$10+G465*[1]Sheet1!$F$10+[1]Sheet1!$L$10,IF(D465="S. americanus",F465*[1]Sheet1!$C$6+E465*[1]Sheet1!$D$6+[1]Sheet1!$L$6,IF(AND(OR(D465="T. domingensis",D465="T. latifolia"),E465&gt;0),F465*[1]Sheet1!$C$4+E465*[1]Sheet1!$D$4+H465*[1]Sheet1!$J$4+I465*[1]Sheet1!$K$4+[1]Sheet1!$L$4,IF(AND(OR(D465="T. domingensis",D465="T. latifolia"),J465&gt;0),J465*[1]Sheet1!$G$5+K465*[1]Sheet1!$H$5+L465*[1]Sheet1!$I$5+[1]Sheet1!$L$5,0)))))))</f>
        <v>3.191058</v>
      </c>
      <c r="P465">
        <f t="shared" si="22"/>
        <v>3.191058</v>
      </c>
      <c r="S465">
        <f t="shared" si="23"/>
        <v>0.60821182399999996</v>
      </c>
    </row>
    <row r="466" spans="1:19">
      <c r="A466" s="5">
        <v>42502</v>
      </c>
      <c r="B466" t="s">
        <v>56</v>
      </c>
      <c r="C466">
        <v>2</v>
      </c>
      <c r="D466" t="s">
        <v>62</v>
      </c>
      <c r="E466">
        <v>127</v>
      </c>
      <c r="F466" s="6">
        <v>0.84</v>
      </c>
      <c r="G466">
        <v>3</v>
      </c>
      <c r="N466">
        <f t="shared" si="21"/>
        <v>23.460137483999997</v>
      </c>
      <c r="O466">
        <f>IF(AND(OR(D466="S. acutus",D466="S. californicus",D466="S. tabernaemontani"),G466=0),E466*[1]Sheet1!$D$7+[1]Sheet1!$L$7,IF(AND(OR(D466="S. acutus",D466="S. tabernaemontani"),G466&gt;0),E466*[1]Sheet1!$D$8+N466*[1]Sheet1!$E$8,IF(AND(D466="S. californicus",G466&gt;0),E466*[1]Sheet1!$D$9+N466*[1]Sheet1!$E$9,IF(D466="S. maritimus",F466*[1]Sheet1!$C$10+E466*[1]Sheet1!$D$10+G466*[1]Sheet1!$F$10+[1]Sheet1!$L$10,IF(D466="S. americanus",F466*[1]Sheet1!$C$6+E466*[1]Sheet1!$D$6+[1]Sheet1!$L$6,IF(AND(OR(D466="T. domingensis",D466="T. latifolia"),E466&gt;0),F466*[1]Sheet1!$C$4+E466*[1]Sheet1!$D$4+H466*[1]Sheet1!$J$4+I466*[1]Sheet1!$K$4+[1]Sheet1!$L$4,IF(AND(OR(D466="T. domingensis",D466="T. latifolia"),J466&gt;0),J466*[1]Sheet1!$G$5+K466*[1]Sheet1!$H$5+L466*[1]Sheet1!$I$5+[1]Sheet1!$L$5,0)))))))</f>
        <v>4.4637271692522162</v>
      </c>
      <c r="P466">
        <f t="shared" si="22"/>
        <v>4.4637271692522162</v>
      </c>
      <c r="S466">
        <f t="shared" si="23"/>
        <v>0.55417647599999986</v>
      </c>
    </row>
    <row r="467" spans="1:19">
      <c r="A467" s="5">
        <v>42502</v>
      </c>
      <c r="B467" t="s">
        <v>56</v>
      </c>
      <c r="C467">
        <v>2</v>
      </c>
      <c r="D467" t="s">
        <v>62</v>
      </c>
      <c r="E467">
        <v>98</v>
      </c>
      <c r="F467" s="6">
        <v>0.91</v>
      </c>
      <c r="N467">
        <f t="shared" si="21"/>
        <v>21.24599721183333</v>
      </c>
      <c r="O467">
        <f>IF(AND(OR(D467="S. acutus",D467="S. californicus",D467="S. tabernaemontani"),G467=0),E467*[1]Sheet1!$D$7+[1]Sheet1!$L$7,IF(AND(OR(D467="S. acutus",D467="S. tabernaemontani"),G467&gt;0),E467*[1]Sheet1!$D$8+N467*[1]Sheet1!$E$8,IF(AND(D467="S. californicus",G467&gt;0),E467*[1]Sheet1!$D$9+N467*[1]Sheet1!$E$9,IF(D467="S. maritimus",F467*[1]Sheet1!$C$10+E467*[1]Sheet1!$D$10+G467*[1]Sheet1!$F$10+[1]Sheet1!$L$10,IF(D467="S. americanus",F467*[1]Sheet1!$C$6+E467*[1]Sheet1!$D$6+[1]Sheet1!$L$6,IF(AND(OR(D467="T. domingensis",D467="T. latifolia"),E467&gt;0),F467*[1]Sheet1!$C$4+E467*[1]Sheet1!$D$4+H467*[1]Sheet1!$J$4+I467*[1]Sheet1!$K$4+[1]Sheet1!$L$4,IF(AND(OR(D467="T. domingensis",D467="T. latifolia"),J467&gt;0),J467*[1]Sheet1!$G$5+K467*[1]Sheet1!$H$5+L467*[1]Sheet1!$I$5+[1]Sheet1!$L$5,0)))))))</f>
        <v>2.279693</v>
      </c>
      <c r="P467">
        <f t="shared" si="22"/>
        <v>2.279693</v>
      </c>
      <c r="S467">
        <f t="shared" si="23"/>
        <v>0.65038766975000006</v>
      </c>
    </row>
    <row r="468" spans="1:19">
      <c r="A468" s="5">
        <v>42502</v>
      </c>
      <c r="B468" t="s">
        <v>56</v>
      </c>
      <c r="C468">
        <v>2</v>
      </c>
      <c r="D468" t="s">
        <v>62</v>
      </c>
      <c r="E468">
        <v>76</v>
      </c>
      <c r="F468" s="6">
        <v>0.78</v>
      </c>
      <c r="N468">
        <f t="shared" si="21"/>
        <v>12.105174587999999</v>
      </c>
      <c r="O468">
        <f>IF(AND(OR(D468="S. acutus",D468="S. californicus",D468="S. tabernaemontani"),G468=0),E468*[1]Sheet1!$D$7+[1]Sheet1!$L$7,IF(AND(OR(D468="S. acutus",D468="S. tabernaemontani"),G468&gt;0),E468*[1]Sheet1!$D$8+N468*[1]Sheet1!$E$8,IF(AND(D468="S. californicus",G468&gt;0),E468*[1]Sheet1!$D$9+N468*[1]Sheet1!$E$9,IF(D468="S. maritimus",F468*[1]Sheet1!$C$10+E468*[1]Sheet1!$D$10+G468*[1]Sheet1!$F$10+[1]Sheet1!$L$10,IF(D468="S. americanus",F468*[1]Sheet1!$C$6+E468*[1]Sheet1!$D$6+[1]Sheet1!$L$6,IF(AND(OR(D468="T. domingensis",D468="T. latifolia"),E468&gt;0),F468*[1]Sheet1!$C$4+E468*[1]Sheet1!$D$4+H468*[1]Sheet1!$J$4+I468*[1]Sheet1!$K$4+[1]Sheet1!$L$4,IF(AND(OR(D468="T. domingensis",D468="T. latifolia"),J468&gt;0),J468*[1]Sheet1!$G$5+K468*[1]Sheet1!$H$5+L468*[1]Sheet1!$I$5+[1]Sheet1!$L$5,0)))))))</f>
        <v>0.73738300000000034</v>
      </c>
      <c r="P468">
        <f t="shared" si="22"/>
        <v>0.73738300000000034</v>
      </c>
      <c r="S468">
        <f t="shared" si="23"/>
        <v>0.47783583900000004</v>
      </c>
    </row>
    <row r="469" spans="1:19">
      <c r="A469" s="5">
        <v>42502</v>
      </c>
      <c r="B469" t="s">
        <v>56</v>
      </c>
      <c r="C469">
        <v>2</v>
      </c>
      <c r="D469" t="s">
        <v>62</v>
      </c>
      <c r="E469">
        <v>108</v>
      </c>
      <c r="F469" s="6">
        <v>0.9</v>
      </c>
      <c r="N469">
        <f t="shared" si="21"/>
        <v>22.9021911</v>
      </c>
      <c r="O469">
        <f>IF(AND(OR(D469="S. acutus",D469="S. californicus",D469="S. tabernaemontani"),G469=0),E469*[1]Sheet1!$D$7+[1]Sheet1!$L$7,IF(AND(OR(D469="S. acutus",D469="S. tabernaemontani"),G469&gt;0),E469*[1]Sheet1!$D$8+N469*[1]Sheet1!$E$8,IF(AND(D469="S. californicus",G469&gt;0),E469*[1]Sheet1!$D$9+N469*[1]Sheet1!$E$9,IF(D469="S. maritimus",F469*[1]Sheet1!$C$10+E469*[1]Sheet1!$D$10+G469*[1]Sheet1!$F$10+[1]Sheet1!$L$10,IF(D469="S. americanus",F469*[1]Sheet1!$C$6+E469*[1]Sheet1!$D$6+[1]Sheet1!$L$6,IF(AND(OR(D469="T. domingensis",D469="T. latifolia"),E469&gt;0),F469*[1]Sheet1!$C$4+E469*[1]Sheet1!$D$4+H469*[1]Sheet1!$J$4+I469*[1]Sheet1!$K$4+[1]Sheet1!$L$4,IF(AND(OR(D469="T. domingensis",D469="T. latifolia"),J469&gt;0),J469*[1]Sheet1!$G$5+K469*[1]Sheet1!$H$5+L469*[1]Sheet1!$I$5+[1]Sheet1!$L$5,0)))))))</f>
        <v>2.9807430000000004</v>
      </c>
      <c r="P469">
        <f t="shared" si="22"/>
        <v>2.9807430000000004</v>
      </c>
      <c r="S469">
        <f t="shared" si="23"/>
        <v>0.636171975</v>
      </c>
    </row>
    <row r="470" spans="1:19">
      <c r="A470" s="5">
        <v>42502</v>
      </c>
      <c r="B470" t="s">
        <v>56</v>
      </c>
      <c r="C470">
        <v>2</v>
      </c>
      <c r="D470" t="s">
        <v>62</v>
      </c>
      <c r="E470">
        <v>115</v>
      </c>
      <c r="F470" s="6">
        <v>0.72</v>
      </c>
      <c r="N470">
        <f t="shared" si="21"/>
        <v>15.607419119999998</v>
      </c>
      <c r="O470">
        <f>IF(AND(OR(D470="S. acutus",D470="S. californicus",D470="S. tabernaemontani"),G470=0),E470*[1]Sheet1!$D$7+[1]Sheet1!$L$7,IF(AND(OR(D470="S. acutus",D470="S. tabernaemontani"),G470&gt;0),E470*[1]Sheet1!$D$8+N470*[1]Sheet1!$E$8,IF(AND(D470="S. californicus",G470&gt;0),E470*[1]Sheet1!$D$9+N470*[1]Sheet1!$E$9,IF(D470="S. maritimus",F470*[1]Sheet1!$C$10+E470*[1]Sheet1!$D$10+G470*[1]Sheet1!$F$10+[1]Sheet1!$L$10,IF(D470="S. americanus",F470*[1]Sheet1!$C$6+E470*[1]Sheet1!$D$6+[1]Sheet1!$L$6,IF(AND(OR(D470="T. domingensis",D470="T. latifolia"),E470&gt;0),F470*[1]Sheet1!$C$4+E470*[1]Sheet1!$D$4+H470*[1]Sheet1!$J$4+I470*[1]Sheet1!$K$4+[1]Sheet1!$L$4,IF(AND(OR(D470="T. domingensis",D470="T. latifolia"),J470&gt;0),J470*[1]Sheet1!$G$5+K470*[1]Sheet1!$H$5+L470*[1]Sheet1!$I$5+[1]Sheet1!$L$5,0)))))))</f>
        <v>3.4714780000000003</v>
      </c>
      <c r="P470">
        <f t="shared" si="22"/>
        <v>3.4714780000000003</v>
      </c>
      <c r="S470">
        <f t="shared" si="23"/>
        <v>0.40715006399999998</v>
      </c>
    </row>
    <row r="471" spans="1:19">
      <c r="A471" s="5">
        <v>42502</v>
      </c>
      <c r="B471" t="s">
        <v>56</v>
      </c>
      <c r="C471">
        <v>2</v>
      </c>
      <c r="D471" t="s">
        <v>62</v>
      </c>
      <c r="E471">
        <v>121</v>
      </c>
      <c r="F471" s="6">
        <v>0.06</v>
      </c>
      <c r="G471" s="39">
        <v>3</v>
      </c>
      <c r="N471">
        <f t="shared" si="21"/>
        <v>0.11403971699999998</v>
      </c>
      <c r="O471">
        <f>IF(AND(OR(D471="S. acutus",D471="S. californicus",D471="S. tabernaemontani"),G471=0),E471*[1]Sheet1!$D$7+[1]Sheet1!$L$7,IF(AND(OR(D471="S. acutus",D471="S. tabernaemontani"),G471&gt;0),E471*[1]Sheet1!$D$8+N471*[1]Sheet1!$E$8,IF(AND(D471="S. californicus",G471&gt;0),E471*[1]Sheet1!$D$9+N471*[1]Sheet1!$E$9,IF(D471="S. maritimus",F471*[1]Sheet1!$C$10+E471*[1]Sheet1!$D$10+G471*[1]Sheet1!$F$10+[1]Sheet1!$L$10,IF(D471="S. americanus",F471*[1]Sheet1!$C$6+E471*[1]Sheet1!$D$6+[1]Sheet1!$L$6,IF(AND(OR(D471="T. domingensis",D471="T. latifolia"),E471&gt;0),F471*[1]Sheet1!$C$4+E471*[1]Sheet1!$D$4+H471*[1]Sheet1!$J$4+I471*[1]Sheet1!$K$4+[1]Sheet1!$L$4,IF(AND(OR(D471="T. domingensis",D471="T. latifolia"),J471&gt;0),J471*[1]Sheet1!$G$5+K471*[1]Sheet1!$H$5+L471*[1]Sheet1!$I$5+[1]Sheet1!$L$5,0)))))))</f>
        <v>2.9703027266382582</v>
      </c>
      <c r="P471">
        <f t="shared" si="22"/>
        <v>2.9703027266382582</v>
      </c>
      <c r="S471">
        <f t="shared" si="23"/>
        <v>2.8274309999999996E-3</v>
      </c>
    </row>
    <row r="472" spans="1:19">
      <c r="A472" s="5">
        <v>42502</v>
      </c>
      <c r="B472" t="s">
        <v>20</v>
      </c>
      <c r="C472">
        <v>39</v>
      </c>
      <c r="D472" t="s">
        <v>61</v>
      </c>
      <c r="F472" s="6">
        <v>2.14</v>
      </c>
      <c r="J472">
        <f>169+173+193</f>
        <v>535</v>
      </c>
      <c r="K472">
        <v>3</v>
      </c>
      <c r="L472">
        <v>193</v>
      </c>
      <c r="N472" t="str">
        <f t="shared" si="21"/>
        <v>NA</v>
      </c>
      <c r="O472">
        <f>IF(AND(OR(D472="S. acutus",D472="S. californicus",D472="S. tabernaemontani"),G472=0),E472*[1]Sheet1!$D$7+[1]Sheet1!$L$7,IF(AND(OR(D472="S. acutus",D472="S. tabernaemontani"),G472&gt;0),E472*[1]Sheet1!$D$8+N472*[1]Sheet1!$E$8,IF(AND(D472="S. californicus",G472&gt;0),E472*[1]Sheet1!$D$9+N472*[1]Sheet1!$E$9,IF(D472="S. maritimus",F472*[1]Sheet1!$C$10+E472*[1]Sheet1!$D$10+G472*[1]Sheet1!$F$10+[1]Sheet1!$L$10,IF(D472="S. americanus",F472*[1]Sheet1!$C$6+E472*[1]Sheet1!$D$6+[1]Sheet1!$L$6,IF(AND(OR(D472="T. domingensis",D472="T. latifolia"),E472&gt;0),F472*[1]Sheet1!$C$4+E472*[1]Sheet1!$D$4+H472*[1]Sheet1!$J$4+I472*[1]Sheet1!$K$4+[1]Sheet1!$L$4,IF(AND(OR(D472="T. domingensis",D472="T. latifolia"),J472&gt;0),J472*[1]Sheet1!$G$5+K472*[1]Sheet1!$H$5+L472*[1]Sheet1!$I$5+[1]Sheet1!$L$5,0)))))))</f>
        <v>3.9885650000000012</v>
      </c>
      <c r="P472">
        <f t="shared" si="22"/>
        <v>3.9885650000000012</v>
      </c>
      <c r="S472">
        <f t="shared" si="23"/>
        <v>3.5968063909999999</v>
      </c>
    </row>
    <row r="473" spans="1:19">
      <c r="A473" s="5">
        <v>42502</v>
      </c>
      <c r="B473" t="s">
        <v>20</v>
      </c>
      <c r="C473">
        <v>39</v>
      </c>
      <c r="D473" t="s">
        <v>61</v>
      </c>
      <c r="F473">
        <v>4.8499999999999996</v>
      </c>
      <c r="J473">
        <f>183+120+163+190+210+211+229+245+238+257+259</f>
        <v>2305</v>
      </c>
      <c r="K473">
        <v>11</v>
      </c>
      <c r="L473">
        <v>259</v>
      </c>
      <c r="N473" t="str">
        <f t="shared" si="21"/>
        <v>NA</v>
      </c>
      <c r="O473">
        <f>IF(AND(OR(D473="S. acutus",D473="S. californicus",D473="S. tabernaemontani"),G473=0),E473*[1]Sheet1!$D$7+[1]Sheet1!$L$7,IF(AND(OR(D473="S. acutus",D473="S. tabernaemontani"),G473&gt;0),E473*[1]Sheet1!$D$8+N473*[1]Sheet1!$E$8,IF(AND(D473="S. californicus",G473&gt;0),E473*[1]Sheet1!$D$9+N473*[1]Sheet1!$E$9,IF(D473="S. maritimus",F473*[1]Sheet1!$C$10+E473*[1]Sheet1!$D$10+G473*[1]Sheet1!$F$10+[1]Sheet1!$L$10,IF(D473="S. americanus",F473*[1]Sheet1!$C$6+E473*[1]Sheet1!$D$6+[1]Sheet1!$L$6,IF(AND(OR(D473="T. domingensis",D473="T. latifolia"),E473&gt;0),F473*[1]Sheet1!$C$4+E473*[1]Sheet1!$D$4+H473*[1]Sheet1!$J$4+I473*[1]Sheet1!$K$4+[1]Sheet1!$L$4,IF(AND(OR(D473="T. domingensis",D473="T. latifolia"),J473&gt;0),J473*[1]Sheet1!$G$5+K473*[1]Sheet1!$H$5+L473*[1]Sheet1!$I$5+[1]Sheet1!$L$5,0)))))))</f>
        <v>93.873921000000024</v>
      </c>
      <c r="P473">
        <f t="shared" si="22"/>
        <v>93.873921000000024</v>
      </c>
      <c r="S473">
        <f t="shared" si="23"/>
        <v>18.474512693749997</v>
      </c>
    </row>
    <row r="474" spans="1:19">
      <c r="A474" s="5">
        <v>42502</v>
      </c>
      <c r="B474" t="s">
        <v>20</v>
      </c>
      <c r="C474">
        <v>39</v>
      </c>
      <c r="D474" t="s">
        <v>61</v>
      </c>
      <c r="F474" s="6">
        <v>4.66</v>
      </c>
      <c r="J474">
        <f>98+123+112+155+171+201</f>
        <v>860</v>
      </c>
      <c r="K474">
        <v>6</v>
      </c>
      <c r="L474">
        <v>201</v>
      </c>
      <c r="N474" t="str">
        <f t="shared" si="21"/>
        <v>NA</v>
      </c>
      <c r="O474">
        <f>IF(AND(OR(D474="S. acutus",D474="S. californicus",D474="S. tabernaemontani"),G474=0),E474*[1]Sheet1!$D$7+[1]Sheet1!$L$7,IF(AND(OR(D474="S. acutus",D474="S. tabernaemontani"),G474&gt;0),E474*[1]Sheet1!$D$8+N474*[1]Sheet1!$E$8,IF(AND(D474="S. californicus",G474&gt;0),E474*[1]Sheet1!$D$9+N474*[1]Sheet1!$E$9,IF(D474="S. maritimus",F474*[1]Sheet1!$C$10+E474*[1]Sheet1!$D$10+G474*[1]Sheet1!$F$10+[1]Sheet1!$L$10,IF(D474="S. americanus",F474*[1]Sheet1!$C$6+E474*[1]Sheet1!$D$6+[1]Sheet1!$L$6,IF(AND(OR(D474="T. domingensis",D474="T. latifolia"),E474&gt;0),F474*[1]Sheet1!$C$4+E474*[1]Sheet1!$D$4+H474*[1]Sheet1!$J$4+I474*[1]Sheet1!$K$4+[1]Sheet1!$L$4,IF(AND(OR(D474="T. domingensis",D474="T. latifolia"),J474&gt;0),J474*[1]Sheet1!$G$5+K474*[1]Sheet1!$H$5+L474*[1]Sheet1!$I$5+[1]Sheet1!$L$5,0)))))))</f>
        <v>10.981921</v>
      </c>
      <c r="P474">
        <f t="shared" si="22"/>
        <v>10.981921</v>
      </c>
      <c r="S474">
        <f t="shared" si="23"/>
        <v>17.055377951000001</v>
      </c>
    </row>
    <row r="475" spans="1:19">
      <c r="A475" s="5">
        <v>42502</v>
      </c>
      <c r="B475" t="s">
        <v>20</v>
      </c>
      <c r="C475">
        <v>39</v>
      </c>
      <c r="D475" t="s">
        <v>61</v>
      </c>
      <c r="F475">
        <v>1.83</v>
      </c>
      <c r="J475">
        <f>152+160+180</f>
        <v>492</v>
      </c>
      <c r="K475">
        <v>3</v>
      </c>
      <c r="L475">
        <v>180</v>
      </c>
      <c r="N475" t="str">
        <f t="shared" si="21"/>
        <v>NA</v>
      </c>
      <c r="O475">
        <f>IF(AND(OR(D475="S. acutus",D475="S. californicus",D475="S. tabernaemontani"),G475=0),E475*[1]Sheet1!$D$7+[1]Sheet1!$L$7,IF(AND(OR(D475="S. acutus",D475="S. tabernaemontani"),G475&gt;0),E475*[1]Sheet1!$D$8+N475*[1]Sheet1!$E$8,IF(AND(D475="S. californicus",G475&gt;0),E475*[1]Sheet1!$D$9+N475*[1]Sheet1!$E$9,IF(D475="S. maritimus",F475*[1]Sheet1!$C$10+E475*[1]Sheet1!$D$10+G475*[1]Sheet1!$F$10+[1]Sheet1!$L$10,IF(D475="S. americanus",F475*[1]Sheet1!$C$6+E475*[1]Sheet1!$D$6+[1]Sheet1!$L$6,IF(AND(OR(D475="T. domingensis",D475="T. latifolia"),E475&gt;0),F475*[1]Sheet1!$C$4+E475*[1]Sheet1!$D$4+H475*[1]Sheet1!$J$4+I475*[1]Sheet1!$K$4+[1]Sheet1!$L$4,IF(AND(OR(D475="T. domingensis",D475="T. latifolia"),J475&gt;0),J475*[1]Sheet1!$G$5+K475*[1]Sheet1!$H$5+L475*[1]Sheet1!$I$5+[1]Sheet1!$L$5,0)))))))</f>
        <v>3.8732849999999956</v>
      </c>
      <c r="P475">
        <f t="shared" si="22"/>
        <v>3.8732849999999956</v>
      </c>
      <c r="S475">
        <f t="shared" si="23"/>
        <v>2.6302176877500001</v>
      </c>
    </row>
    <row r="476" spans="1:19">
      <c r="A476" s="5">
        <v>42502</v>
      </c>
      <c r="B476" t="s">
        <v>20</v>
      </c>
      <c r="C476">
        <v>39</v>
      </c>
      <c r="D476" t="s">
        <v>61</v>
      </c>
      <c r="F476" s="6">
        <v>0.96</v>
      </c>
      <c r="J476">
        <f>90+126</f>
        <v>216</v>
      </c>
      <c r="K476">
        <v>2</v>
      </c>
      <c r="L476">
        <v>126</v>
      </c>
      <c r="N476" t="str">
        <f t="shared" si="21"/>
        <v>NA</v>
      </c>
      <c r="O476">
        <f>IF(AND(OR(D476="S. acutus",D476="S. californicus",D476="S. tabernaemontani"),G476=0),E476*[1]Sheet1!$D$7+[1]Sheet1!$L$7,IF(AND(OR(D476="S. acutus",D476="S. tabernaemontani"),G476&gt;0),E476*[1]Sheet1!$D$8+N476*[1]Sheet1!$E$8,IF(AND(D476="S. californicus",G476&gt;0),E476*[1]Sheet1!$D$9+N476*[1]Sheet1!$E$9,IF(D476="S. maritimus",F476*[1]Sheet1!$C$10+E476*[1]Sheet1!$D$10+G476*[1]Sheet1!$F$10+[1]Sheet1!$L$10,IF(D476="S. americanus",F476*[1]Sheet1!$C$6+E476*[1]Sheet1!$D$6+[1]Sheet1!$L$6,IF(AND(OR(D476="T. domingensis",D476="T. latifolia"),E476&gt;0),F476*[1]Sheet1!$C$4+E476*[1]Sheet1!$D$4+H476*[1]Sheet1!$J$4+I476*[1]Sheet1!$K$4+[1]Sheet1!$L$4,IF(AND(OR(D476="T. domingensis",D476="T. latifolia"),J476&gt;0),J476*[1]Sheet1!$G$5+K476*[1]Sheet1!$H$5+L476*[1]Sheet1!$I$5+[1]Sheet1!$L$5,0)))))))</f>
        <v>1.2864880000000056</v>
      </c>
      <c r="P476">
        <f t="shared" si="22"/>
        <v>1.2864880000000056</v>
      </c>
      <c r="S476">
        <f t="shared" si="23"/>
        <v>0.7238223359999999</v>
      </c>
    </row>
    <row r="477" spans="1:19">
      <c r="A477" s="5">
        <v>42502</v>
      </c>
      <c r="B477" t="s">
        <v>20</v>
      </c>
      <c r="C477">
        <v>39</v>
      </c>
      <c r="D477" t="s">
        <v>61</v>
      </c>
      <c r="F477">
        <v>2.91</v>
      </c>
      <c r="J477">
        <f>166+148+199+197+236+251+253</f>
        <v>1450</v>
      </c>
      <c r="K477">
        <v>7</v>
      </c>
      <c r="L477">
        <v>253</v>
      </c>
      <c r="N477" t="str">
        <f t="shared" si="21"/>
        <v>NA</v>
      </c>
      <c r="O477">
        <f>IF(AND(OR(D477="S. acutus",D477="S. californicus",D477="S. tabernaemontani"),G477=0),E477*[1]Sheet1!$D$7+[1]Sheet1!$L$7,IF(AND(OR(D477="S. acutus",D477="S. tabernaemontani"),G477&gt;0),E477*[1]Sheet1!$D$8+N477*[1]Sheet1!$E$8,IF(AND(D477="S. californicus",G477&gt;0),E477*[1]Sheet1!$D$9+N477*[1]Sheet1!$E$9,IF(D477="S. maritimus",F477*[1]Sheet1!$C$10+E477*[1]Sheet1!$D$10+G477*[1]Sheet1!$F$10+[1]Sheet1!$L$10,IF(D477="S. americanus",F477*[1]Sheet1!$C$6+E477*[1]Sheet1!$D$6+[1]Sheet1!$L$6,IF(AND(OR(D477="T. domingensis",D477="T. latifolia"),E477&gt;0),F477*[1]Sheet1!$C$4+E477*[1]Sheet1!$D$4+H477*[1]Sheet1!$J$4+I477*[1]Sheet1!$K$4+[1]Sheet1!$L$4,IF(AND(OR(D477="T. domingensis",D477="T. latifolia"),J477&gt;0),J477*[1]Sheet1!$G$5+K477*[1]Sheet1!$H$5+L477*[1]Sheet1!$I$5+[1]Sheet1!$L$5,0)))))))</f>
        <v>43.610278000000001</v>
      </c>
      <c r="P477">
        <f t="shared" si="22"/>
        <v>43.610278000000001</v>
      </c>
      <c r="S477">
        <f t="shared" si="23"/>
        <v>6.650824569750001</v>
      </c>
    </row>
    <row r="478" spans="1:19">
      <c r="A478" s="5">
        <v>42502</v>
      </c>
      <c r="B478" t="s">
        <v>20</v>
      </c>
      <c r="C478">
        <v>39</v>
      </c>
      <c r="D478" t="s">
        <v>61</v>
      </c>
      <c r="F478" s="6">
        <v>2.12</v>
      </c>
      <c r="J478">
        <f>50+59+70+75+76</f>
        <v>330</v>
      </c>
      <c r="K478">
        <v>5</v>
      </c>
      <c r="L478">
        <v>76</v>
      </c>
      <c r="N478" t="str">
        <f t="shared" si="21"/>
        <v>NA</v>
      </c>
      <c r="O478">
        <f>IF(AND(OR(D478="S. acutus",D478="S. californicus",D478="S. tabernaemontani"),G478=0),E478*[1]Sheet1!$D$7+[1]Sheet1!$L$7,IF(AND(OR(D478="S. acutus",D478="S. tabernaemontani"),G478&gt;0),E478*[1]Sheet1!$D$8+N478*[1]Sheet1!$E$8,IF(AND(D478="S. californicus",G478&gt;0),E478*[1]Sheet1!$D$9+N478*[1]Sheet1!$E$9,IF(D478="S. maritimus",F478*[1]Sheet1!$C$10+E478*[1]Sheet1!$D$10+G478*[1]Sheet1!$F$10+[1]Sheet1!$L$10,IF(D478="S. americanus",F478*[1]Sheet1!$C$6+E478*[1]Sheet1!$D$6+[1]Sheet1!$L$6,IF(AND(OR(D478="T. domingensis",D478="T. latifolia"),E478&gt;0),F478*[1]Sheet1!$C$4+E478*[1]Sheet1!$D$4+H478*[1]Sheet1!$J$4+I478*[1]Sheet1!$K$4+[1]Sheet1!$L$4,IF(AND(OR(D478="T. domingensis",D478="T. latifolia"),J478&gt;0),J478*[1]Sheet1!$G$5+K478*[1]Sheet1!$H$5+L478*[1]Sheet1!$I$5+[1]Sheet1!$L$5,0)))))))</f>
        <v>5.9697490000000002</v>
      </c>
      <c r="P478">
        <f t="shared" si="22"/>
        <v>5.9697490000000002</v>
      </c>
      <c r="S478">
        <f t="shared" si="23"/>
        <v>3.5298905240000003</v>
      </c>
    </row>
    <row r="479" spans="1:19">
      <c r="A479" s="5">
        <v>42502</v>
      </c>
      <c r="B479" t="s">
        <v>20</v>
      </c>
      <c r="C479">
        <v>39</v>
      </c>
      <c r="D479" t="s">
        <v>61</v>
      </c>
      <c r="F479">
        <v>1.85</v>
      </c>
      <c r="J479">
        <v>100</v>
      </c>
      <c r="K479">
        <v>1</v>
      </c>
      <c r="L479">
        <v>100</v>
      </c>
      <c r="N479" t="str">
        <f t="shared" si="21"/>
        <v>NA</v>
      </c>
      <c r="O479">
        <f>IF(AND(OR(D479="S. acutus",D479="S. californicus",D479="S. tabernaemontani"),G479=0),E479*[1]Sheet1!$D$7+[1]Sheet1!$L$7,IF(AND(OR(D479="S. acutus",D479="S. tabernaemontani"),G479&gt;0),E479*[1]Sheet1!$D$8+N479*[1]Sheet1!$E$8,IF(AND(D479="S. californicus",G479&gt;0),E479*[1]Sheet1!$D$9+N479*[1]Sheet1!$E$9,IF(D479="S. maritimus",F479*[1]Sheet1!$C$10+E479*[1]Sheet1!$D$10+G479*[1]Sheet1!$F$10+[1]Sheet1!$L$10,IF(D479="S. americanus",F479*[1]Sheet1!$C$6+E479*[1]Sheet1!$D$6+[1]Sheet1!$L$6,IF(AND(OR(D479="T. domingensis",D479="T. latifolia"),E479&gt;0),F479*[1]Sheet1!$C$4+E479*[1]Sheet1!$D$4+H479*[1]Sheet1!$J$4+I479*[1]Sheet1!$K$4+[1]Sheet1!$L$4,IF(AND(OR(D479="T. domingensis",D479="T. latifolia"),J479&gt;0),J479*[1]Sheet1!$G$5+K479*[1]Sheet1!$H$5+L479*[1]Sheet1!$I$5+[1]Sheet1!$L$5,0)))))))</f>
        <v>5.2656309999999991</v>
      </c>
      <c r="P479">
        <f t="shared" si="22"/>
        <v>5.2656309999999991</v>
      </c>
      <c r="S479">
        <f t="shared" si="23"/>
        <v>2.6880229437500001</v>
      </c>
    </row>
    <row r="480" spans="1:19">
      <c r="A480" s="5">
        <v>42502</v>
      </c>
      <c r="B480" t="s">
        <v>20</v>
      </c>
      <c r="C480">
        <v>39</v>
      </c>
      <c r="D480" t="s">
        <v>61</v>
      </c>
      <c r="F480" s="6">
        <v>2.8</v>
      </c>
      <c r="J480">
        <f>102+166+167+200+197</f>
        <v>832</v>
      </c>
      <c r="K480">
        <v>5</v>
      </c>
      <c r="L480">
        <v>200</v>
      </c>
      <c r="N480" t="str">
        <f t="shared" si="21"/>
        <v>NA</v>
      </c>
      <c r="O480">
        <f>IF(AND(OR(D480="S. acutus",D480="S. californicus",D480="S. tabernaemontani"),G480=0),E480*[1]Sheet1!$D$7+[1]Sheet1!$L$7,IF(AND(OR(D480="S. acutus",D480="S. tabernaemontani"),G480&gt;0),E480*[1]Sheet1!$D$8+N480*[1]Sheet1!$E$8,IF(AND(D480="S. californicus",G480&gt;0),E480*[1]Sheet1!$D$9+N480*[1]Sheet1!$E$9,IF(D480="S. maritimus",F480*[1]Sheet1!$C$10+E480*[1]Sheet1!$D$10+G480*[1]Sheet1!$F$10+[1]Sheet1!$L$10,IF(D480="S. americanus",F480*[1]Sheet1!$C$6+E480*[1]Sheet1!$D$6+[1]Sheet1!$L$6,IF(AND(OR(D480="T. domingensis",D480="T. latifolia"),E480&gt;0),F480*[1]Sheet1!$C$4+E480*[1]Sheet1!$D$4+H480*[1]Sheet1!$J$4+I480*[1]Sheet1!$K$4+[1]Sheet1!$L$4,IF(AND(OR(D480="T. domingensis",D480="T. latifolia"),J480&gt;0),J480*[1]Sheet1!$G$5+K480*[1]Sheet1!$H$5+L480*[1]Sheet1!$I$5+[1]Sheet1!$L$5,0)))))))</f>
        <v>15.680379000000002</v>
      </c>
      <c r="P480">
        <f t="shared" si="22"/>
        <v>15.680379000000002</v>
      </c>
      <c r="S480">
        <f t="shared" si="23"/>
        <v>6.1575163999999987</v>
      </c>
    </row>
    <row r="481" spans="1:19">
      <c r="A481" s="5">
        <v>42502</v>
      </c>
      <c r="B481" t="s">
        <v>20</v>
      </c>
      <c r="C481">
        <v>39</v>
      </c>
      <c r="D481" t="s">
        <v>61</v>
      </c>
      <c r="F481">
        <v>1.9</v>
      </c>
      <c r="J481">
        <f>149+166+156+189+152</f>
        <v>812</v>
      </c>
      <c r="K481">
        <v>5</v>
      </c>
      <c r="L481">
        <v>189</v>
      </c>
      <c r="N481" t="str">
        <f t="shared" si="21"/>
        <v>NA</v>
      </c>
      <c r="O481">
        <f>IF(AND(OR(D481="S. acutus",D481="S. californicus",D481="S. tabernaemontani"),G481=0),E481*[1]Sheet1!$D$7+[1]Sheet1!$L$7,IF(AND(OR(D481="S. acutus",D481="S. tabernaemontani"),G481&gt;0),E481*[1]Sheet1!$D$8+N481*[1]Sheet1!$E$8,IF(AND(D481="S. californicus",G481&gt;0),E481*[1]Sheet1!$D$9+N481*[1]Sheet1!$E$9,IF(D481="S. maritimus",F481*[1]Sheet1!$C$10+E481*[1]Sheet1!$D$10+G481*[1]Sheet1!$F$10+[1]Sheet1!$L$10,IF(D481="S. americanus",F481*[1]Sheet1!$C$6+E481*[1]Sheet1!$D$6+[1]Sheet1!$L$6,IF(AND(OR(D481="T. domingensis",D481="T. latifolia"),E481&gt;0),F481*[1]Sheet1!$C$4+E481*[1]Sheet1!$D$4+H481*[1]Sheet1!$J$4+I481*[1]Sheet1!$K$4+[1]Sheet1!$L$4,IF(AND(OR(D481="T. domingensis",D481="T. latifolia"),J481&gt;0),J481*[1]Sheet1!$G$5+K481*[1]Sheet1!$H$5+L481*[1]Sheet1!$I$5+[1]Sheet1!$L$5,0)))))))</f>
        <v>17.118974000000009</v>
      </c>
      <c r="P481">
        <f t="shared" si="22"/>
        <v>17.118974000000009</v>
      </c>
      <c r="S481">
        <f t="shared" si="23"/>
        <v>2.835284975</v>
      </c>
    </row>
    <row r="482" spans="1:19">
      <c r="A482" s="5">
        <v>42502</v>
      </c>
      <c r="B482" t="s">
        <v>20</v>
      </c>
      <c r="C482">
        <v>24</v>
      </c>
      <c r="D482" t="s">
        <v>61</v>
      </c>
      <c r="F482" s="6">
        <v>4.16</v>
      </c>
      <c r="J482">
        <f>125+152+161+198+266+222+234+229</f>
        <v>1587</v>
      </c>
      <c r="K482">
        <v>8</v>
      </c>
      <c r="L482">
        <v>229</v>
      </c>
      <c r="N482" t="str">
        <f t="shared" si="21"/>
        <v>NA</v>
      </c>
      <c r="O482">
        <f>IF(AND(OR(D482="S. acutus",D482="S. californicus",D482="S. tabernaemontani"),G482=0),E482*[1]Sheet1!$D$7+[1]Sheet1!$L$7,IF(AND(OR(D482="S. acutus",D482="S. tabernaemontani"),G482&gt;0),E482*[1]Sheet1!$D$8+N482*[1]Sheet1!$E$8,IF(AND(D482="S. californicus",G482&gt;0),E482*[1]Sheet1!$D$9+N482*[1]Sheet1!$E$9,IF(D482="S. maritimus",F482*[1]Sheet1!$C$10+E482*[1]Sheet1!$D$10+G482*[1]Sheet1!$F$10+[1]Sheet1!$L$10,IF(D482="S. americanus",F482*[1]Sheet1!$C$6+E482*[1]Sheet1!$D$6+[1]Sheet1!$L$6,IF(AND(OR(D482="T. domingensis",D482="T. latifolia"),E482&gt;0),F482*[1]Sheet1!$C$4+E482*[1]Sheet1!$D$4+H482*[1]Sheet1!$J$4+I482*[1]Sheet1!$K$4+[1]Sheet1!$L$4,IF(AND(OR(D482="T. domingensis",D482="T. latifolia"),J482&gt;0),J482*[1]Sheet1!$G$5+K482*[1]Sheet1!$H$5+L482*[1]Sheet1!$I$5+[1]Sheet1!$L$5,0)))))))</f>
        <v>56.662240000000018</v>
      </c>
      <c r="P482">
        <f t="shared" si="22"/>
        <v>56.662240000000018</v>
      </c>
      <c r="S482">
        <f t="shared" si="23"/>
        <v>13.591774976000002</v>
      </c>
    </row>
    <row r="483" spans="1:19">
      <c r="A483" s="5">
        <v>42502</v>
      </c>
      <c r="B483" t="s">
        <v>20</v>
      </c>
      <c r="C483">
        <v>24</v>
      </c>
      <c r="D483" t="s">
        <v>61</v>
      </c>
      <c r="F483">
        <v>2.87</v>
      </c>
      <c r="J483">
        <f>121+160+155+184+194+197+206</f>
        <v>1217</v>
      </c>
      <c r="K483">
        <v>7</v>
      </c>
      <c r="L483">
        <v>206</v>
      </c>
      <c r="N483" t="str">
        <f t="shared" si="21"/>
        <v>NA</v>
      </c>
      <c r="O483">
        <f>IF(AND(OR(D483="S. acutus",D483="S. californicus",D483="S. tabernaemontani"),G483=0),E483*[1]Sheet1!$D$7+[1]Sheet1!$L$7,IF(AND(OR(D483="S. acutus",D483="S. tabernaemontani"),G483&gt;0),E483*[1]Sheet1!$D$8+N483*[1]Sheet1!$E$8,IF(AND(D483="S. californicus",G483&gt;0),E483*[1]Sheet1!$D$9+N483*[1]Sheet1!$E$9,IF(D483="S. maritimus",F483*[1]Sheet1!$C$10+E483*[1]Sheet1!$D$10+G483*[1]Sheet1!$F$10+[1]Sheet1!$L$10,IF(D483="S. americanus",F483*[1]Sheet1!$C$6+E483*[1]Sheet1!$D$6+[1]Sheet1!$L$6,IF(AND(OR(D483="T. domingensis",D483="T. latifolia"),E483&gt;0),F483*[1]Sheet1!$C$4+E483*[1]Sheet1!$D$4+H483*[1]Sheet1!$J$4+I483*[1]Sheet1!$K$4+[1]Sheet1!$L$4,IF(AND(OR(D483="T. domingensis",D483="T. latifolia"),J483&gt;0),J483*[1]Sheet1!$G$5+K483*[1]Sheet1!$H$5+L483*[1]Sheet1!$I$5+[1]Sheet1!$L$5,0)))))))</f>
        <v>35.923878000000016</v>
      </c>
      <c r="P483">
        <f t="shared" si="22"/>
        <v>35.923878000000016</v>
      </c>
      <c r="S483">
        <f t="shared" si="23"/>
        <v>6.4692406677500003</v>
      </c>
    </row>
    <row r="484" spans="1:19">
      <c r="A484" s="5">
        <v>42502</v>
      </c>
      <c r="B484" t="s">
        <v>20</v>
      </c>
      <c r="C484">
        <v>24</v>
      </c>
      <c r="D484" t="s">
        <v>61</v>
      </c>
      <c r="F484" s="6">
        <v>3.69</v>
      </c>
      <c r="J484">
        <f>131+128+157+160+181+196+215+206+222</f>
        <v>1596</v>
      </c>
      <c r="K484">
        <v>9</v>
      </c>
      <c r="L484">
        <v>222</v>
      </c>
      <c r="N484" t="str">
        <f t="shared" si="21"/>
        <v>NA</v>
      </c>
      <c r="O484">
        <f>IF(AND(OR(D484="S. acutus",D484="S. californicus",D484="S. tabernaemontani"),G484=0),E484*[1]Sheet1!$D$7+[1]Sheet1!$L$7,IF(AND(OR(D484="S. acutus",D484="S. tabernaemontani"),G484&gt;0),E484*[1]Sheet1!$D$8+N484*[1]Sheet1!$E$8,IF(AND(D484="S. californicus",G484&gt;0),E484*[1]Sheet1!$D$9+N484*[1]Sheet1!$E$9,IF(D484="S. maritimus",F484*[1]Sheet1!$C$10+E484*[1]Sheet1!$D$10+G484*[1]Sheet1!$F$10+[1]Sheet1!$L$10,IF(D484="S. americanus",F484*[1]Sheet1!$C$6+E484*[1]Sheet1!$D$6+[1]Sheet1!$L$6,IF(AND(OR(D484="T. domingensis",D484="T. latifolia"),E484&gt;0),F484*[1]Sheet1!$C$4+E484*[1]Sheet1!$D$4+H484*[1]Sheet1!$J$4+I484*[1]Sheet1!$K$4+[1]Sheet1!$L$4,IF(AND(OR(D484="T. domingensis",D484="T. latifolia"),J484&gt;0),J484*[1]Sheet1!$G$5+K484*[1]Sheet1!$H$5+L484*[1]Sheet1!$I$5+[1]Sheet1!$L$5,0)))))))</f>
        <v>52.592396999999998</v>
      </c>
      <c r="P484">
        <f t="shared" si="22"/>
        <v>52.592396999999998</v>
      </c>
      <c r="S484">
        <f t="shared" si="23"/>
        <v>10.69405089975</v>
      </c>
    </row>
    <row r="485" spans="1:19">
      <c r="A485" s="5">
        <v>42502</v>
      </c>
      <c r="B485" t="s">
        <v>20</v>
      </c>
      <c r="C485">
        <v>24</v>
      </c>
      <c r="D485" t="s">
        <v>61</v>
      </c>
      <c r="F485">
        <v>3.59</v>
      </c>
      <c r="J485">
        <f>146+165+179+199+236+232+244+222+234+243</f>
        <v>2100</v>
      </c>
      <c r="K485">
        <v>10</v>
      </c>
      <c r="L485">
        <v>243</v>
      </c>
      <c r="N485" t="str">
        <f t="shared" si="21"/>
        <v>NA</v>
      </c>
      <c r="O485">
        <f>IF(AND(OR(D485="S. acutus",D485="S. californicus",D485="S. tabernaemontani"),G485=0),E485*[1]Sheet1!$D$7+[1]Sheet1!$L$7,IF(AND(OR(D485="S. acutus",D485="S. tabernaemontani"),G485&gt;0),E485*[1]Sheet1!$D$8+N485*[1]Sheet1!$E$8,IF(AND(D485="S. californicus",G485&gt;0),E485*[1]Sheet1!$D$9+N485*[1]Sheet1!$E$9,IF(D485="S. maritimus",F485*[1]Sheet1!$C$10+E485*[1]Sheet1!$D$10+G485*[1]Sheet1!$F$10+[1]Sheet1!$L$10,IF(D485="S. americanus",F485*[1]Sheet1!$C$6+E485*[1]Sheet1!$D$6+[1]Sheet1!$L$6,IF(AND(OR(D485="T. domingensis",D485="T. latifolia"),E485&gt;0),F485*[1]Sheet1!$C$4+E485*[1]Sheet1!$D$4+H485*[1]Sheet1!$J$4+I485*[1]Sheet1!$K$4+[1]Sheet1!$L$4,IF(AND(OR(D485="T. domingensis",D485="T. latifolia"),J485&gt;0),J485*[1]Sheet1!$G$5+K485*[1]Sheet1!$H$5+L485*[1]Sheet1!$I$5+[1]Sheet1!$L$5,0)))))))</f>
        <v>86.496419000000003</v>
      </c>
      <c r="P485">
        <f t="shared" si="22"/>
        <v>86.496419000000003</v>
      </c>
      <c r="S485">
        <f t="shared" si="23"/>
        <v>10.122281519749999</v>
      </c>
    </row>
    <row r="486" spans="1:19">
      <c r="A486" s="5">
        <v>42502</v>
      </c>
      <c r="B486" t="s">
        <v>20</v>
      </c>
      <c r="C486">
        <v>24</v>
      </c>
      <c r="D486" t="s">
        <v>61</v>
      </c>
      <c r="F486" s="6">
        <v>3.61</v>
      </c>
      <c r="J486">
        <f>120+132+158+206+226+227+249+235</f>
        <v>1553</v>
      </c>
      <c r="K486">
        <v>8</v>
      </c>
      <c r="L486">
        <v>249</v>
      </c>
      <c r="N486" t="str">
        <f t="shared" si="21"/>
        <v>NA</v>
      </c>
      <c r="O486">
        <f>IF(AND(OR(D486="S. acutus",D486="S. californicus",D486="S. tabernaemontani"),G486=0),E486*[1]Sheet1!$D$7+[1]Sheet1!$L$7,IF(AND(OR(D486="S. acutus",D486="S. tabernaemontani"),G486&gt;0),E486*[1]Sheet1!$D$8+N486*[1]Sheet1!$E$8,IF(AND(D486="S. californicus",G486&gt;0),E486*[1]Sheet1!$D$9+N486*[1]Sheet1!$E$9,IF(D486="S. maritimus",F486*[1]Sheet1!$C$10+E486*[1]Sheet1!$D$10+G486*[1]Sheet1!$F$10+[1]Sheet1!$L$10,IF(D486="S. americanus",F486*[1]Sheet1!$C$6+E486*[1]Sheet1!$D$6+[1]Sheet1!$L$6,IF(AND(OR(D486="T. domingensis",D486="T. latifolia"),E486&gt;0),F486*[1]Sheet1!$C$4+E486*[1]Sheet1!$D$4+H486*[1]Sheet1!$J$4+I486*[1]Sheet1!$K$4+[1]Sheet1!$L$4,IF(AND(OR(D486="T. domingensis",D486="T. latifolia"),J486&gt;0),J486*[1]Sheet1!$G$5+K486*[1]Sheet1!$H$5+L486*[1]Sheet1!$I$5+[1]Sheet1!$L$5,0)))))))</f>
        <v>47.449670000000019</v>
      </c>
      <c r="P486">
        <f t="shared" si="22"/>
        <v>47.449670000000019</v>
      </c>
      <c r="S486">
        <f t="shared" si="23"/>
        <v>10.235378759749999</v>
      </c>
    </row>
    <row r="487" spans="1:19">
      <c r="A487" s="5">
        <v>42502</v>
      </c>
      <c r="B487" t="s">
        <v>20</v>
      </c>
      <c r="C487">
        <v>24</v>
      </c>
      <c r="D487" t="s">
        <v>61</v>
      </c>
      <c r="F487">
        <v>3.3</v>
      </c>
      <c r="J487">
        <f>138+157+178+196+198+223+226</f>
        <v>1316</v>
      </c>
      <c r="K487">
        <v>7</v>
      </c>
      <c r="L487">
        <v>223</v>
      </c>
      <c r="N487" t="str">
        <f t="shared" si="21"/>
        <v>NA</v>
      </c>
      <c r="O487">
        <f>IF(AND(OR(D487="S. acutus",D487="S. californicus",D487="S. tabernaemontani"),G487=0),E487*[1]Sheet1!$D$7+[1]Sheet1!$L$7,IF(AND(OR(D487="S. acutus",D487="S. tabernaemontani"),G487&gt;0),E487*[1]Sheet1!$D$8+N487*[1]Sheet1!$E$8,IF(AND(D487="S. californicus",G487&gt;0),E487*[1]Sheet1!$D$9+N487*[1]Sheet1!$E$9,IF(D487="S. maritimus",F487*[1]Sheet1!$C$10+E487*[1]Sheet1!$D$10+G487*[1]Sheet1!$F$10+[1]Sheet1!$L$10,IF(D487="S. americanus",F487*[1]Sheet1!$C$6+E487*[1]Sheet1!$D$6+[1]Sheet1!$L$6,IF(AND(OR(D487="T. domingensis",D487="T. latifolia"),E487&gt;0),F487*[1]Sheet1!$C$4+E487*[1]Sheet1!$D$4+H487*[1]Sheet1!$J$4+I487*[1]Sheet1!$K$4+[1]Sheet1!$L$4,IF(AND(OR(D487="T. domingensis",D487="T. latifolia"),J487&gt;0),J487*[1]Sheet1!$G$5+K487*[1]Sheet1!$H$5+L487*[1]Sheet1!$I$5+[1]Sheet1!$L$5,0)))))))</f>
        <v>40.084458000000005</v>
      </c>
      <c r="P487">
        <f t="shared" si="22"/>
        <v>40.084458000000005</v>
      </c>
      <c r="S487">
        <f t="shared" si="23"/>
        <v>8.5529787749999979</v>
      </c>
    </row>
    <row r="488" spans="1:19">
      <c r="A488" s="5">
        <v>42502</v>
      </c>
      <c r="B488" t="s">
        <v>20</v>
      </c>
      <c r="C488">
        <v>16</v>
      </c>
      <c r="D488" t="s">
        <v>61</v>
      </c>
      <c r="F488" s="6">
        <v>2.41</v>
      </c>
      <c r="J488">
        <f>86+104+128+130+149+160</f>
        <v>757</v>
      </c>
      <c r="K488">
        <v>6</v>
      </c>
      <c r="L488">
        <v>160</v>
      </c>
      <c r="N488" t="str">
        <f t="shared" si="21"/>
        <v>NA</v>
      </c>
      <c r="O488">
        <f>IF(AND(OR(D488="S. acutus",D488="S. californicus",D488="S. tabernaemontani"),G488=0),E488*[1]Sheet1!$D$7+[1]Sheet1!$L$7,IF(AND(OR(D488="S. acutus",D488="S. tabernaemontani"),G488&gt;0),E488*[1]Sheet1!$D$8+N488*[1]Sheet1!$E$8,IF(AND(D488="S. californicus",G488&gt;0),E488*[1]Sheet1!$D$9+N488*[1]Sheet1!$E$9,IF(D488="S. maritimus",F488*[1]Sheet1!$C$10+E488*[1]Sheet1!$D$10+G488*[1]Sheet1!$F$10+[1]Sheet1!$L$10,IF(D488="S. americanus",F488*[1]Sheet1!$C$6+E488*[1]Sheet1!$D$6+[1]Sheet1!$L$6,IF(AND(OR(D488="T. domingensis",D488="T. latifolia"),E488&gt;0),F488*[1]Sheet1!$C$4+E488*[1]Sheet1!$D$4+H488*[1]Sheet1!$J$4+I488*[1]Sheet1!$K$4+[1]Sheet1!$L$4,IF(AND(OR(D488="T. domingensis",D488="T. latifolia"),J488&gt;0),J488*[1]Sheet1!$G$5+K488*[1]Sheet1!$H$5+L488*[1]Sheet1!$I$5+[1]Sheet1!$L$5,0)))))))</f>
        <v>13.676201000000006</v>
      </c>
      <c r="P488">
        <f t="shared" si="22"/>
        <v>13.676201000000006</v>
      </c>
      <c r="S488">
        <f t="shared" si="23"/>
        <v>4.5616672197500003</v>
      </c>
    </row>
    <row r="489" spans="1:19">
      <c r="A489" s="5">
        <v>42502</v>
      </c>
      <c r="B489" t="s">
        <v>20</v>
      </c>
      <c r="C489">
        <v>16</v>
      </c>
      <c r="D489" t="s">
        <v>61</v>
      </c>
      <c r="F489">
        <v>2.17</v>
      </c>
      <c r="J489">
        <f>73+125+128+150+165+175+188</f>
        <v>1004</v>
      </c>
      <c r="K489">
        <v>7</v>
      </c>
      <c r="L489">
        <v>188</v>
      </c>
      <c r="N489" t="str">
        <f t="shared" si="21"/>
        <v>NA</v>
      </c>
      <c r="O489">
        <f>IF(AND(OR(D489="S. acutus",D489="S. californicus",D489="S. tabernaemontani"),G489=0),E489*[1]Sheet1!$D$7+[1]Sheet1!$L$7,IF(AND(OR(D489="S. acutus",D489="S. tabernaemontani"),G489&gt;0),E489*[1]Sheet1!$D$8+N489*[1]Sheet1!$E$8,IF(AND(D489="S. californicus",G489&gt;0),E489*[1]Sheet1!$D$9+N489*[1]Sheet1!$E$9,IF(D489="S. maritimus",F489*[1]Sheet1!$C$10+E489*[1]Sheet1!$D$10+G489*[1]Sheet1!$F$10+[1]Sheet1!$L$10,IF(D489="S. americanus",F489*[1]Sheet1!$C$6+E489*[1]Sheet1!$D$6+[1]Sheet1!$L$6,IF(AND(OR(D489="T. domingensis",D489="T. latifolia"),E489&gt;0),F489*[1]Sheet1!$C$4+E489*[1]Sheet1!$D$4+H489*[1]Sheet1!$J$4+I489*[1]Sheet1!$K$4+[1]Sheet1!$L$4,IF(AND(OR(D489="T. domingensis",D489="T. latifolia"),J489&gt;0),J489*[1]Sheet1!$G$5+K489*[1]Sheet1!$H$5+L489*[1]Sheet1!$I$5+[1]Sheet1!$L$5,0)))))))</f>
        <v>21.376473000000004</v>
      </c>
      <c r="P489">
        <f t="shared" si="22"/>
        <v>21.376473000000004</v>
      </c>
      <c r="S489">
        <f t="shared" si="23"/>
        <v>3.6983582877499996</v>
      </c>
    </row>
    <row r="490" spans="1:19">
      <c r="A490" s="5">
        <v>42502</v>
      </c>
      <c r="B490" t="s">
        <v>20</v>
      </c>
      <c r="C490">
        <v>16</v>
      </c>
      <c r="D490" t="s">
        <v>61</v>
      </c>
      <c r="F490" s="6">
        <v>2.93</v>
      </c>
      <c r="J490">
        <f>93+100+123+131+157+157+140</f>
        <v>901</v>
      </c>
      <c r="K490">
        <v>7</v>
      </c>
      <c r="L490">
        <v>157</v>
      </c>
      <c r="N490" t="str">
        <f t="shared" si="21"/>
        <v>NA</v>
      </c>
      <c r="O490">
        <f>IF(AND(OR(D490="S. acutus",D490="S. californicus",D490="S. tabernaemontani"),G490=0),E490*[1]Sheet1!$D$7+[1]Sheet1!$L$7,IF(AND(OR(D490="S. acutus",D490="S. tabernaemontani"),G490&gt;0),E490*[1]Sheet1!$D$8+N490*[1]Sheet1!$E$8,IF(AND(D490="S. californicus",G490&gt;0),E490*[1]Sheet1!$D$9+N490*[1]Sheet1!$E$9,IF(D490="S. maritimus",F490*[1]Sheet1!$C$10+E490*[1]Sheet1!$D$10+G490*[1]Sheet1!$F$10+[1]Sheet1!$L$10,IF(D490="S. americanus",F490*[1]Sheet1!$C$6+E490*[1]Sheet1!$D$6+[1]Sheet1!$L$6,IF(AND(OR(D490="T. domingensis",D490="T. latifolia"),E490&gt;0),F490*[1]Sheet1!$C$4+E490*[1]Sheet1!$D$4+H490*[1]Sheet1!$J$4+I490*[1]Sheet1!$K$4+[1]Sheet1!$L$4,IF(AND(OR(D490="T. domingensis",D490="T. latifolia"),J490&gt;0),J490*[1]Sheet1!$G$5+K490*[1]Sheet1!$H$5+L490*[1]Sheet1!$I$5+[1]Sheet1!$L$5,0)))))))</f>
        <v>21.058303000000009</v>
      </c>
      <c r="P490">
        <f t="shared" si="22"/>
        <v>21.058303000000009</v>
      </c>
      <c r="S490">
        <f t="shared" si="23"/>
        <v>6.7425589977500007</v>
      </c>
    </row>
    <row r="491" spans="1:19">
      <c r="A491" s="5">
        <v>42502</v>
      </c>
      <c r="B491" t="s">
        <v>20</v>
      </c>
      <c r="C491">
        <v>16</v>
      </c>
      <c r="D491" t="s">
        <v>61</v>
      </c>
      <c r="F491">
        <v>2.17</v>
      </c>
      <c r="J491">
        <f>107+119+140+152+156+168</f>
        <v>842</v>
      </c>
      <c r="K491">
        <v>6</v>
      </c>
      <c r="L491">
        <v>168</v>
      </c>
      <c r="N491" t="str">
        <f t="shared" si="21"/>
        <v>NA</v>
      </c>
      <c r="O491">
        <f>IF(AND(OR(D491="S. acutus",D491="S. californicus",D491="S. tabernaemontani"),G491=0),E491*[1]Sheet1!$D$7+[1]Sheet1!$L$7,IF(AND(OR(D491="S. acutus",D491="S. tabernaemontani"),G491&gt;0),E491*[1]Sheet1!$D$8+N491*[1]Sheet1!$E$8,IF(AND(D491="S. californicus",G491&gt;0),E491*[1]Sheet1!$D$9+N491*[1]Sheet1!$E$9,IF(D491="S. maritimus",F491*[1]Sheet1!$C$10+E491*[1]Sheet1!$D$10+G491*[1]Sheet1!$F$10+[1]Sheet1!$L$10,IF(D491="S. americanus",F491*[1]Sheet1!$C$6+E491*[1]Sheet1!$D$6+[1]Sheet1!$L$6,IF(AND(OR(D491="T. domingensis",D491="T. latifolia"),E491&gt;0),F491*[1]Sheet1!$C$4+E491*[1]Sheet1!$D$4+H491*[1]Sheet1!$J$4+I491*[1]Sheet1!$K$4+[1]Sheet1!$L$4,IF(AND(OR(D491="T. domingensis",D491="T. latifolia"),J491&gt;0),J491*[1]Sheet1!$G$5+K491*[1]Sheet1!$H$5+L491*[1]Sheet1!$I$5+[1]Sheet1!$L$5,0)))))))</f>
        <v>19.235416000000001</v>
      </c>
      <c r="P491">
        <f t="shared" si="22"/>
        <v>19.235416000000001</v>
      </c>
      <c r="S491">
        <f t="shared" si="23"/>
        <v>3.6983582877499996</v>
      </c>
    </row>
    <row r="492" spans="1:19">
      <c r="A492" s="5">
        <v>42502</v>
      </c>
      <c r="B492" t="s">
        <v>20</v>
      </c>
      <c r="C492">
        <v>16</v>
      </c>
      <c r="D492" t="s">
        <v>61</v>
      </c>
      <c r="F492" s="6">
        <v>3.11</v>
      </c>
      <c r="J492">
        <f>67+109+129+130+143+154+156</f>
        <v>888</v>
      </c>
      <c r="K492">
        <v>6</v>
      </c>
      <c r="L492">
        <v>156</v>
      </c>
      <c r="N492" t="str">
        <f t="shared" si="21"/>
        <v>NA</v>
      </c>
      <c r="O492">
        <f>IF(AND(OR(D492="S. acutus",D492="S. californicus",D492="S. tabernaemontani"),G492=0),E492*[1]Sheet1!$D$7+[1]Sheet1!$L$7,IF(AND(OR(D492="S. acutus",D492="S. tabernaemontani"),G492&gt;0),E492*[1]Sheet1!$D$8+N492*[1]Sheet1!$E$8,IF(AND(D492="S. californicus",G492&gt;0),E492*[1]Sheet1!$D$9+N492*[1]Sheet1!$E$9,IF(D492="S. maritimus",F492*[1]Sheet1!$C$10+E492*[1]Sheet1!$D$10+G492*[1]Sheet1!$F$10+[1]Sheet1!$L$10,IF(D492="S. americanus",F492*[1]Sheet1!$C$6+E492*[1]Sheet1!$D$6+[1]Sheet1!$L$6,IF(AND(OR(D492="T. domingensis",D492="T. latifolia"),E492&gt;0),F492*[1]Sheet1!$C$4+E492*[1]Sheet1!$D$4+H492*[1]Sheet1!$J$4+I492*[1]Sheet1!$K$4+[1]Sheet1!$L$4,IF(AND(OR(D492="T. domingensis",D492="T. latifolia"),J492&gt;0),J492*[1]Sheet1!$G$5+K492*[1]Sheet1!$H$5+L492*[1]Sheet1!$I$5+[1]Sheet1!$L$5,0)))))))</f>
        <v>27.163086</v>
      </c>
      <c r="P492">
        <f t="shared" si="22"/>
        <v>27.163086</v>
      </c>
      <c r="S492">
        <f t="shared" si="23"/>
        <v>7.5964431597499988</v>
      </c>
    </row>
    <row r="493" spans="1:19">
      <c r="A493" s="5">
        <v>42502</v>
      </c>
      <c r="B493" t="s">
        <v>20</v>
      </c>
      <c r="C493">
        <v>16</v>
      </c>
      <c r="D493" t="s">
        <v>61</v>
      </c>
      <c r="F493">
        <v>1.65</v>
      </c>
      <c r="J493">
        <f>83+97+125+129+144</f>
        <v>578</v>
      </c>
      <c r="K493">
        <v>5</v>
      </c>
      <c r="L493">
        <v>144</v>
      </c>
      <c r="N493" t="str">
        <f t="shared" si="21"/>
        <v>NA</v>
      </c>
      <c r="O493">
        <f>IF(AND(OR(D493="S. acutus",D493="S. californicus",D493="S. tabernaemontani"),G493=0),E493*[1]Sheet1!$D$7+[1]Sheet1!$L$7,IF(AND(OR(D493="S. acutus",D493="S. tabernaemontani"),G493&gt;0),E493*[1]Sheet1!$D$8+N493*[1]Sheet1!$E$8,IF(AND(D493="S. californicus",G493&gt;0),E493*[1]Sheet1!$D$9+N493*[1]Sheet1!$E$9,IF(D493="S. maritimus",F493*[1]Sheet1!$C$10+E493*[1]Sheet1!$D$10+G493*[1]Sheet1!$F$10+[1]Sheet1!$L$10,IF(D493="S. americanus",F493*[1]Sheet1!$C$6+E493*[1]Sheet1!$D$6+[1]Sheet1!$L$6,IF(AND(OR(D493="T. domingensis",D493="T. latifolia"),E493&gt;0),F493*[1]Sheet1!$C$4+E493*[1]Sheet1!$D$4+H493*[1]Sheet1!$J$4+I493*[1]Sheet1!$K$4+[1]Sheet1!$L$4,IF(AND(OR(D493="T. domingensis",D493="T. latifolia"),J493&gt;0),J493*[1]Sheet1!$G$5+K493*[1]Sheet1!$H$5+L493*[1]Sheet1!$I$5+[1]Sheet1!$L$5,0)))))))</f>
        <v>8.7363290000000049</v>
      </c>
      <c r="P493">
        <f t="shared" si="22"/>
        <v>8.7363290000000049</v>
      </c>
      <c r="S493">
        <f t="shared" si="23"/>
        <v>2.1382446937499995</v>
      </c>
    </row>
    <row r="494" spans="1:19">
      <c r="A494" s="5">
        <v>42502</v>
      </c>
      <c r="B494" t="s">
        <v>20</v>
      </c>
      <c r="C494">
        <v>16</v>
      </c>
      <c r="D494" t="s">
        <v>61</v>
      </c>
      <c r="F494" s="6">
        <v>1.49</v>
      </c>
      <c r="J494">
        <f>55+84+87+112+126</f>
        <v>464</v>
      </c>
      <c r="K494">
        <v>5</v>
      </c>
      <c r="L494">
        <v>126</v>
      </c>
      <c r="N494" t="str">
        <f t="shared" si="21"/>
        <v>NA</v>
      </c>
      <c r="O494">
        <f>IF(AND(OR(D494="S. acutus",D494="S. californicus",D494="S. tabernaemontani"),G494=0),E494*[1]Sheet1!$D$7+[1]Sheet1!$L$7,IF(AND(OR(D494="S. acutus",D494="S. tabernaemontani"),G494&gt;0),E494*[1]Sheet1!$D$8+N494*[1]Sheet1!$E$8,IF(AND(D494="S. californicus",G494&gt;0),E494*[1]Sheet1!$D$9+N494*[1]Sheet1!$E$9,IF(D494="S. maritimus",F494*[1]Sheet1!$C$10+E494*[1]Sheet1!$D$10+G494*[1]Sheet1!$F$10+[1]Sheet1!$L$10,IF(D494="S. americanus",F494*[1]Sheet1!$C$6+E494*[1]Sheet1!$D$6+[1]Sheet1!$L$6,IF(AND(OR(D494="T. domingensis",D494="T. latifolia"),E494&gt;0),F494*[1]Sheet1!$C$4+E494*[1]Sheet1!$D$4+H494*[1]Sheet1!$J$4+I494*[1]Sheet1!$K$4+[1]Sheet1!$L$4,IF(AND(OR(D494="T. domingensis",D494="T. latifolia"),J494&gt;0),J494*[1]Sheet1!$G$5+K494*[1]Sheet1!$H$5+L494*[1]Sheet1!$I$5+[1]Sheet1!$L$5,0)))))))</f>
        <v>3.470669000000008</v>
      </c>
      <c r="P494">
        <f t="shared" si="22"/>
        <v>3.470669000000008</v>
      </c>
      <c r="S494">
        <f t="shared" si="23"/>
        <v>1.7436609897499999</v>
      </c>
    </row>
    <row r="495" spans="1:19">
      <c r="A495" s="5">
        <v>42502</v>
      </c>
      <c r="B495" t="s">
        <v>20</v>
      </c>
      <c r="C495">
        <v>16</v>
      </c>
      <c r="D495" t="s">
        <v>61</v>
      </c>
      <c r="F495">
        <f>0.72</f>
        <v>0.72</v>
      </c>
      <c r="J495">
        <f>74+73+106+111+114</f>
        <v>478</v>
      </c>
      <c r="K495">
        <v>5</v>
      </c>
      <c r="L495">
        <v>114</v>
      </c>
      <c r="N495" t="str">
        <f t="shared" si="21"/>
        <v>NA</v>
      </c>
      <c r="O495">
        <f>IF(AND(OR(D495="S. acutus",D495="S. californicus",D495="S. tabernaemontani"),G495=0),E495*[1]Sheet1!$D$7+[1]Sheet1!$L$7,IF(AND(OR(D495="S. acutus",D495="S. tabernaemontani"),G495&gt;0),E495*[1]Sheet1!$D$8+N495*[1]Sheet1!$E$8,IF(AND(D495="S. californicus",G495&gt;0),E495*[1]Sheet1!$D$9+N495*[1]Sheet1!$E$9,IF(D495="S. maritimus",F495*[1]Sheet1!$C$10+E495*[1]Sheet1!$D$10+G495*[1]Sheet1!$F$10+[1]Sheet1!$L$10,IF(D495="S. americanus",F495*[1]Sheet1!$C$6+E495*[1]Sheet1!$D$6+[1]Sheet1!$L$6,IF(AND(OR(D495="T. domingensis",D495="T. latifolia"),E495&gt;0),F495*[1]Sheet1!$C$4+E495*[1]Sheet1!$D$4+H495*[1]Sheet1!$J$4+I495*[1]Sheet1!$K$4+[1]Sheet1!$L$4,IF(AND(OR(D495="T. domingensis",D495="T. latifolia"),J495&gt;0),J495*[1]Sheet1!$G$5+K495*[1]Sheet1!$H$5+L495*[1]Sheet1!$I$5+[1]Sheet1!$L$5,0)))))))</f>
        <v>8.3981790000000061</v>
      </c>
      <c r="P495">
        <f t="shared" si="22"/>
        <v>8.3981790000000061</v>
      </c>
      <c r="S495">
        <f t="shared" si="23"/>
        <v>0.40715006399999998</v>
      </c>
    </row>
    <row r="496" spans="1:19">
      <c r="A496" s="5">
        <v>42502</v>
      </c>
      <c r="B496" t="s">
        <v>20</v>
      </c>
      <c r="C496">
        <v>16</v>
      </c>
      <c r="D496" t="s">
        <v>61</v>
      </c>
      <c r="F496" s="6">
        <v>1.58</v>
      </c>
      <c r="J496">
        <f>70+101+110+137+162+179</f>
        <v>759</v>
      </c>
      <c r="K496">
        <v>6</v>
      </c>
      <c r="L496">
        <v>179</v>
      </c>
      <c r="N496" t="str">
        <f t="shared" si="21"/>
        <v>NA</v>
      </c>
      <c r="O496">
        <f>IF(AND(OR(D496="S. acutus",D496="S. californicus",D496="S. tabernaemontani"),G496=0),E496*[1]Sheet1!$D$7+[1]Sheet1!$L$7,IF(AND(OR(D496="S. acutus",D496="S. tabernaemontani"),G496&gt;0),E496*[1]Sheet1!$D$8+N496*[1]Sheet1!$E$8,IF(AND(D496="S. californicus",G496&gt;0),E496*[1]Sheet1!$D$9+N496*[1]Sheet1!$E$9,IF(D496="S. maritimus",F496*[1]Sheet1!$C$10+E496*[1]Sheet1!$D$10+G496*[1]Sheet1!$F$10+[1]Sheet1!$L$10,IF(D496="S. americanus",F496*[1]Sheet1!$C$6+E496*[1]Sheet1!$D$6+[1]Sheet1!$L$6,IF(AND(OR(D496="T. domingensis",D496="T. latifolia"),E496&gt;0),F496*[1]Sheet1!$C$4+E496*[1]Sheet1!$D$4+H496*[1]Sheet1!$J$4+I496*[1]Sheet1!$K$4+[1]Sheet1!$L$4,IF(AND(OR(D496="T. domingensis",D496="T. latifolia"),J496&gt;0),J496*[1]Sheet1!$G$5+K496*[1]Sheet1!$H$5+L496*[1]Sheet1!$I$5+[1]Sheet1!$L$5,0)))))))</f>
        <v>8.1400560000000084</v>
      </c>
      <c r="P496">
        <f t="shared" si="22"/>
        <v>8.1400560000000084</v>
      </c>
      <c r="S496">
        <f t="shared" si="23"/>
        <v>1.9606663190000002</v>
      </c>
    </row>
    <row r="497" spans="1:19">
      <c r="A497" s="5">
        <v>42502</v>
      </c>
      <c r="B497" t="s">
        <v>20</v>
      </c>
      <c r="C497">
        <v>16</v>
      </c>
      <c r="D497" t="s">
        <v>61</v>
      </c>
      <c r="F497">
        <v>1.77</v>
      </c>
      <c r="J497">
        <f>182+190+118+147+148+168</f>
        <v>953</v>
      </c>
      <c r="K497">
        <v>6</v>
      </c>
      <c r="L497">
        <v>168</v>
      </c>
      <c r="N497" t="str">
        <f t="shared" si="21"/>
        <v>NA</v>
      </c>
      <c r="O497">
        <f>IF(AND(OR(D497="S. acutus",D497="S. californicus",D497="S. tabernaemontani"),G497=0),E497*[1]Sheet1!$D$7+[1]Sheet1!$L$7,IF(AND(OR(D497="S. acutus",D497="S. tabernaemontani"),G497&gt;0),E497*[1]Sheet1!$D$8+N497*[1]Sheet1!$E$8,IF(AND(D497="S. californicus",G497&gt;0),E497*[1]Sheet1!$D$9+N497*[1]Sheet1!$E$9,IF(D497="S. maritimus",F497*[1]Sheet1!$C$10+E497*[1]Sheet1!$D$10+G497*[1]Sheet1!$F$10+[1]Sheet1!$L$10,IF(D497="S. americanus",F497*[1]Sheet1!$C$6+E497*[1]Sheet1!$D$6+[1]Sheet1!$L$6,IF(AND(OR(D497="T. domingensis",D497="T. latifolia"),E497&gt;0),F497*[1]Sheet1!$C$4+E497*[1]Sheet1!$D$4+H497*[1]Sheet1!$J$4+I497*[1]Sheet1!$K$4+[1]Sheet1!$L$4,IF(AND(OR(D497="T. domingensis",D497="T. latifolia"),J497&gt;0),J497*[1]Sheet1!$G$5+K497*[1]Sheet1!$H$5+L497*[1]Sheet1!$I$5+[1]Sheet1!$L$5,0)))))))</f>
        <v>29.642221000000006</v>
      </c>
      <c r="P497">
        <f t="shared" si="22"/>
        <v>29.642221000000006</v>
      </c>
      <c r="S497">
        <f t="shared" si="23"/>
        <v>2.4605718277499999</v>
      </c>
    </row>
    <row r="498" spans="1:19">
      <c r="A498" s="5">
        <v>42502</v>
      </c>
      <c r="B498" t="s">
        <v>20</v>
      </c>
      <c r="C498">
        <v>16</v>
      </c>
      <c r="D498" t="s">
        <v>61</v>
      </c>
      <c r="F498" s="6">
        <v>2.5499999999999998</v>
      </c>
      <c r="J498">
        <f>94+121+141+142+160+171</f>
        <v>829</v>
      </c>
      <c r="K498">
        <v>6</v>
      </c>
      <c r="L498">
        <v>171</v>
      </c>
      <c r="N498" t="str">
        <f t="shared" si="21"/>
        <v>NA</v>
      </c>
      <c r="O498">
        <f>IF(AND(OR(D498="S. acutus",D498="S. californicus",D498="S. tabernaemontani"),G498=0),E498*[1]Sheet1!$D$7+[1]Sheet1!$L$7,IF(AND(OR(D498="S. acutus",D498="S. tabernaemontani"),G498&gt;0),E498*[1]Sheet1!$D$8+N498*[1]Sheet1!$E$8,IF(AND(D498="S. californicus",G498&gt;0),E498*[1]Sheet1!$D$9+N498*[1]Sheet1!$E$9,IF(D498="S. maritimus",F498*[1]Sheet1!$C$10+E498*[1]Sheet1!$D$10+G498*[1]Sheet1!$F$10+[1]Sheet1!$L$10,IF(D498="S. americanus",F498*[1]Sheet1!$C$6+E498*[1]Sheet1!$D$6+[1]Sheet1!$L$6,IF(AND(OR(D498="T. domingensis",D498="T. latifolia"),E498&gt;0),F498*[1]Sheet1!$C$4+E498*[1]Sheet1!$D$4+H498*[1]Sheet1!$J$4+I498*[1]Sheet1!$K$4+[1]Sheet1!$L$4,IF(AND(OR(D498="T. domingensis",D498="T. latifolia"),J498&gt;0),J498*[1]Sheet1!$G$5+K498*[1]Sheet1!$H$5+L498*[1]Sheet1!$I$5+[1]Sheet1!$L$5,0)))))))</f>
        <v>17.112866000000004</v>
      </c>
      <c r="P498">
        <f t="shared" si="22"/>
        <v>17.112866000000004</v>
      </c>
      <c r="S498">
        <f t="shared" si="23"/>
        <v>5.1070472437499994</v>
      </c>
    </row>
    <row r="499" spans="1:19">
      <c r="A499" s="5">
        <v>42502</v>
      </c>
      <c r="B499" t="s">
        <v>20</v>
      </c>
      <c r="C499">
        <v>15</v>
      </c>
      <c r="D499" t="s">
        <v>63</v>
      </c>
      <c r="E499">
        <v>192</v>
      </c>
      <c r="F499">
        <v>0.18</v>
      </c>
      <c r="G499">
        <v>4</v>
      </c>
      <c r="N499">
        <f t="shared" si="21"/>
        <v>1.6286002559999997</v>
      </c>
      <c r="O499">
        <f>IF(AND(OR(D499="S. acutus",D499="S. californicus",D499="S. tabernaemontani"),G499=0),E499*[1]Sheet1!$D$7+[1]Sheet1!$L$7,IF(AND(OR(D499="S. acutus",D499="S. tabernaemontani"),G499&gt;0),E499*[1]Sheet1!$D$8+N499*[1]Sheet1!$E$8,IF(AND(D499="S. californicus",G499&gt;0),E499*[1]Sheet1!$D$9+N499*[1]Sheet1!$E$9,IF(D499="S. maritimus",F499*[1]Sheet1!$C$10+E499*[1]Sheet1!$D$10+G499*[1]Sheet1!$F$10+[1]Sheet1!$L$10,IF(D499="S. americanus",F499*[1]Sheet1!$C$6+E499*[1]Sheet1!$D$6+[1]Sheet1!$L$6,IF(AND(OR(D499="T. domingensis",D499="T. latifolia"),E499&gt;0),F499*[1]Sheet1!$C$4+E499*[1]Sheet1!$D$4+H499*[1]Sheet1!$J$4+I499*[1]Sheet1!$K$4+[1]Sheet1!$L$4,IF(AND(OR(D499="T. domingensis",D499="T. latifolia"),J499&gt;0),J499*[1]Sheet1!$G$5+K499*[1]Sheet1!$H$5+L499*[1]Sheet1!$I$5+[1]Sheet1!$L$5,0)))))))</f>
        <v>7.4458055939834304</v>
      </c>
      <c r="P499">
        <f t="shared" si="22"/>
        <v>7.4458055939834304</v>
      </c>
      <c r="S499">
        <f t="shared" si="23"/>
        <v>2.5446878999999999E-2</v>
      </c>
    </row>
    <row r="500" spans="1:19">
      <c r="A500" s="5">
        <v>42502</v>
      </c>
      <c r="B500" t="s">
        <v>20</v>
      </c>
      <c r="C500">
        <v>15</v>
      </c>
      <c r="D500" t="s">
        <v>63</v>
      </c>
      <c r="E500">
        <v>201</v>
      </c>
      <c r="F500" s="6">
        <v>0.93</v>
      </c>
      <c r="N500">
        <f t="shared" si="21"/>
        <v>45.512449949250005</v>
      </c>
      <c r="O500">
        <f>IF(AND(OR(D500="S. acutus",D500="S. californicus",D500="S. tabernaemontani"),G500=0),E500*[1]Sheet1!$D$7+[1]Sheet1!$L$7,IF(AND(OR(D500="S. acutus",D500="S. tabernaemontani"),G500&gt;0),E500*[1]Sheet1!$D$8+N500*[1]Sheet1!$E$8,IF(AND(D500="S. californicus",G500&gt;0),E500*[1]Sheet1!$D$9+N500*[1]Sheet1!$E$9,IF(D500="S. maritimus",F500*[1]Sheet1!$C$10+E500*[1]Sheet1!$D$10+G500*[1]Sheet1!$F$10+[1]Sheet1!$L$10,IF(D500="S. americanus",F500*[1]Sheet1!$C$6+E500*[1]Sheet1!$D$6+[1]Sheet1!$L$6,IF(AND(OR(D500="T. domingensis",D500="T. latifolia"),E500&gt;0),F500*[1]Sheet1!$C$4+E500*[1]Sheet1!$D$4+H500*[1]Sheet1!$J$4+I500*[1]Sheet1!$K$4+[1]Sheet1!$L$4,IF(AND(OR(D500="T. domingensis",D500="T. latifolia"),J500&gt;0),J500*[1]Sheet1!$G$5+K500*[1]Sheet1!$H$5+L500*[1]Sheet1!$I$5+[1]Sheet1!$L$5,0)))))))</f>
        <v>9.500508</v>
      </c>
      <c r="P500">
        <f t="shared" si="22"/>
        <v>9.500508</v>
      </c>
      <c r="S500">
        <f t="shared" si="23"/>
        <v>0.67929029775000005</v>
      </c>
    </row>
    <row r="501" spans="1:19">
      <c r="A501" s="5">
        <v>42502</v>
      </c>
      <c r="B501" t="s">
        <v>20</v>
      </c>
      <c r="C501">
        <v>15</v>
      </c>
      <c r="D501" t="s">
        <v>63</v>
      </c>
      <c r="E501">
        <v>41</v>
      </c>
      <c r="F501">
        <v>0.68</v>
      </c>
      <c r="N501">
        <f t="shared" si="21"/>
        <v>4.9632933213333335</v>
      </c>
      <c r="O501">
        <f>IF(AND(OR(D501="S. acutus",D501="S. californicus",D501="S. tabernaemontani"),G501=0),E501*[1]Sheet1!$D$7+[1]Sheet1!$L$7,IF(AND(OR(D501="S. acutus",D501="S. tabernaemontani"),G501&gt;0),E501*[1]Sheet1!$D$8+N501*[1]Sheet1!$E$8,IF(AND(D501="S. californicus",G501&gt;0),E501*[1]Sheet1!$D$9+N501*[1]Sheet1!$E$9,IF(D501="S. maritimus",F501*[1]Sheet1!$C$10+E501*[1]Sheet1!$D$10+G501*[1]Sheet1!$F$10+[1]Sheet1!$L$10,IF(D501="S. americanus",F501*[1]Sheet1!$C$6+E501*[1]Sheet1!$D$6+[1]Sheet1!$L$6,IF(AND(OR(D501="T. domingensis",D501="T. latifolia"),E501&gt;0),F501*[1]Sheet1!$C$4+E501*[1]Sheet1!$D$4+H501*[1]Sheet1!$J$4+I501*[1]Sheet1!$K$4+[1]Sheet1!$L$4,IF(AND(OR(D501="T. domingensis",D501="T. latifolia"),J501&gt;0),J501*[1]Sheet1!$G$5+K501*[1]Sheet1!$H$5+L501*[1]Sheet1!$I$5+[1]Sheet1!$L$5,0)))))))</f>
        <v>-1.7162919999999997</v>
      </c>
      <c r="P501" t="str">
        <f t="shared" si="22"/>
        <v xml:space="preserve"> </v>
      </c>
      <c r="S501">
        <f t="shared" si="23"/>
        <v>0.36316780400000004</v>
      </c>
    </row>
    <row r="502" spans="1:19">
      <c r="A502" s="5">
        <v>42502</v>
      </c>
      <c r="B502" t="s">
        <v>20</v>
      </c>
      <c r="C502">
        <v>15</v>
      </c>
      <c r="D502" t="s">
        <v>63</v>
      </c>
      <c r="E502">
        <v>123</v>
      </c>
      <c r="F502" s="6">
        <v>0.57999999999999996</v>
      </c>
      <c r="N502">
        <f t="shared" si="21"/>
        <v>10.832516478999997</v>
      </c>
      <c r="O502">
        <f>IF(AND(OR(D502="S. acutus",D502="S. californicus",D502="S. tabernaemontani"),G502=0),E502*[1]Sheet1!$D$7+[1]Sheet1!$L$7,IF(AND(OR(D502="S. acutus",D502="S. tabernaemontani"),G502&gt;0),E502*[1]Sheet1!$D$8+N502*[1]Sheet1!$E$8,IF(AND(D502="S. californicus",G502&gt;0),E502*[1]Sheet1!$D$9+N502*[1]Sheet1!$E$9,IF(D502="S. maritimus",F502*[1]Sheet1!$C$10+E502*[1]Sheet1!$D$10+G502*[1]Sheet1!$F$10+[1]Sheet1!$L$10,IF(D502="S. americanus",F502*[1]Sheet1!$C$6+E502*[1]Sheet1!$D$6+[1]Sheet1!$L$6,IF(AND(OR(D502="T. domingensis",D502="T. latifolia"),E502&gt;0),F502*[1]Sheet1!$C$4+E502*[1]Sheet1!$D$4+H502*[1]Sheet1!$J$4+I502*[1]Sheet1!$K$4+[1]Sheet1!$L$4,IF(AND(OR(D502="T. domingensis",D502="T. latifolia"),J502&gt;0),J502*[1]Sheet1!$G$5+K502*[1]Sheet1!$H$5+L502*[1]Sheet1!$I$5+[1]Sheet1!$L$5,0)))))))</f>
        <v>4.032318000000001</v>
      </c>
      <c r="P502">
        <f t="shared" si="22"/>
        <v>4.032318000000001</v>
      </c>
      <c r="S502">
        <f t="shared" si="23"/>
        <v>0.26420771899999995</v>
      </c>
    </row>
    <row r="503" spans="1:19">
      <c r="A503" s="5">
        <v>42502</v>
      </c>
      <c r="B503" t="s">
        <v>20</v>
      </c>
      <c r="C503">
        <v>15</v>
      </c>
      <c r="D503" t="s">
        <v>63</v>
      </c>
      <c r="E503">
        <v>255</v>
      </c>
      <c r="F503">
        <v>1.2</v>
      </c>
      <c r="G503">
        <v>5</v>
      </c>
      <c r="N503">
        <f t="shared" si="21"/>
        <v>96.132653999999988</v>
      </c>
      <c r="O503">
        <f>IF(AND(OR(D503="S. acutus",D503="S. californicus",D503="S. tabernaemontani"),G503=0),E503*[1]Sheet1!$D$7+[1]Sheet1!$L$7,IF(AND(OR(D503="S. acutus",D503="S. tabernaemontani"),G503&gt;0),E503*[1]Sheet1!$D$8+N503*[1]Sheet1!$E$8,IF(AND(D503="S. californicus",G503&gt;0),E503*[1]Sheet1!$D$9+N503*[1]Sheet1!$E$9,IF(D503="S. maritimus",F503*[1]Sheet1!$C$10+E503*[1]Sheet1!$D$10+G503*[1]Sheet1!$F$10+[1]Sheet1!$L$10,IF(D503="S. americanus",F503*[1]Sheet1!$C$6+E503*[1]Sheet1!$D$6+[1]Sheet1!$L$6,IF(AND(OR(D503="T. domingensis",D503="T. latifolia"),E503&gt;0),F503*[1]Sheet1!$C$4+E503*[1]Sheet1!$D$4+H503*[1]Sheet1!$J$4+I503*[1]Sheet1!$K$4+[1]Sheet1!$L$4,IF(AND(OR(D503="T. domingensis",D503="T. latifolia"),J503&gt;0),J503*[1]Sheet1!$G$5+K503*[1]Sheet1!$H$5+L503*[1]Sheet1!$I$5+[1]Sheet1!$L$5,0)))))))</f>
        <v>12.9148684781886</v>
      </c>
      <c r="P503">
        <f t="shared" si="22"/>
        <v>12.9148684781886</v>
      </c>
      <c r="S503">
        <f t="shared" si="23"/>
        <v>1.1309723999999999</v>
      </c>
    </row>
    <row r="504" spans="1:19">
      <c r="A504" s="5">
        <v>42502</v>
      </c>
      <c r="B504" t="s">
        <v>20</v>
      </c>
      <c r="C504">
        <v>15</v>
      </c>
      <c r="D504" t="s">
        <v>63</v>
      </c>
      <c r="E504">
        <v>225</v>
      </c>
      <c r="F504" s="6">
        <v>1.23</v>
      </c>
      <c r="G504">
        <v>3</v>
      </c>
      <c r="N504">
        <f t="shared" si="21"/>
        <v>89.117090831249982</v>
      </c>
      <c r="O504">
        <f>IF(AND(OR(D504="S. acutus",D504="S. californicus",D504="S. tabernaemontani"),G504=0),E504*[1]Sheet1!$D$7+[1]Sheet1!$L$7,IF(AND(OR(D504="S. acutus",D504="S. tabernaemontani"),G504&gt;0),E504*[1]Sheet1!$D$8+N504*[1]Sheet1!$E$8,IF(AND(D504="S. californicus",G504&gt;0),E504*[1]Sheet1!$D$9+N504*[1]Sheet1!$E$9,IF(D504="S. maritimus",F504*[1]Sheet1!$C$10+E504*[1]Sheet1!$D$10+G504*[1]Sheet1!$F$10+[1]Sheet1!$L$10,IF(D504="S. americanus",F504*[1]Sheet1!$C$6+E504*[1]Sheet1!$D$6+[1]Sheet1!$L$6,IF(AND(OR(D504="T. domingensis",D504="T. latifolia"),E504&gt;0),F504*[1]Sheet1!$C$4+E504*[1]Sheet1!$D$4+H504*[1]Sheet1!$J$4+I504*[1]Sheet1!$K$4+[1]Sheet1!$L$4,IF(AND(OR(D504="T. domingensis",D504="T. latifolia"),J504&gt;0),J504*[1]Sheet1!$G$5+K504*[1]Sheet1!$H$5+L504*[1]Sheet1!$I$5+[1]Sheet1!$L$5,0)))))))</f>
        <v>11.533748030147997</v>
      </c>
      <c r="P504">
        <f t="shared" si="22"/>
        <v>11.533748030147997</v>
      </c>
      <c r="S504">
        <f t="shared" si="23"/>
        <v>1.1882278777499999</v>
      </c>
    </row>
    <row r="505" spans="1:19">
      <c r="A505" s="5">
        <v>42502</v>
      </c>
      <c r="B505" t="s">
        <v>20</v>
      </c>
      <c r="C505">
        <v>15</v>
      </c>
      <c r="D505" t="s">
        <v>63</v>
      </c>
      <c r="E505">
        <v>29</v>
      </c>
      <c r="F505">
        <v>0.47</v>
      </c>
      <c r="N505">
        <f t="shared" si="21"/>
        <v>1.6771116415833331</v>
      </c>
      <c r="O505">
        <f>IF(AND(OR(D505="S. acutus",D505="S. californicus",D505="S. tabernaemontani"),G505=0),E505*[1]Sheet1!$D$7+[1]Sheet1!$L$7,IF(AND(OR(D505="S. acutus",D505="S. tabernaemontani"),G505&gt;0),E505*[1]Sheet1!$D$8+N505*[1]Sheet1!$E$8,IF(AND(D505="S. californicus",G505&gt;0),E505*[1]Sheet1!$D$9+N505*[1]Sheet1!$E$9,IF(D505="S. maritimus",F505*[1]Sheet1!$C$10+E505*[1]Sheet1!$D$10+G505*[1]Sheet1!$F$10+[1]Sheet1!$L$10,IF(D505="S. americanus",F505*[1]Sheet1!$C$6+E505*[1]Sheet1!$D$6+[1]Sheet1!$L$6,IF(AND(OR(D505="T. domingensis",D505="T. latifolia"),E505&gt;0),F505*[1]Sheet1!$C$4+E505*[1]Sheet1!$D$4+H505*[1]Sheet1!$J$4+I505*[1]Sheet1!$K$4+[1]Sheet1!$L$4,IF(AND(OR(D505="T. domingensis",D505="T. latifolia"),J505&gt;0),J505*[1]Sheet1!$G$5+K505*[1]Sheet1!$H$5+L505*[1]Sheet1!$I$5+[1]Sheet1!$L$5,0)))))))</f>
        <v>-2.5575519999999998</v>
      </c>
      <c r="P505" t="str">
        <f t="shared" si="22"/>
        <v xml:space="preserve"> </v>
      </c>
      <c r="S505">
        <f t="shared" si="23"/>
        <v>0.17349430774999999</v>
      </c>
    </row>
    <row r="506" spans="1:19">
      <c r="A506" s="5">
        <v>42502</v>
      </c>
      <c r="B506" t="s">
        <v>20</v>
      </c>
      <c r="C506">
        <v>15</v>
      </c>
      <c r="D506" t="s">
        <v>63</v>
      </c>
      <c r="E506">
        <v>181</v>
      </c>
      <c r="F506" s="6">
        <v>0.94</v>
      </c>
      <c r="G506">
        <v>3</v>
      </c>
      <c r="N506">
        <f t="shared" si="21"/>
        <v>41.869959603666665</v>
      </c>
      <c r="O506">
        <f>IF(AND(OR(D506="S. acutus",D506="S. californicus",D506="S. tabernaemontani"),G506=0),E506*[1]Sheet1!$D$7+[1]Sheet1!$L$7,IF(AND(OR(D506="S. acutus",D506="S. tabernaemontani"),G506&gt;0),E506*[1]Sheet1!$D$8+N506*[1]Sheet1!$E$8,IF(AND(D506="S. californicus",G506&gt;0),E506*[1]Sheet1!$D$9+N506*[1]Sheet1!$E$9,IF(D506="S. maritimus",F506*[1]Sheet1!$C$10+E506*[1]Sheet1!$D$10+G506*[1]Sheet1!$F$10+[1]Sheet1!$L$10,IF(D506="S. americanus",F506*[1]Sheet1!$C$6+E506*[1]Sheet1!$D$6+[1]Sheet1!$L$6,IF(AND(OR(D506="T. domingensis",D506="T. latifolia"),E506&gt;0),F506*[1]Sheet1!$C$4+E506*[1]Sheet1!$D$4+H506*[1]Sheet1!$J$4+I506*[1]Sheet1!$K$4+[1]Sheet1!$L$4,IF(AND(OR(D506="T. domingensis",D506="T. latifolia"),J506&gt;0),J506*[1]Sheet1!$G$5+K506*[1]Sheet1!$H$5+L506*[1]Sheet1!$I$5+[1]Sheet1!$L$5,0)))))))</f>
        <v>8.3180354822017097</v>
      </c>
      <c r="P506">
        <f t="shared" si="22"/>
        <v>8.3180354822017097</v>
      </c>
      <c r="S506">
        <f t="shared" si="23"/>
        <v>0.69397723099999997</v>
      </c>
    </row>
    <row r="507" spans="1:19">
      <c r="A507" s="5">
        <v>42502</v>
      </c>
      <c r="B507" t="s">
        <v>20</v>
      </c>
      <c r="C507">
        <v>15</v>
      </c>
      <c r="D507" t="s">
        <v>63</v>
      </c>
      <c r="E507">
        <v>29</v>
      </c>
      <c r="F507">
        <v>0.47</v>
      </c>
      <c r="N507">
        <f t="shared" si="21"/>
        <v>1.6771116415833331</v>
      </c>
      <c r="O507">
        <f>IF(AND(OR(D507="S. acutus",D507="S. californicus",D507="S. tabernaemontani"),G507=0),E507*[1]Sheet1!$D$7+[1]Sheet1!$L$7,IF(AND(OR(D507="S. acutus",D507="S. tabernaemontani"),G507&gt;0),E507*[1]Sheet1!$D$8+N507*[1]Sheet1!$E$8,IF(AND(D507="S. californicus",G507&gt;0),E507*[1]Sheet1!$D$9+N507*[1]Sheet1!$E$9,IF(D507="S. maritimus",F507*[1]Sheet1!$C$10+E507*[1]Sheet1!$D$10+G507*[1]Sheet1!$F$10+[1]Sheet1!$L$10,IF(D507="S. americanus",F507*[1]Sheet1!$C$6+E507*[1]Sheet1!$D$6+[1]Sheet1!$L$6,IF(AND(OR(D507="T. domingensis",D507="T. latifolia"),E507&gt;0),F507*[1]Sheet1!$C$4+E507*[1]Sheet1!$D$4+H507*[1]Sheet1!$J$4+I507*[1]Sheet1!$K$4+[1]Sheet1!$L$4,IF(AND(OR(D507="T. domingensis",D507="T. latifolia"),J507&gt;0),J507*[1]Sheet1!$G$5+K507*[1]Sheet1!$H$5+L507*[1]Sheet1!$I$5+[1]Sheet1!$L$5,0)))))))</f>
        <v>-2.5575519999999998</v>
      </c>
      <c r="P507" t="str">
        <f t="shared" si="22"/>
        <v xml:space="preserve"> </v>
      </c>
      <c r="S507">
        <f t="shared" si="23"/>
        <v>0.17349430774999999</v>
      </c>
    </row>
    <row r="508" spans="1:19">
      <c r="A508" s="5">
        <v>42502</v>
      </c>
      <c r="B508" t="s">
        <v>20</v>
      </c>
      <c r="C508">
        <v>15</v>
      </c>
      <c r="D508" t="s">
        <v>63</v>
      </c>
      <c r="E508">
        <v>181</v>
      </c>
      <c r="F508" s="6">
        <v>0.94</v>
      </c>
      <c r="G508">
        <v>3</v>
      </c>
      <c r="N508">
        <f t="shared" si="21"/>
        <v>41.869959603666665</v>
      </c>
      <c r="O508">
        <f>IF(AND(OR(D508="S. acutus",D508="S. californicus",D508="S. tabernaemontani"),G508=0),E508*[1]Sheet1!$D$7+[1]Sheet1!$L$7,IF(AND(OR(D508="S. acutus",D508="S. tabernaemontani"),G508&gt;0),E508*[1]Sheet1!$D$8+N508*[1]Sheet1!$E$8,IF(AND(D508="S. californicus",G508&gt;0),E508*[1]Sheet1!$D$9+N508*[1]Sheet1!$E$9,IF(D508="S. maritimus",F508*[1]Sheet1!$C$10+E508*[1]Sheet1!$D$10+G508*[1]Sheet1!$F$10+[1]Sheet1!$L$10,IF(D508="S. americanus",F508*[1]Sheet1!$C$6+E508*[1]Sheet1!$D$6+[1]Sheet1!$L$6,IF(AND(OR(D508="T. domingensis",D508="T. latifolia"),E508&gt;0),F508*[1]Sheet1!$C$4+E508*[1]Sheet1!$D$4+H508*[1]Sheet1!$J$4+I508*[1]Sheet1!$K$4+[1]Sheet1!$L$4,IF(AND(OR(D508="T. domingensis",D508="T. latifolia"),J508&gt;0),J508*[1]Sheet1!$G$5+K508*[1]Sheet1!$H$5+L508*[1]Sheet1!$I$5+[1]Sheet1!$L$5,0)))))))</f>
        <v>8.3180354822017097</v>
      </c>
      <c r="P508">
        <f t="shared" si="22"/>
        <v>8.3180354822017097</v>
      </c>
      <c r="S508">
        <f t="shared" si="23"/>
        <v>0.69397723099999997</v>
      </c>
    </row>
    <row r="509" spans="1:19">
      <c r="A509" s="5">
        <v>42502</v>
      </c>
      <c r="B509" t="s">
        <v>20</v>
      </c>
      <c r="C509">
        <v>15</v>
      </c>
      <c r="D509" t="s">
        <v>63</v>
      </c>
      <c r="E509">
        <v>247</v>
      </c>
      <c r="F509">
        <v>0.73</v>
      </c>
      <c r="G509">
        <v>2</v>
      </c>
      <c r="N509">
        <f t="shared" si="21"/>
        <v>34.459655651416661</v>
      </c>
      <c r="O509">
        <f>IF(AND(OR(D509="S. acutus",D509="S. californicus",D509="S. tabernaemontani"),G509=0),E509*[1]Sheet1!$D$7+[1]Sheet1!$L$7,IF(AND(OR(D509="S. acutus",D509="S. tabernaemontani"),G509&gt;0),E509*[1]Sheet1!$D$8+N509*[1]Sheet1!$E$8,IF(AND(D509="S. californicus",G509&gt;0),E509*[1]Sheet1!$D$9+N509*[1]Sheet1!$E$9,IF(D509="S. maritimus",F509*[1]Sheet1!$C$10+E509*[1]Sheet1!$D$10+G509*[1]Sheet1!$F$10+[1]Sheet1!$L$10,IF(D509="S. americanus",F509*[1]Sheet1!$C$6+E509*[1]Sheet1!$D$6+[1]Sheet1!$L$6,IF(AND(OR(D509="T. domingensis",D509="T. latifolia"),E509&gt;0),F509*[1]Sheet1!$C$4+E509*[1]Sheet1!$D$4+H509*[1]Sheet1!$J$4+I509*[1]Sheet1!$K$4+[1]Sheet1!$L$4,IF(AND(OR(D509="T. domingensis",D509="T. latifolia"),J509&gt;0),J509*[1]Sheet1!$G$5+K509*[1]Sheet1!$H$5+L509*[1]Sheet1!$I$5+[1]Sheet1!$L$5,0)))))))</f>
        <v>10.620885625665704</v>
      </c>
      <c r="P509">
        <f t="shared" si="22"/>
        <v>10.620885625665704</v>
      </c>
      <c r="S509">
        <f t="shared" si="23"/>
        <v>0.41853832774999994</v>
      </c>
    </row>
    <row r="510" spans="1:19">
      <c r="A510" s="5">
        <v>42502</v>
      </c>
      <c r="B510" t="s">
        <v>20</v>
      </c>
      <c r="C510">
        <v>15</v>
      </c>
      <c r="D510" t="s">
        <v>63</v>
      </c>
      <c r="E510">
        <v>280</v>
      </c>
      <c r="F510" s="6">
        <v>1.44</v>
      </c>
      <c r="G510">
        <v>4</v>
      </c>
      <c r="N510">
        <f t="shared" si="21"/>
        <v>152.00269055999996</v>
      </c>
      <c r="O510">
        <f>IF(AND(OR(D510="S. acutus",D510="S. californicus",D510="S. tabernaemontani"),G510=0),E510*[1]Sheet1!$D$7+[1]Sheet1!$L$7,IF(AND(OR(D510="S. acutus",D510="S. tabernaemontani"),G510&gt;0),E510*[1]Sheet1!$D$8+N510*[1]Sheet1!$E$8,IF(AND(D510="S. californicus",G510&gt;0),E510*[1]Sheet1!$D$9+N510*[1]Sheet1!$E$9,IF(D510="S. maritimus",F510*[1]Sheet1!$C$10+E510*[1]Sheet1!$D$10+G510*[1]Sheet1!$F$10+[1]Sheet1!$L$10,IF(D510="S. americanus",F510*[1]Sheet1!$C$6+E510*[1]Sheet1!$D$6+[1]Sheet1!$L$6,IF(AND(OR(D510="T. domingensis",D510="T. latifolia"),E510&gt;0),F510*[1]Sheet1!$C$4+E510*[1]Sheet1!$D$4+H510*[1]Sheet1!$J$4+I510*[1]Sheet1!$K$4+[1]Sheet1!$L$4,IF(AND(OR(D510="T. domingensis",D510="T. latifolia"),J510&gt;0),J510*[1]Sheet1!$G$5+K510*[1]Sheet1!$H$5+L510*[1]Sheet1!$I$5+[1]Sheet1!$L$5,0)))))))</f>
        <v>15.676611438453502</v>
      </c>
      <c r="P510">
        <f t="shared" si="22"/>
        <v>15.676611438453502</v>
      </c>
      <c r="S510">
        <f t="shared" si="23"/>
        <v>1.6286002559999999</v>
      </c>
    </row>
    <row r="511" spans="1:19">
      <c r="A511" s="5">
        <v>42502</v>
      </c>
      <c r="B511" t="s">
        <v>20</v>
      </c>
      <c r="C511">
        <v>15</v>
      </c>
      <c r="D511" t="s">
        <v>63</v>
      </c>
      <c r="E511">
        <v>240</v>
      </c>
      <c r="F511">
        <v>0.93</v>
      </c>
      <c r="N511">
        <f t="shared" si="21"/>
        <v>54.343223820000006</v>
      </c>
      <c r="O511">
        <f>IF(AND(OR(D511="S. acutus",D511="S. californicus",D511="S. tabernaemontani"),G511=0),E511*[1]Sheet1!$D$7+[1]Sheet1!$L$7,IF(AND(OR(D511="S. acutus",D511="S. tabernaemontani"),G511&gt;0),E511*[1]Sheet1!$D$8+N511*[1]Sheet1!$E$8,IF(AND(D511="S. californicus",G511&gt;0),E511*[1]Sheet1!$D$9+N511*[1]Sheet1!$E$9,IF(D511="S. maritimus",F511*[1]Sheet1!$C$10+E511*[1]Sheet1!$D$10+G511*[1]Sheet1!$F$10+[1]Sheet1!$L$10,IF(D511="S. americanus",F511*[1]Sheet1!$C$6+E511*[1]Sheet1!$D$6+[1]Sheet1!$L$6,IF(AND(OR(D511="T. domingensis",D511="T. latifolia"),E511&gt;0),F511*[1]Sheet1!$C$4+E511*[1]Sheet1!$D$4+H511*[1]Sheet1!$J$4+I511*[1]Sheet1!$K$4+[1]Sheet1!$L$4,IF(AND(OR(D511="T. domingensis",D511="T. latifolia"),J511&gt;0),J511*[1]Sheet1!$G$5+K511*[1]Sheet1!$H$5+L511*[1]Sheet1!$I$5+[1]Sheet1!$L$5,0)))))))</f>
        <v>12.234603</v>
      </c>
      <c r="P511">
        <f t="shared" si="22"/>
        <v>12.234603</v>
      </c>
      <c r="S511">
        <f t="shared" si="23"/>
        <v>0.67929029775000005</v>
      </c>
    </row>
    <row r="512" spans="1:19">
      <c r="A512" s="5">
        <v>42502</v>
      </c>
      <c r="B512" t="s">
        <v>20</v>
      </c>
      <c r="C512">
        <v>15</v>
      </c>
      <c r="D512" t="s">
        <v>63</v>
      </c>
      <c r="E512">
        <v>184</v>
      </c>
      <c r="F512" s="6">
        <v>0.87</v>
      </c>
      <c r="G512">
        <v>4</v>
      </c>
      <c r="N512">
        <f t="shared" si="21"/>
        <v>36.460665221999996</v>
      </c>
      <c r="O512">
        <f>IF(AND(OR(D512="S. acutus",D512="S. californicus",D512="S. tabernaemontani"),G512=0),E512*[1]Sheet1!$D$7+[1]Sheet1!$L$7,IF(AND(OR(D512="S. acutus",D512="S. tabernaemontani"),G512&gt;0),E512*[1]Sheet1!$D$8+N512*[1]Sheet1!$E$8,IF(AND(D512="S. californicus",G512&gt;0),E512*[1]Sheet1!$D$9+N512*[1]Sheet1!$E$9,IF(D512="S. maritimus",F512*[1]Sheet1!$C$10+E512*[1]Sheet1!$D$10+G512*[1]Sheet1!$F$10+[1]Sheet1!$L$10,IF(D512="S. americanus",F512*[1]Sheet1!$C$6+E512*[1]Sheet1!$D$6+[1]Sheet1!$L$6,IF(AND(OR(D512="T. domingensis",D512="T. latifolia"),E512&gt;0),F512*[1]Sheet1!$C$4+E512*[1]Sheet1!$D$4+H512*[1]Sheet1!$J$4+I512*[1]Sheet1!$K$4+[1]Sheet1!$L$4,IF(AND(OR(D512="T. domingensis",D512="T. latifolia"),J512&gt;0),J512*[1]Sheet1!$G$5+K512*[1]Sheet1!$H$5+L512*[1]Sheet1!$I$5+[1]Sheet1!$L$5,0)))))))</f>
        <v>8.2593726347471002</v>
      </c>
      <c r="P512">
        <f t="shared" si="22"/>
        <v>8.2593726347471002</v>
      </c>
      <c r="S512">
        <f t="shared" si="23"/>
        <v>0.59446736774999998</v>
      </c>
    </row>
    <row r="513" spans="1:19">
      <c r="A513" s="5">
        <v>42502</v>
      </c>
      <c r="B513" t="s">
        <v>20</v>
      </c>
      <c r="C513">
        <v>15</v>
      </c>
      <c r="D513" t="s">
        <v>63</v>
      </c>
      <c r="E513">
        <v>23</v>
      </c>
      <c r="F513">
        <v>0.61</v>
      </c>
      <c r="N513">
        <f t="shared" si="21"/>
        <v>2.2405558080833328</v>
      </c>
      <c r="O513">
        <f>IF(AND(OR(D513="S. acutus",D513="S. californicus",D513="S. tabernaemontani"),G513=0),E513*[1]Sheet1!$D$7+[1]Sheet1!$L$7,IF(AND(OR(D513="S. acutus",D513="S. tabernaemontani"),G513&gt;0),E513*[1]Sheet1!$D$8+N513*[1]Sheet1!$E$8,IF(AND(D513="S. californicus",G513&gt;0),E513*[1]Sheet1!$D$9+N513*[1]Sheet1!$E$9,IF(D513="S. maritimus",F513*[1]Sheet1!$C$10+E513*[1]Sheet1!$D$10+G513*[1]Sheet1!$F$10+[1]Sheet1!$L$10,IF(D513="S. americanus",F513*[1]Sheet1!$C$6+E513*[1]Sheet1!$D$6+[1]Sheet1!$L$6,IF(AND(OR(D513="T. domingensis",D513="T. latifolia"),E513&gt;0),F513*[1]Sheet1!$C$4+E513*[1]Sheet1!$D$4+H513*[1]Sheet1!$J$4+I513*[1]Sheet1!$K$4+[1]Sheet1!$L$4,IF(AND(OR(D513="T. domingensis",D513="T. latifolia"),J513&gt;0),J513*[1]Sheet1!$G$5+K513*[1]Sheet1!$H$5+L513*[1]Sheet1!$I$5+[1]Sheet1!$L$5,0)))))))</f>
        <v>-2.9781819999999999</v>
      </c>
      <c r="P513" t="str">
        <f t="shared" si="22"/>
        <v xml:space="preserve"> </v>
      </c>
      <c r="S513">
        <f t="shared" si="23"/>
        <v>0.29224640974999999</v>
      </c>
    </row>
    <row r="514" spans="1:19">
      <c r="A514" s="5">
        <v>42502</v>
      </c>
      <c r="B514" t="s">
        <v>20</v>
      </c>
      <c r="C514">
        <v>15</v>
      </c>
      <c r="D514" t="s">
        <v>63</v>
      </c>
      <c r="E514">
        <v>263</v>
      </c>
      <c r="F514" s="6">
        <v>1.03</v>
      </c>
      <c r="G514">
        <v>2</v>
      </c>
      <c r="N514">
        <f t="shared" si="21"/>
        <v>73.046339546083331</v>
      </c>
      <c r="O514">
        <f>IF(AND(OR(D514="S. acutus",D514="S. californicus",D514="S. tabernaemontani"),G514=0),E514*[1]Sheet1!$D$7+[1]Sheet1!$L$7,IF(AND(OR(D514="S. acutus",D514="S. tabernaemontani"),G514&gt;0),E514*[1]Sheet1!$D$8+N514*[1]Sheet1!$E$8,IF(AND(D514="S. californicus",G514&gt;0),E514*[1]Sheet1!$D$9+N514*[1]Sheet1!$E$9,IF(D514="S. maritimus",F514*[1]Sheet1!$C$10+E514*[1]Sheet1!$D$10+G514*[1]Sheet1!$F$10+[1]Sheet1!$L$10,IF(D514="S. americanus",F514*[1]Sheet1!$C$6+E514*[1]Sheet1!$D$6+[1]Sheet1!$L$6,IF(AND(OR(D514="T. domingensis",D514="T. latifolia"),E514&gt;0),F514*[1]Sheet1!$C$4+E514*[1]Sheet1!$D$4+H514*[1]Sheet1!$J$4+I514*[1]Sheet1!$K$4+[1]Sheet1!$L$4,IF(AND(OR(D514="T. domingensis",D514="T. latifolia"),J514&gt;0),J514*[1]Sheet1!$G$5+K514*[1]Sheet1!$H$5+L514*[1]Sheet1!$I$5+[1]Sheet1!$L$5,0)))))))</f>
        <v>12.479525175089476</v>
      </c>
      <c r="P514">
        <f t="shared" si="22"/>
        <v>12.479525175089476</v>
      </c>
      <c r="S514">
        <f t="shared" si="23"/>
        <v>0.83322820774999995</v>
      </c>
    </row>
    <row r="515" spans="1:19">
      <c r="A515" s="5">
        <v>42502</v>
      </c>
      <c r="B515" t="s">
        <v>20</v>
      </c>
      <c r="C515">
        <v>15</v>
      </c>
      <c r="D515" t="s">
        <v>63</v>
      </c>
      <c r="E515">
        <v>169</v>
      </c>
      <c r="F515">
        <v>0.83</v>
      </c>
      <c r="N515">
        <f t="shared" si="21"/>
        <v>30.47973235991666</v>
      </c>
      <c r="O515">
        <f>IF(AND(OR(D515="S. acutus",D515="S. californicus",D515="S. tabernaemontani"),G515=0),E515*[1]Sheet1!$D$7+[1]Sheet1!$L$7,IF(AND(OR(D515="S. acutus",D515="S. tabernaemontani"),G515&gt;0),E515*[1]Sheet1!$D$8+N515*[1]Sheet1!$E$8,IF(AND(D515="S. californicus",G515&gt;0),E515*[1]Sheet1!$D$9+N515*[1]Sheet1!$E$9,IF(D515="S. maritimus",F515*[1]Sheet1!$C$10+E515*[1]Sheet1!$D$10+G515*[1]Sheet1!$F$10+[1]Sheet1!$L$10,IF(D515="S. americanus",F515*[1]Sheet1!$C$6+E515*[1]Sheet1!$D$6+[1]Sheet1!$L$6,IF(AND(OR(D515="T. domingensis",D515="T. latifolia"),E515&gt;0),F515*[1]Sheet1!$C$4+E515*[1]Sheet1!$D$4+H515*[1]Sheet1!$J$4+I515*[1]Sheet1!$K$4+[1]Sheet1!$L$4,IF(AND(OR(D515="T. domingensis",D515="T. latifolia"),J515&gt;0),J515*[1]Sheet1!$G$5+K515*[1]Sheet1!$H$5+L515*[1]Sheet1!$I$5+[1]Sheet1!$L$5,0)))))))</f>
        <v>7.2571479999999999</v>
      </c>
      <c r="P515">
        <f t="shared" si="22"/>
        <v>7.2571479999999999</v>
      </c>
      <c r="S515">
        <f t="shared" si="23"/>
        <v>0.54106033774999995</v>
      </c>
    </row>
    <row r="516" spans="1:19">
      <c r="A516" s="5">
        <v>42502</v>
      </c>
      <c r="B516" t="s">
        <v>20</v>
      </c>
      <c r="C516">
        <v>15</v>
      </c>
      <c r="D516" t="s">
        <v>63</v>
      </c>
      <c r="E516">
        <v>388</v>
      </c>
      <c r="F516" s="6">
        <v>1.24</v>
      </c>
      <c r="G516">
        <v>5</v>
      </c>
      <c r="N516">
        <f t="shared" ref="N516:N579" si="24">IF(OR(D516="S. acutus", D516="S. tabernaemontani", D516="S. californicus"),(1/3)*(3.14159)*((F516/2)^2)*E516,"NA")</f>
        <v>156.18645068266665</v>
      </c>
      <c r="O516">
        <f>IF(AND(OR(D516="S. acutus",D516="S. californicus",D516="S. tabernaemontani"),G516=0),E516*[1]Sheet1!$D$7+[1]Sheet1!$L$7,IF(AND(OR(D516="S. acutus",D516="S. tabernaemontani"),G516&gt;0),E516*[1]Sheet1!$D$8+N516*[1]Sheet1!$E$8,IF(AND(D516="S. californicus",G516&gt;0),E516*[1]Sheet1!$D$9+N516*[1]Sheet1!$E$9,IF(D516="S. maritimus",F516*[1]Sheet1!$C$10+E516*[1]Sheet1!$D$10+G516*[1]Sheet1!$F$10+[1]Sheet1!$L$10,IF(D516="S. americanus",F516*[1]Sheet1!$C$6+E516*[1]Sheet1!$D$6+[1]Sheet1!$L$6,IF(AND(OR(D516="T. domingensis",D516="T. latifolia"),E516&gt;0),F516*[1]Sheet1!$C$4+E516*[1]Sheet1!$D$4+H516*[1]Sheet1!$J$4+I516*[1]Sheet1!$K$4+[1]Sheet1!$L$4,IF(AND(OR(D516="T. domingensis",D516="T. latifolia"),J516&gt;0),J516*[1]Sheet1!$G$5+K516*[1]Sheet1!$H$5+L516*[1]Sheet1!$I$5+[1]Sheet1!$L$5,0)))))))</f>
        <v>19.970099079787481</v>
      </c>
      <c r="P516">
        <f t="shared" ref="P516:P579" si="25">IF(O516&lt;0," ",O516)</f>
        <v>19.970099079787481</v>
      </c>
      <c r="S516">
        <f t="shared" ref="S516:S579" si="26">3.14159*((F516/2)^2)</f>
        <v>1.207627196</v>
      </c>
    </row>
    <row r="517" spans="1:19">
      <c r="A517" s="5">
        <v>42502</v>
      </c>
      <c r="B517" t="s">
        <v>20</v>
      </c>
      <c r="C517">
        <v>15</v>
      </c>
      <c r="D517" t="s">
        <v>63</v>
      </c>
      <c r="E517">
        <v>143</v>
      </c>
      <c r="F517">
        <v>0.74</v>
      </c>
      <c r="N517">
        <f t="shared" si="24"/>
        <v>20.50065498433333</v>
      </c>
      <c r="O517">
        <f>IF(AND(OR(D517="S. acutus",D517="S. californicus",D517="S. tabernaemontani"),G517=0),E517*[1]Sheet1!$D$7+[1]Sheet1!$L$7,IF(AND(OR(D517="S. acutus",D517="S. tabernaemontani"),G517&gt;0),E517*[1]Sheet1!$D$8+N517*[1]Sheet1!$E$8,IF(AND(D517="S. californicus",G517&gt;0),E517*[1]Sheet1!$D$9+N517*[1]Sheet1!$E$9,IF(D517="S. maritimus",F517*[1]Sheet1!$C$10+E517*[1]Sheet1!$D$10+G517*[1]Sheet1!$F$10+[1]Sheet1!$L$10,IF(D517="S. americanus",F517*[1]Sheet1!$C$6+E517*[1]Sheet1!$D$6+[1]Sheet1!$L$6,IF(AND(OR(D517="T. domingensis",D517="T. latifolia"),E517&gt;0),F517*[1]Sheet1!$C$4+E517*[1]Sheet1!$D$4+H517*[1]Sheet1!$J$4+I517*[1]Sheet1!$K$4+[1]Sheet1!$L$4,IF(AND(OR(D517="T. domingensis",D517="T. latifolia"),J517&gt;0),J517*[1]Sheet1!$G$5+K517*[1]Sheet1!$H$5+L517*[1]Sheet1!$I$5+[1]Sheet1!$L$5,0)))))))</f>
        <v>5.434418</v>
      </c>
      <c r="P517">
        <f t="shared" si="25"/>
        <v>5.434418</v>
      </c>
      <c r="S517">
        <f t="shared" si="26"/>
        <v>0.43008367099999995</v>
      </c>
    </row>
    <row r="518" spans="1:19">
      <c r="A518" s="5">
        <v>42502</v>
      </c>
      <c r="B518" t="s">
        <v>20</v>
      </c>
      <c r="C518">
        <v>15</v>
      </c>
      <c r="D518" t="s">
        <v>63</v>
      </c>
      <c r="E518">
        <v>219</v>
      </c>
      <c r="F518" s="6">
        <v>1.6</v>
      </c>
      <c r="G518">
        <v>6</v>
      </c>
      <c r="N518">
        <f t="shared" si="24"/>
        <v>146.7750848</v>
      </c>
      <c r="O518">
        <f>IF(AND(OR(D518="S. acutus",D518="S. californicus",D518="S. tabernaemontani"),G518=0),E518*[1]Sheet1!$D$7+[1]Sheet1!$L$7,IF(AND(OR(D518="S. acutus",D518="S. tabernaemontani"),G518&gt;0),E518*[1]Sheet1!$D$8+N518*[1]Sheet1!$E$8,IF(AND(D518="S. californicus",G518&gt;0),E518*[1]Sheet1!$D$9+N518*[1]Sheet1!$E$9,IF(D518="S. maritimus",F518*[1]Sheet1!$C$10+E518*[1]Sheet1!$D$10+G518*[1]Sheet1!$F$10+[1]Sheet1!$L$10,IF(D518="S. americanus",F518*[1]Sheet1!$C$6+E518*[1]Sheet1!$D$6+[1]Sheet1!$L$6,IF(AND(OR(D518="T. domingensis",D518="T. latifolia"),E518&gt;0),F518*[1]Sheet1!$C$4+E518*[1]Sheet1!$D$4+H518*[1]Sheet1!$J$4+I518*[1]Sheet1!$K$4+[1]Sheet1!$L$4,IF(AND(OR(D518="T. domingensis",D518="T. latifolia"),J518&gt;0),J518*[1]Sheet1!$G$5+K518*[1]Sheet1!$H$5+L518*[1]Sheet1!$I$5+[1]Sheet1!$L$5,0)))))))</f>
        <v>13.15934472813632</v>
      </c>
      <c r="P518">
        <f t="shared" si="25"/>
        <v>13.15934472813632</v>
      </c>
      <c r="S518">
        <f t="shared" si="26"/>
        <v>2.0106176000000002</v>
      </c>
    </row>
    <row r="519" spans="1:19">
      <c r="A519" s="5">
        <v>42502</v>
      </c>
      <c r="B519" t="s">
        <v>20</v>
      </c>
      <c r="C519">
        <v>15</v>
      </c>
      <c r="D519" t="s">
        <v>63</v>
      </c>
      <c r="E519">
        <v>182</v>
      </c>
      <c r="F519">
        <v>1.1399999999999999</v>
      </c>
      <c r="G519">
        <v>5</v>
      </c>
      <c r="N519">
        <f t="shared" si="24"/>
        <v>61.92262385399998</v>
      </c>
      <c r="O519">
        <f>IF(AND(OR(D519="S. acutus",D519="S. californicus",D519="S. tabernaemontani"),G519=0),E519*[1]Sheet1!$D$7+[1]Sheet1!$L$7,IF(AND(OR(D519="S. acutus",D519="S. tabernaemontani"),G519&gt;0),E519*[1]Sheet1!$D$8+N519*[1]Sheet1!$E$8,IF(AND(D519="S. californicus",G519&gt;0),E519*[1]Sheet1!$D$9+N519*[1]Sheet1!$E$9,IF(D519="S. maritimus",F519*[1]Sheet1!$C$10+E519*[1]Sheet1!$D$10+G519*[1]Sheet1!$F$10+[1]Sheet1!$L$10,IF(D519="S. americanus",F519*[1]Sheet1!$C$6+E519*[1]Sheet1!$D$6+[1]Sheet1!$L$6,IF(AND(OR(D519="T. domingensis",D519="T. latifolia"),E519&gt;0),F519*[1]Sheet1!$C$4+E519*[1]Sheet1!$D$4+H519*[1]Sheet1!$J$4+I519*[1]Sheet1!$K$4+[1]Sheet1!$L$4,IF(AND(OR(D519="T. domingensis",D519="T. latifolia"),J519&gt;0),J519*[1]Sheet1!$G$5+K519*[1]Sheet1!$H$5+L519*[1]Sheet1!$I$5+[1]Sheet1!$L$5,0)))))))</f>
        <v>9.0022564184602683</v>
      </c>
      <c r="P519">
        <f t="shared" si="25"/>
        <v>9.0022564184602683</v>
      </c>
      <c r="S519">
        <f t="shared" si="26"/>
        <v>1.0207025909999998</v>
      </c>
    </row>
    <row r="520" spans="1:19">
      <c r="A520" s="5">
        <v>42502</v>
      </c>
      <c r="B520" t="s">
        <v>20</v>
      </c>
      <c r="C520">
        <v>15</v>
      </c>
      <c r="D520" t="s">
        <v>63</v>
      </c>
      <c r="E520">
        <v>130</v>
      </c>
      <c r="F520" s="6">
        <v>1.1100000000000001</v>
      </c>
      <c r="G520">
        <v>2</v>
      </c>
      <c r="N520">
        <f t="shared" si="24"/>
        <v>41.933157922500001</v>
      </c>
      <c r="O520">
        <f>IF(AND(OR(D520="S. acutus",D520="S. californicus",D520="S. tabernaemontani"),G520=0),E520*[1]Sheet1!$D$7+[1]Sheet1!$L$7,IF(AND(OR(D520="S. acutus",D520="S. tabernaemontani"),G520&gt;0),E520*[1]Sheet1!$D$8+N520*[1]Sheet1!$E$8,IF(AND(D520="S. californicus",G520&gt;0),E520*[1]Sheet1!$D$9+N520*[1]Sheet1!$E$9,IF(D520="S. maritimus",F520*[1]Sheet1!$C$10+E520*[1]Sheet1!$D$10+G520*[1]Sheet1!$F$10+[1]Sheet1!$L$10,IF(D520="S. americanus",F520*[1]Sheet1!$C$6+E520*[1]Sheet1!$D$6+[1]Sheet1!$L$6,IF(AND(OR(D520="T. domingensis",D520="T. latifolia"),E520&gt;0),F520*[1]Sheet1!$C$4+E520*[1]Sheet1!$D$4+H520*[1]Sheet1!$J$4+I520*[1]Sheet1!$K$4+[1]Sheet1!$L$4,IF(AND(OR(D520="T. domingensis",D520="T. latifolia"),J520&gt;0),J520*[1]Sheet1!$G$5+K520*[1]Sheet1!$H$5+L520*[1]Sheet1!$I$5+[1]Sheet1!$L$5,0)))))))</f>
        <v>6.3562084249466304</v>
      </c>
      <c r="P520">
        <f t="shared" si="25"/>
        <v>6.3562084249466304</v>
      </c>
      <c r="S520">
        <f t="shared" si="26"/>
        <v>0.96768825975000017</v>
      </c>
    </row>
    <row r="521" spans="1:19">
      <c r="A521" s="5">
        <v>42502</v>
      </c>
      <c r="B521" t="s">
        <v>20</v>
      </c>
      <c r="C521">
        <v>15</v>
      </c>
      <c r="D521" t="s">
        <v>63</v>
      </c>
      <c r="E521">
        <v>32</v>
      </c>
      <c r="F521">
        <v>0.52</v>
      </c>
      <c r="N521">
        <f t="shared" si="24"/>
        <v>2.2652958293333332</v>
      </c>
      <c r="O521">
        <f>IF(AND(OR(D521="S. acutus",D521="S. californicus",D521="S. tabernaemontani"),G521=0),E521*[1]Sheet1!$D$7+[1]Sheet1!$L$7,IF(AND(OR(D521="S. acutus",D521="S. tabernaemontani"),G521&gt;0),E521*[1]Sheet1!$D$8+N521*[1]Sheet1!$E$8,IF(AND(D521="S. californicus",G521&gt;0),E521*[1]Sheet1!$D$9+N521*[1]Sheet1!$E$9,IF(D521="S. maritimus",F521*[1]Sheet1!$C$10+E521*[1]Sheet1!$D$10+G521*[1]Sheet1!$F$10+[1]Sheet1!$L$10,IF(D521="S. americanus",F521*[1]Sheet1!$C$6+E521*[1]Sheet1!$D$6+[1]Sheet1!$L$6,IF(AND(OR(D521="T. domingensis",D521="T. latifolia"),E521&gt;0),F521*[1]Sheet1!$C$4+E521*[1]Sheet1!$D$4+H521*[1]Sheet1!$J$4+I521*[1]Sheet1!$K$4+[1]Sheet1!$L$4,IF(AND(OR(D521="T. domingensis",D521="T. latifolia"),J521&gt;0),J521*[1]Sheet1!$G$5+K521*[1]Sheet1!$H$5+L521*[1]Sheet1!$I$5+[1]Sheet1!$L$5,0)))))))</f>
        <v>-2.3472369999999998</v>
      </c>
      <c r="P521" t="str">
        <f t="shared" si="25"/>
        <v xml:space="preserve"> </v>
      </c>
      <c r="S521">
        <f t="shared" si="26"/>
        <v>0.21237148400000003</v>
      </c>
    </row>
    <row r="522" spans="1:19">
      <c r="A522" s="5">
        <v>42502</v>
      </c>
      <c r="B522" t="s">
        <v>20</v>
      </c>
      <c r="C522">
        <v>15</v>
      </c>
      <c r="D522" t="s">
        <v>63</v>
      </c>
      <c r="E522">
        <v>129</v>
      </c>
      <c r="F522" s="6">
        <v>1.04</v>
      </c>
      <c r="N522">
        <f t="shared" si="24"/>
        <v>36.527895248</v>
      </c>
      <c r="O522">
        <f>IF(AND(OR(D522="S. acutus",D522="S. californicus",D522="S. tabernaemontani"),G522=0),E522*[1]Sheet1!$D$7+[1]Sheet1!$L$7,IF(AND(OR(D522="S. acutus",D522="S. tabernaemontani"),G522&gt;0),E522*[1]Sheet1!$D$8+N522*[1]Sheet1!$E$8,IF(AND(D522="S. californicus",G522&gt;0),E522*[1]Sheet1!$D$9+N522*[1]Sheet1!$E$9,IF(D522="S. maritimus",F522*[1]Sheet1!$C$10+E522*[1]Sheet1!$D$10+G522*[1]Sheet1!$F$10+[1]Sheet1!$L$10,IF(D522="S. americanus",F522*[1]Sheet1!$C$6+E522*[1]Sheet1!$D$6+[1]Sheet1!$L$6,IF(AND(OR(D522="T. domingensis",D522="T. latifolia"),E522&gt;0),F522*[1]Sheet1!$C$4+E522*[1]Sheet1!$D$4+H522*[1]Sheet1!$J$4+I522*[1]Sheet1!$K$4+[1]Sheet1!$L$4,IF(AND(OR(D522="T. domingensis",D522="T. latifolia"),J522&gt;0),J522*[1]Sheet1!$G$5+K522*[1]Sheet1!$H$5+L522*[1]Sheet1!$I$5+[1]Sheet1!$L$5,0)))))))</f>
        <v>4.4529480000000001</v>
      </c>
      <c r="P522">
        <f t="shared" si="25"/>
        <v>4.4529480000000001</v>
      </c>
      <c r="S522">
        <f t="shared" si="26"/>
        <v>0.84948593600000011</v>
      </c>
    </row>
    <row r="523" spans="1:19">
      <c r="A523" s="5">
        <v>42502</v>
      </c>
      <c r="B523" t="s">
        <v>20</v>
      </c>
      <c r="C523">
        <v>15</v>
      </c>
      <c r="D523" t="s">
        <v>63</v>
      </c>
      <c r="E523">
        <v>331</v>
      </c>
      <c r="F523">
        <v>1.21</v>
      </c>
      <c r="G523">
        <v>4</v>
      </c>
      <c r="N523">
        <f t="shared" si="24"/>
        <v>126.87235293241665</v>
      </c>
      <c r="O523">
        <f>IF(AND(OR(D523="S. acutus",D523="S. californicus",D523="S. tabernaemontani"),G523=0),E523*[1]Sheet1!$D$7+[1]Sheet1!$L$7,IF(AND(OR(D523="S. acutus",D523="S. tabernaemontani"),G523&gt;0),E523*[1]Sheet1!$D$8+N523*[1]Sheet1!$E$8,IF(AND(D523="S. californicus",G523&gt;0),E523*[1]Sheet1!$D$9+N523*[1]Sheet1!$E$9,IF(D523="S. maritimus",F523*[1]Sheet1!$C$10+E523*[1]Sheet1!$D$10+G523*[1]Sheet1!$F$10+[1]Sheet1!$L$10,IF(D523="S. americanus",F523*[1]Sheet1!$C$6+E523*[1]Sheet1!$D$6+[1]Sheet1!$L$6,IF(AND(OR(D523="T. domingensis",D523="T. latifolia"),E523&gt;0),F523*[1]Sheet1!$C$4+E523*[1]Sheet1!$D$4+H523*[1]Sheet1!$J$4+I523*[1]Sheet1!$K$4+[1]Sheet1!$L$4,IF(AND(OR(D523="T. domingensis",D523="T. latifolia"),J523&gt;0),J523*[1]Sheet1!$G$5+K523*[1]Sheet1!$H$5+L523*[1]Sheet1!$I$5+[1]Sheet1!$L$5,0)))))))</f>
        <v>16.831254049541457</v>
      </c>
      <c r="P523">
        <f t="shared" si="25"/>
        <v>16.831254049541457</v>
      </c>
      <c r="S523">
        <f t="shared" si="26"/>
        <v>1.1499004797499999</v>
      </c>
    </row>
    <row r="524" spans="1:19">
      <c r="A524" s="5">
        <v>42502</v>
      </c>
      <c r="B524" t="s">
        <v>20</v>
      </c>
      <c r="C524">
        <v>15</v>
      </c>
      <c r="D524" t="s">
        <v>63</v>
      </c>
      <c r="E524">
        <v>254</v>
      </c>
      <c r="F524" s="6">
        <v>1.25</v>
      </c>
      <c r="G524">
        <v>4</v>
      </c>
      <c r="N524">
        <f t="shared" si="24"/>
        <v>103.90154427083333</v>
      </c>
      <c r="O524">
        <f>IF(AND(OR(D524="S. acutus",D524="S. californicus",D524="S. tabernaemontani"),G524=0),E524*[1]Sheet1!$D$7+[1]Sheet1!$L$7,IF(AND(OR(D524="S. acutus",D524="S. tabernaemontani"),G524&gt;0),E524*[1]Sheet1!$D$8+N524*[1]Sheet1!$E$8,IF(AND(D524="S. californicus",G524&gt;0),E524*[1]Sheet1!$D$9+N524*[1]Sheet1!$E$9,IF(D524="S. maritimus",F524*[1]Sheet1!$C$10+E524*[1]Sheet1!$D$10+G524*[1]Sheet1!$F$10+[1]Sheet1!$L$10,IF(D524="S. americanus",F524*[1]Sheet1!$C$6+E524*[1]Sheet1!$D$6+[1]Sheet1!$L$6,IF(AND(OR(D524="T. domingensis",D524="T. latifolia"),E524&gt;0),F524*[1]Sheet1!$C$4+E524*[1]Sheet1!$D$4+H524*[1]Sheet1!$J$4+I524*[1]Sheet1!$K$4+[1]Sheet1!$L$4,IF(AND(OR(D524="T. domingensis",D524="T. latifolia"),J524&gt;0),J524*[1]Sheet1!$G$5+K524*[1]Sheet1!$H$5+L524*[1]Sheet1!$I$5+[1]Sheet1!$L$5,0)))))))</f>
        <v>13.126526636910675</v>
      </c>
      <c r="P524">
        <f t="shared" si="25"/>
        <v>13.126526636910675</v>
      </c>
      <c r="S524">
        <f t="shared" si="26"/>
        <v>1.22718359375</v>
      </c>
    </row>
    <row r="525" spans="1:19">
      <c r="A525" s="5">
        <v>42502</v>
      </c>
      <c r="B525" t="s">
        <v>20</v>
      </c>
      <c r="C525">
        <v>15</v>
      </c>
      <c r="D525" t="s">
        <v>63</v>
      </c>
      <c r="E525">
        <v>335</v>
      </c>
      <c r="F525">
        <v>1.24</v>
      </c>
      <c r="G525">
        <v>5</v>
      </c>
      <c r="N525">
        <f t="shared" si="24"/>
        <v>134.85170355333332</v>
      </c>
      <c r="O525">
        <f>IF(AND(OR(D525="S. acutus",D525="S. californicus",D525="S. tabernaemontani"),G525=0),E525*[1]Sheet1!$D$7+[1]Sheet1!$L$7,IF(AND(OR(D525="S. acutus",D525="S. tabernaemontani"),G525&gt;0),E525*[1]Sheet1!$D$8+N525*[1]Sheet1!$E$8,IF(AND(D525="S. californicus",G525&gt;0),E525*[1]Sheet1!$D$9+N525*[1]Sheet1!$E$9,IF(D525="S. maritimus",F525*[1]Sheet1!$C$10+E525*[1]Sheet1!$D$10+G525*[1]Sheet1!$F$10+[1]Sheet1!$L$10,IF(D525="S. americanus",F525*[1]Sheet1!$C$6+E525*[1]Sheet1!$D$6+[1]Sheet1!$L$6,IF(AND(OR(D525="T. domingensis",D525="T. latifolia"),E525&gt;0),F525*[1]Sheet1!$C$4+E525*[1]Sheet1!$D$4+H525*[1]Sheet1!$J$4+I525*[1]Sheet1!$K$4+[1]Sheet1!$L$4,IF(AND(OR(D525="T. domingensis",D525="T. latifolia"),J525&gt;0),J525*[1]Sheet1!$G$5+K525*[1]Sheet1!$H$5+L525*[1]Sheet1!$I$5+[1]Sheet1!$L$5,0)))))))</f>
        <v>17.242224720950531</v>
      </c>
      <c r="P525">
        <f t="shared" si="25"/>
        <v>17.242224720950531</v>
      </c>
      <c r="S525">
        <f t="shared" si="26"/>
        <v>1.207627196</v>
      </c>
    </row>
    <row r="526" spans="1:19">
      <c r="A526" s="5">
        <v>42502</v>
      </c>
      <c r="B526" t="s">
        <v>20</v>
      </c>
      <c r="C526">
        <v>15</v>
      </c>
      <c r="D526" t="s">
        <v>63</v>
      </c>
      <c r="E526">
        <v>243</v>
      </c>
      <c r="F526" s="6">
        <v>1.1299999999999999</v>
      </c>
      <c r="N526">
        <f t="shared" si="24"/>
        <v>81.232799487749972</v>
      </c>
      <c r="O526">
        <f>IF(AND(OR(D526="S. acutus",D526="S. californicus",D526="S. tabernaemontani"),G526=0),E526*[1]Sheet1!$D$7+[1]Sheet1!$L$7,IF(AND(OR(D526="S. acutus",D526="S. tabernaemontani"),G526&gt;0),E526*[1]Sheet1!$D$8+N526*[1]Sheet1!$E$8,IF(AND(D526="S. californicus",G526&gt;0),E526*[1]Sheet1!$D$9+N526*[1]Sheet1!$E$9,IF(D526="S. maritimus",F526*[1]Sheet1!$C$10+E526*[1]Sheet1!$D$10+G526*[1]Sheet1!$F$10+[1]Sheet1!$L$10,IF(D526="S. americanus",F526*[1]Sheet1!$C$6+E526*[1]Sheet1!$D$6+[1]Sheet1!$L$6,IF(AND(OR(D526="T. domingensis",D526="T. latifolia"),E526&gt;0),F526*[1]Sheet1!$C$4+E526*[1]Sheet1!$D$4+H526*[1]Sheet1!$J$4+I526*[1]Sheet1!$K$4+[1]Sheet1!$L$4,IF(AND(OR(D526="T. domingensis",D526="T. latifolia"),J526&gt;0),J526*[1]Sheet1!$G$5+K526*[1]Sheet1!$H$5+L526*[1]Sheet1!$I$5+[1]Sheet1!$L$5,0)))))))</f>
        <v>12.444918000000001</v>
      </c>
      <c r="P526">
        <f t="shared" si="25"/>
        <v>12.444918000000001</v>
      </c>
      <c r="S526">
        <f t="shared" si="26"/>
        <v>1.0028740677499997</v>
      </c>
    </row>
    <row r="527" spans="1:19">
      <c r="A527" s="5">
        <v>42502</v>
      </c>
      <c r="B527" t="s">
        <v>20</v>
      </c>
      <c r="C527">
        <v>15</v>
      </c>
      <c r="D527" t="s">
        <v>63</v>
      </c>
      <c r="E527">
        <v>244</v>
      </c>
      <c r="F527">
        <v>0.41</v>
      </c>
      <c r="G527">
        <v>2</v>
      </c>
      <c r="N527">
        <f t="shared" si="24"/>
        <v>10.738059339666664</v>
      </c>
      <c r="O527">
        <f>IF(AND(OR(D527="S. acutus",D527="S. californicus",D527="S. tabernaemontani"),G527=0),E527*[1]Sheet1!$D$7+[1]Sheet1!$L$7,IF(AND(OR(D527="S. acutus",D527="S. tabernaemontani"),G527&gt;0),E527*[1]Sheet1!$D$8+N527*[1]Sheet1!$E$8,IF(AND(D527="S. californicus",G527&gt;0),E527*[1]Sheet1!$D$9+N527*[1]Sheet1!$E$9,IF(D527="S. maritimus",F527*[1]Sheet1!$C$10+E527*[1]Sheet1!$D$10+G527*[1]Sheet1!$F$10+[1]Sheet1!$L$10,IF(D527="S. americanus",F527*[1]Sheet1!$C$6+E527*[1]Sheet1!$D$6+[1]Sheet1!$L$6,IF(AND(OR(D527="T. domingensis",D527="T. latifolia"),E527&gt;0),F527*[1]Sheet1!$C$4+E527*[1]Sheet1!$D$4+H527*[1]Sheet1!$J$4+I527*[1]Sheet1!$K$4+[1]Sheet1!$L$4,IF(AND(OR(D527="T. domingensis",D527="T. latifolia"),J527&gt;0),J527*[1]Sheet1!$G$5+K527*[1]Sheet1!$H$5+L527*[1]Sheet1!$I$5+[1]Sheet1!$L$5,0)))))))</f>
        <v>9.7415075749906723</v>
      </c>
      <c r="P527">
        <f t="shared" si="25"/>
        <v>9.7415075749906723</v>
      </c>
      <c r="S527">
        <f t="shared" si="26"/>
        <v>0.13202531974999998</v>
      </c>
    </row>
    <row r="528" spans="1:19">
      <c r="A528" s="5">
        <v>42502</v>
      </c>
      <c r="B528" t="s">
        <v>20</v>
      </c>
      <c r="C528">
        <v>15</v>
      </c>
      <c r="D528" t="s">
        <v>63</v>
      </c>
      <c r="E528">
        <v>240</v>
      </c>
      <c r="F528" s="6">
        <v>0.99</v>
      </c>
      <c r="N528">
        <f t="shared" si="24"/>
        <v>61.581447179999998</v>
      </c>
      <c r="O528">
        <f>IF(AND(OR(D528="S. acutus",D528="S. californicus",D528="S. tabernaemontani"),G528=0),E528*[1]Sheet1!$D$7+[1]Sheet1!$L$7,IF(AND(OR(D528="S. acutus",D528="S. tabernaemontani"),G528&gt;0),E528*[1]Sheet1!$D$8+N528*[1]Sheet1!$E$8,IF(AND(D528="S. californicus",G528&gt;0),E528*[1]Sheet1!$D$9+N528*[1]Sheet1!$E$9,IF(D528="S. maritimus",F528*[1]Sheet1!$C$10+E528*[1]Sheet1!$D$10+G528*[1]Sheet1!$F$10+[1]Sheet1!$L$10,IF(D528="S. americanus",F528*[1]Sheet1!$C$6+E528*[1]Sheet1!$D$6+[1]Sheet1!$L$6,IF(AND(OR(D528="T. domingensis",D528="T. latifolia"),E528&gt;0),F528*[1]Sheet1!$C$4+E528*[1]Sheet1!$D$4+H528*[1]Sheet1!$J$4+I528*[1]Sheet1!$K$4+[1]Sheet1!$L$4,IF(AND(OR(D528="T. domingensis",D528="T. latifolia"),J528&gt;0),J528*[1]Sheet1!$G$5+K528*[1]Sheet1!$H$5+L528*[1]Sheet1!$I$5+[1]Sheet1!$L$5,0)))))))</f>
        <v>12.234603</v>
      </c>
      <c r="P528">
        <f t="shared" si="25"/>
        <v>12.234603</v>
      </c>
      <c r="S528">
        <f t="shared" si="26"/>
        <v>0.76976808975</v>
      </c>
    </row>
    <row r="529" spans="1:19">
      <c r="A529" s="5">
        <v>42502</v>
      </c>
      <c r="B529" t="s">
        <v>20</v>
      </c>
      <c r="C529">
        <v>15</v>
      </c>
      <c r="D529" t="s">
        <v>63</v>
      </c>
      <c r="E529">
        <v>267</v>
      </c>
      <c r="F529">
        <v>1.4</v>
      </c>
      <c r="N529">
        <f t="shared" si="24"/>
        <v>137.00473989999998</v>
      </c>
      <c r="O529">
        <f>IF(AND(OR(D529="S. acutus",D529="S. californicus",D529="S. tabernaemontani"),G529=0),E529*[1]Sheet1!$D$7+[1]Sheet1!$L$7,IF(AND(OR(D529="S. acutus",D529="S. tabernaemontani"),G529&gt;0),E529*[1]Sheet1!$D$8+N529*[1]Sheet1!$E$8,IF(AND(D529="S. californicus",G529&gt;0),E529*[1]Sheet1!$D$9+N529*[1]Sheet1!$E$9,IF(D529="S. maritimus",F529*[1]Sheet1!$C$10+E529*[1]Sheet1!$D$10+G529*[1]Sheet1!$F$10+[1]Sheet1!$L$10,IF(D529="S. americanus",F529*[1]Sheet1!$C$6+E529*[1]Sheet1!$D$6+[1]Sheet1!$L$6,IF(AND(OR(D529="T. domingensis",D529="T. latifolia"),E529&gt;0),F529*[1]Sheet1!$C$4+E529*[1]Sheet1!$D$4+H529*[1]Sheet1!$J$4+I529*[1]Sheet1!$K$4+[1]Sheet1!$L$4,IF(AND(OR(D529="T. domingensis",D529="T. latifolia"),J529&gt;0),J529*[1]Sheet1!$G$5+K529*[1]Sheet1!$H$5+L529*[1]Sheet1!$I$5+[1]Sheet1!$L$5,0)))))))</f>
        <v>14.127438000000001</v>
      </c>
      <c r="P529">
        <f t="shared" si="25"/>
        <v>14.127438000000001</v>
      </c>
      <c r="S529">
        <f t="shared" si="26"/>
        <v>1.5393790999999997</v>
      </c>
    </row>
    <row r="530" spans="1:19">
      <c r="A530" s="5">
        <v>42502</v>
      </c>
      <c r="B530" t="s">
        <v>20</v>
      </c>
      <c r="C530">
        <v>15</v>
      </c>
      <c r="D530" t="s">
        <v>63</v>
      </c>
      <c r="E530">
        <v>184</v>
      </c>
      <c r="F530" s="6">
        <v>1.22</v>
      </c>
      <c r="G530">
        <v>4</v>
      </c>
      <c r="N530">
        <f t="shared" si="24"/>
        <v>71.697785858666649</v>
      </c>
      <c r="O530">
        <f>IF(AND(OR(D530="S. acutus",D530="S. californicus",D530="S. tabernaemontani"),G530=0),E530*[1]Sheet1!$D$7+[1]Sheet1!$L$7,IF(AND(OR(D530="S. acutus",D530="S. tabernaemontani"),G530&gt;0),E530*[1]Sheet1!$D$8+N530*[1]Sheet1!$E$8,IF(AND(D530="S. californicus",G530&gt;0),E530*[1]Sheet1!$D$9+N530*[1]Sheet1!$E$9,IF(D530="S. maritimus",F530*[1]Sheet1!$C$10+E530*[1]Sheet1!$D$10+G530*[1]Sheet1!$F$10+[1]Sheet1!$L$10,IF(D530="S. americanus",F530*[1]Sheet1!$C$6+E530*[1]Sheet1!$D$6+[1]Sheet1!$L$6,IF(AND(OR(D530="T. domingensis",D530="T. latifolia"),E530&gt;0),F530*[1]Sheet1!$C$4+E530*[1]Sheet1!$D$4+H530*[1]Sheet1!$J$4+I530*[1]Sheet1!$K$4+[1]Sheet1!$L$4,IF(AND(OR(D530="T. domingensis",D530="T. latifolia"),J530&gt;0),J530*[1]Sheet1!$G$5+K530*[1]Sheet1!$H$5+L530*[1]Sheet1!$I$5+[1]Sheet1!$L$5,0)))))))</f>
        <v>9.3940396326563391</v>
      </c>
      <c r="P530">
        <f t="shared" si="25"/>
        <v>9.3940396326563391</v>
      </c>
      <c r="S530">
        <f t="shared" si="26"/>
        <v>1.168985639</v>
      </c>
    </row>
    <row r="531" spans="1:19">
      <c r="A531" s="5">
        <v>42502</v>
      </c>
      <c r="B531" t="s">
        <v>20</v>
      </c>
      <c r="C531">
        <v>15</v>
      </c>
      <c r="D531" t="s">
        <v>63</v>
      </c>
      <c r="E531">
        <v>208</v>
      </c>
      <c r="F531">
        <v>1.1299999999999999</v>
      </c>
      <c r="N531">
        <f t="shared" si="24"/>
        <v>69.532602030666638</v>
      </c>
      <c r="O531">
        <f>IF(AND(OR(D531="S. acutus",D531="S. californicus",D531="S. tabernaemontani"),G531=0),E531*[1]Sheet1!$D$7+[1]Sheet1!$L$7,IF(AND(OR(D531="S. acutus",D531="S. tabernaemontani"),G531&gt;0),E531*[1]Sheet1!$D$8+N531*[1]Sheet1!$E$8,IF(AND(D531="S. californicus",G531&gt;0),E531*[1]Sheet1!$D$9+N531*[1]Sheet1!$E$9,IF(D531="S. maritimus",F531*[1]Sheet1!$C$10+E531*[1]Sheet1!$D$10+G531*[1]Sheet1!$F$10+[1]Sheet1!$L$10,IF(D531="S. americanus",F531*[1]Sheet1!$C$6+E531*[1]Sheet1!$D$6+[1]Sheet1!$L$6,IF(AND(OR(D531="T. domingensis",D531="T. latifolia"),E531&gt;0),F531*[1]Sheet1!$C$4+E531*[1]Sheet1!$D$4+H531*[1]Sheet1!$J$4+I531*[1]Sheet1!$K$4+[1]Sheet1!$L$4,IF(AND(OR(D531="T. domingensis",D531="T. latifolia"),J531&gt;0),J531*[1]Sheet1!$G$5+K531*[1]Sheet1!$H$5+L531*[1]Sheet1!$I$5+[1]Sheet1!$L$5,0)))))))</f>
        <v>9.9912430000000008</v>
      </c>
      <c r="P531">
        <f t="shared" si="25"/>
        <v>9.9912430000000008</v>
      </c>
      <c r="S531">
        <f t="shared" si="26"/>
        <v>1.0028740677499997</v>
      </c>
    </row>
    <row r="532" spans="1:19">
      <c r="A532" s="5">
        <v>42502</v>
      </c>
      <c r="B532" t="s">
        <v>20</v>
      </c>
      <c r="C532">
        <v>15</v>
      </c>
      <c r="D532" t="s">
        <v>63</v>
      </c>
      <c r="E532">
        <v>265</v>
      </c>
      <c r="F532" s="6">
        <v>1.19</v>
      </c>
      <c r="N532">
        <f t="shared" si="24"/>
        <v>98.244456977916656</v>
      </c>
      <c r="O532">
        <f>IF(AND(OR(D532="S. acutus",D532="S. californicus",D532="S. tabernaemontani"),G532=0),E532*[1]Sheet1!$D$7+[1]Sheet1!$L$7,IF(AND(OR(D532="S. acutus",D532="S. tabernaemontani"),G532&gt;0),E532*[1]Sheet1!$D$8+N532*[1]Sheet1!$E$8,IF(AND(D532="S. californicus",G532&gt;0),E532*[1]Sheet1!$D$9+N532*[1]Sheet1!$E$9,IF(D532="S. maritimus",F532*[1]Sheet1!$C$10+E532*[1]Sheet1!$D$10+G532*[1]Sheet1!$F$10+[1]Sheet1!$L$10,IF(D532="S. americanus",F532*[1]Sheet1!$C$6+E532*[1]Sheet1!$D$6+[1]Sheet1!$L$6,IF(AND(OR(D532="T. domingensis",D532="T. latifolia"),E532&gt;0),F532*[1]Sheet1!$C$4+E532*[1]Sheet1!$D$4+H532*[1]Sheet1!$J$4+I532*[1]Sheet1!$K$4+[1]Sheet1!$L$4,IF(AND(OR(D532="T. domingensis",D532="T. latifolia"),J532&gt;0),J532*[1]Sheet1!$G$5+K532*[1]Sheet1!$H$5+L532*[1]Sheet1!$I$5+[1]Sheet1!$L$5,0)))))))</f>
        <v>13.987228000000002</v>
      </c>
      <c r="P532">
        <f t="shared" si="25"/>
        <v>13.987228000000002</v>
      </c>
      <c r="S532">
        <f t="shared" si="26"/>
        <v>1.11220139975</v>
      </c>
    </row>
    <row r="533" spans="1:19">
      <c r="A533" s="5">
        <v>42502</v>
      </c>
      <c r="B533" t="s">
        <v>20</v>
      </c>
      <c r="C533">
        <v>15</v>
      </c>
      <c r="D533" t="s">
        <v>61</v>
      </c>
      <c r="E533">
        <v>3.22</v>
      </c>
      <c r="J533">
        <f>58+90+157+164+188+192+207</f>
        <v>1056</v>
      </c>
      <c r="K533">
        <v>7</v>
      </c>
      <c r="L533">
        <v>207</v>
      </c>
      <c r="N533" t="str">
        <f t="shared" si="24"/>
        <v>NA</v>
      </c>
      <c r="O533">
        <f>IF(AND(OR(D533="S. acutus",D533="S. californicus",D533="S. tabernaemontani"),G533=0),E533*[1]Sheet1!$D$7+[1]Sheet1!$L$7,IF(AND(OR(D533="S. acutus",D533="S. tabernaemontani"),G533&gt;0),E533*[1]Sheet1!$D$8+N533*[1]Sheet1!$E$8,IF(AND(D533="S. californicus",G533&gt;0),E533*[1]Sheet1!$D$9+N533*[1]Sheet1!$E$9,IF(D533="S. maritimus",F533*[1]Sheet1!$C$10+E533*[1]Sheet1!$D$10+G533*[1]Sheet1!$F$10+[1]Sheet1!$L$10,IF(D533="S. americanus",F533*[1]Sheet1!$C$6+E533*[1]Sheet1!$D$6+[1]Sheet1!$L$6,IF(AND(OR(D533="T. domingensis",D533="T. latifolia"),E533&gt;0),F533*[1]Sheet1!$C$4+E533*[1]Sheet1!$D$4+H533*[1]Sheet1!$J$4+I533*[1]Sheet1!$K$4+[1]Sheet1!$L$4,IF(AND(OR(D533="T. domingensis",D533="T. latifolia"),J533&gt;0),J533*[1]Sheet1!$G$5+K533*[1]Sheet1!$H$5+L533*[1]Sheet1!$I$5+[1]Sheet1!$L$5,0)))))))</f>
        <v>-97.209982875999998</v>
      </c>
      <c r="P533" t="str">
        <f t="shared" si="25"/>
        <v xml:space="preserve"> </v>
      </c>
      <c r="S533">
        <f t="shared" si="26"/>
        <v>0</v>
      </c>
    </row>
    <row r="534" spans="1:19">
      <c r="A534" s="5">
        <v>42502</v>
      </c>
      <c r="B534" t="s">
        <v>20</v>
      </c>
      <c r="C534">
        <v>14</v>
      </c>
      <c r="D534" t="s">
        <v>63</v>
      </c>
      <c r="E534">
        <v>217</v>
      </c>
      <c r="F534">
        <v>1.6</v>
      </c>
      <c r="G534">
        <v>2</v>
      </c>
      <c r="N534">
        <f t="shared" si="24"/>
        <v>145.43467306666668</v>
      </c>
      <c r="O534">
        <f>IF(AND(OR(D534="S. acutus",D534="S. californicus",D534="S. tabernaemontani"),G534=0),E534*[1]Sheet1!$D$7+[1]Sheet1!$L$7,IF(AND(OR(D534="S. acutus",D534="S. tabernaemontani"),G534&gt;0),E534*[1]Sheet1!$D$8+N534*[1]Sheet1!$E$8,IF(AND(D534="S. californicus",G534&gt;0),E534*[1]Sheet1!$D$9+N534*[1]Sheet1!$E$9,IF(D534="S. maritimus",F534*[1]Sheet1!$C$10+E534*[1]Sheet1!$D$10+G534*[1]Sheet1!$F$10+[1]Sheet1!$L$10,IF(D534="S. americanus",F534*[1]Sheet1!$C$6+E534*[1]Sheet1!$D$6+[1]Sheet1!$L$6,IF(AND(OR(D534="T. domingensis",D534="T. latifolia"),E534&gt;0),F534*[1]Sheet1!$C$4+E534*[1]Sheet1!$D$4+H534*[1]Sheet1!$J$4+I534*[1]Sheet1!$K$4+[1]Sheet1!$L$4,IF(AND(OR(D534="T. domingensis",D534="T. latifolia"),J534&gt;0),J534*[1]Sheet1!$G$5+K534*[1]Sheet1!$H$5+L534*[1]Sheet1!$I$5+[1]Sheet1!$L$5,0)))))))</f>
        <v>13.039168063952427</v>
      </c>
      <c r="P534">
        <f t="shared" si="25"/>
        <v>13.039168063952427</v>
      </c>
      <c r="S534">
        <f t="shared" si="26"/>
        <v>2.0106176000000002</v>
      </c>
    </row>
    <row r="535" spans="1:19">
      <c r="A535" s="5">
        <v>42502</v>
      </c>
      <c r="B535" t="s">
        <v>20</v>
      </c>
      <c r="C535">
        <v>14</v>
      </c>
      <c r="D535" t="s">
        <v>63</v>
      </c>
      <c r="E535">
        <v>219</v>
      </c>
      <c r="F535">
        <v>1.8</v>
      </c>
      <c r="G535">
        <v>1</v>
      </c>
      <c r="N535">
        <f t="shared" si="24"/>
        <v>185.76221669999998</v>
      </c>
      <c r="O535">
        <f>IF(AND(OR(D535="S. acutus",D535="S. californicus",D535="S. tabernaemontani"),G535=0),E535*[1]Sheet1!$D$7+[1]Sheet1!$L$7,IF(AND(OR(D535="S. acutus",D535="S. tabernaemontani"),G535&gt;0),E535*[1]Sheet1!$D$8+N535*[1]Sheet1!$E$8,IF(AND(D535="S. californicus",G535&gt;0),E535*[1]Sheet1!$D$9+N535*[1]Sheet1!$E$9,IF(D535="S. maritimus",F535*[1]Sheet1!$C$10+E535*[1]Sheet1!$D$10+G535*[1]Sheet1!$F$10+[1]Sheet1!$L$10,IF(D535="S. americanus",F535*[1]Sheet1!$C$6+E535*[1]Sheet1!$D$6+[1]Sheet1!$L$6,IF(AND(OR(D535="T. domingensis",D535="T. latifolia"),E535&gt;0),F535*[1]Sheet1!$C$4+E535*[1]Sheet1!$D$4+H535*[1]Sheet1!$J$4+I535*[1]Sheet1!$K$4+[1]Sheet1!$L$4,IF(AND(OR(D535="T. domingensis",D535="T. latifolia"),J535&gt;0),J535*[1]Sheet1!$G$5+K535*[1]Sheet1!$H$5+L535*[1]Sheet1!$I$5+[1]Sheet1!$L$5,0)))))))</f>
        <v>14.41476546373503</v>
      </c>
      <c r="P535">
        <f t="shared" si="25"/>
        <v>14.41476546373503</v>
      </c>
      <c r="S535">
        <f t="shared" si="26"/>
        <v>2.5446879</v>
      </c>
    </row>
    <row r="536" spans="1:19">
      <c r="A536" s="5">
        <v>42502</v>
      </c>
      <c r="B536" t="s">
        <v>20</v>
      </c>
      <c r="C536">
        <v>14</v>
      </c>
      <c r="D536" t="s">
        <v>63</v>
      </c>
      <c r="E536">
        <v>156</v>
      </c>
      <c r="F536">
        <v>1.1499999999999999</v>
      </c>
      <c r="G536">
        <v>4</v>
      </c>
      <c r="N536">
        <f t="shared" si="24"/>
        <v>54.011786074999982</v>
      </c>
      <c r="O536">
        <f>IF(AND(OR(D536="S. acutus",D536="S. californicus",D536="S. tabernaemontani"),G536=0),E536*[1]Sheet1!$D$7+[1]Sheet1!$L$7,IF(AND(OR(D536="S. acutus",D536="S. tabernaemontani"),G536&gt;0),E536*[1]Sheet1!$D$8+N536*[1]Sheet1!$E$8,IF(AND(D536="S. californicus",G536&gt;0),E536*[1]Sheet1!$D$9+N536*[1]Sheet1!$E$9,IF(D536="S. maritimus",F536*[1]Sheet1!$C$10+E536*[1]Sheet1!$D$10+G536*[1]Sheet1!$F$10+[1]Sheet1!$L$10,IF(D536="S. americanus",F536*[1]Sheet1!$C$6+E536*[1]Sheet1!$D$6+[1]Sheet1!$L$6,IF(AND(OR(D536="T. domingensis",D536="T. latifolia"),E536&gt;0),F536*[1]Sheet1!$C$4+E536*[1]Sheet1!$D$4+H536*[1]Sheet1!$J$4+I536*[1]Sheet1!$K$4+[1]Sheet1!$L$4,IF(AND(OR(D536="T. domingensis",D536="T. latifolia"),J536&gt;0),J536*[1]Sheet1!$G$5+K536*[1]Sheet1!$H$5+L536*[1]Sheet1!$I$5+[1]Sheet1!$L$5,0)))))))</f>
        <v>7.7463357222224669</v>
      </c>
      <c r="P536">
        <f t="shared" si="25"/>
        <v>7.7463357222224669</v>
      </c>
      <c r="S536">
        <f t="shared" si="26"/>
        <v>1.0386881937499999</v>
      </c>
    </row>
    <row r="537" spans="1:19">
      <c r="A537" s="5">
        <v>42502</v>
      </c>
      <c r="B537" t="s">
        <v>20</v>
      </c>
      <c r="C537">
        <v>14</v>
      </c>
      <c r="D537" t="s">
        <v>63</v>
      </c>
      <c r="E537">
        <v>25</v>
      </c>
      <c r="F537">
        <v>0.5</v>
      </c>
      <c r="N537">
        <f t="shared" si="24"/>
        <v>1.6362447916666665</v>
      </c>
      <c r="O537">
        <f>IF(AND(OR(D537="S. acutus",D537="S. californicus",D537="S. tabernaemontani"),G537=0),E537*[1]Sheet1!$D$7+[1]Sheet1!$L$7,IF(AND(OR(D537="S. acutus",D537="S. tabernaemontani"),G537&gt;0),E537*[1]Sheet1!$D$8+N537*[1]Sheet1!$E$8,IF(AND(D537="S. californicus",G537&gt;0),E537*[1]Sheet1!$D$9+N537*[1]Sheet1!$E$9,IF(D537="S. maritimus",F537*[1]Sheet1!$C$10+E537*[1]Sheet1!$D$10+G537*[1]Sheet1!$F$10+[1]Sheet1!$L$10,IF(D537="S. americanus",F537*[1]Sheet1!$C$6+E537*[1]Sheet1!$D$6+[1]Sheet1!$L$6,IF(AND(OR(D537="T. domingensis",D537="T. latifolia"),E537&gt;0),F537*[1]Sheet1!$C$4+E537*[1]Sheet1!$D$4+H537*[1]Sheet1!$J$4+I537*[1]Sheet1!$K$4+[1]Sheet1!$L$4,IF(AND(OR(D537="T. domingensis",D537="T. latifolia"),J537&gt;0),J537*[1]Sheet1!$G$5+K537*[1]Sheet1!$H$5+L537*[1]Sheet1!$I$5+[1]Sheet1!$L$5,0)))))))</f>
        <v>-2.8379719999999997</v>
      </c>
      <c r="P537" t="str">
        <f t="shared" si="25"/>
        <v xml:space="preserve"> </v>
      </c>
      <c r="S537">
        <f t="shared" si="26"/>
        <v>0.19634937499999999</v>
      </c>
    </row>
    <row r="538" spans="1:19">
      <c r="A538" s="5">
        <v>42502</v>
      </c>
      <c r="B538" t="s">
        <v>20</v>
      </c>
      <c r="C538">
        <v>14</v>
      </c>
      <c r="D538" t="s">
        <v>63</v>
      </c>
      <c r="E538">
        <v>67</v>
      </c>
      <c r="F538">
        <v>0.67</v>
      </c>
      <c r="N538">
        <f t="shared" si="24"/>
        <v>7.8739502764166671</v>
      </c>
      <c r="O538">
        <f>IF(AND(OR(D538="S. acutus",D538="S. californicus",D538="S. tabernaemontani"),G538=0),E538*[1]Sheet1!$D$7+[1]Sheet1!$L$7,IF(AND(OR(D538="S. acutus",D538="S. tabernaemontani"),G538&gt;0),E538*[1]Sheet1!$D$8+N538*[1]Sheet1!$E$8,IF(AND(D538="S. californicus",G538&gt;0),E538*[1]Sheet1!$D$9+N538*[1]Sheet1!$E$9,IF(D538="S. maritimus",F538*[1]Sheet1!$C$10+E538*[1]Sheet1!$D$10+G538*[1]Sheet1!$F$10+[1]Sheet1!$L$10,IF(D538="S. americanus",F538*[1]Sheet1!$C$6+E538*[1]Sheet1!$D$6+[1]Sheet1!$L$6,IF(AND(OR(D538="T. domingensis",D538="T. latifolia"),E538&gt;0),F538*[1]Sheet1!$C$4+E538*[1]Sheet1!$D$4+H538*[1]Sheet1!$J$4+I538*[1]Sheet1!$K$4+[1]Sheet1!$L$4,IF(AND(OR(D538="T. domingensis",D538="T. latifolia"),J538&gt;0),J538*[1]Sheet1!$G$5+K538*[1]Sheet1!$H$5+L538*[1]Sheet1!$I$5+[1]Sheet1!$L$5,0)))))))</f>
        <v>0.10643799999999981</v>
      </c>
      <c r="P538">
        <f t="shared" si="25"/>
        <v>0.10643799999999981</v>
      </c>
      <c r="S538">
        <f t="shared" si="26"/>
        <v>0.35256493775000003</v>
      </c>
    </row>
    <row r="539" spans="1:19">
      <c r="A539" s="5">
        <v>42502</v>
      </c>
      <c r="B539" t="s">
        <v>20</v>
      </c>
      <c r="C539">
        <v>14</v>
      </c>
      <c r="D539" t="s">
        <v>63</v>
      </c>
      <c r="E539">
        <v>123</v>
      </c>
      <c r="F539">
        <v>1.33</v>
      </c>
      <c r="N539">
        <f t="shared" si="24"/>
        <v>56.960875147750002</v>
      </c>
      <c r="O539">
        <f>IF(AND(OR(D539="S. acutus",D539="S. californicus",D539="S. tabernaemontani"),G539=0),E539*[1]Sheet1!$D$7+[1]Sheet1!$L$7,IF(AND(OR(D539="S. acutus",D539="S. tabernaemontani"),G539&gt;0),E539*[1]Sheet1!$D$8+N539*[1]Sheet1!$E$8,IF(AND(D539="S. californicus",G539&gt;0),E539*[1]Sheet1!$D$9+N539*[1]Sheet1!$E$9,IF(D539="S. maritimus",F539*[1]Sheet1!$C$10+E539*[1]Sheet1!$D$10+G539*[1]Sheet1!$F$10+[1]Sheet1!$L$10,IF(D539="S. americanus",F539*[1]Sheet1!$C$6+E539*[1]Sheet1!$D$6+[1]Sheet1!$L$6,IF(AND(OR(D539="T. domingensis",D539="T. latifolia"),E539&gt;0),F539*[1]Sheet1!$C$4+E539*[1]Sheet1!$D$4+H539*[1]Sheet1!$J$4+I539*[1]Sheet1!$K$4+[1]Sheet1!$L$4,IF(AND(OR(D539="T. domingensis",D539="T. latifolia"),J539&gt;0),J539*[1]Sheet1!$G$5+K539*[1]Sheet1!$H$5+L539*[1]Sheet1!$I$5+[1]Sheet1!$L$5,0)))))))</f>
        <v>4.032318000000001</v>
      </c>
      <c r="P539">
        <f t="shared" si="25"/>
        <v>4.032318000000001</v>
      </c>
      <c r="S539">
        <f t="shared" si="26"/>
        <v>1.3892896377500001</v>
      </c>
    </row>
    <row r="540" spans="1:19">
      <c r="A540" s="5">
        <v>42502</v>
      </c>
      <c r="B540" t="s">
        <v>20</v>
      </c>
      <c r="C540">
        <v>14</v>
      </c>
      <c r="D540" t="s">
        <v>63</v>
      </c>
      <c r="E540">
        <v>214</v>
      </c>
      <c r="F540">
        <v>1.42</v>
      </c>
      <c r="G540">
        <v>3</v>
      </c>
      <c r="N540">
        <f t="shared" si="24"/>
        <v>112.96885368866666</v>
      </c>
      <c r="O540">
        <f>IF(AND(OR(D540="S. acutus",D540="S. californicus",D540="S. tabernaemontani"),G540=0),E540*[1]Sheet1!$D$7+[1]Sheet1!$L$7,IF(AND(OR(D540="S. acutus",D540="S. tabernaemontani"),G540&gt;0),E540*[1]Sheet1!$D$8+N540*[1]Sheet1!$E$8,IF(AND(D540="S. californicus",G540&gt;0),E540*[1]Sheet1!$D$9+N540*[1]Sheet1!$E$9,IF(D540="S. maritimus",F540*[1]Sheet1!$C$10+E540*[1]Sheet1!$D$10+G540*[1]Sheet1!$F$10+[1]Sheet1!$L$10,IF(D540="S. americanus",F540*[1]Sheet1!$C$6+E540*[1]Sheet1!$D$6+[1]Sheet1!$L$6,IF(AND(OR(D540="T. domingensis",D540="T. latifolia"),E540&gt;0),F540*[1]Sheet1!$C$4+E540*[1]Sheet1!$D$4+H540*[1]Sheet1!$J$4+I540*[1]Sheet1!$K$4+[1]Sheet1!$L$4,IF(AND(OR(D540="T. domingensis",D540="T. latifolia"),J540&gt;0),J540*[1]Sheet1!$G$5+K540*[1]Sheet1!$H$5+L540*[1]Sheet1!$I$5+[1]Sheet1!$L$5,0)))))))</f>
        <v>11.878218160743387</v>
      </c>
      <c r="P540">
        <f t="shared" si="25"/>
        <v>11.878218160743387</v>
      </c>
      <c r="S540">
        <f t="shared" si="26"/>
        <v>1.5836755189999998</v>
      </c>
    </row>
    <row r="541" spans="1:19">
      <c r="A541" s="5">
        <v>42502</v>
      </c>
      <c r="B541" t="s">
        <v>20</v>
      </c>
      <c r="C541">
        <v>14</v>
      </c>
      <c r="D541" t="s">
        <v>61</v>
      </c>
      <c r="E541">
        <v>4.3899999999999997</v>
      </c>
      <c r="J541">
        <f>139+139+155+196+187+189+223+234+237+240</f>
        <v>1939</v>
      </c>
      <c r="K541">
        <v>10</v>
      </c>
      <c r="L541">
        <v>240</v>
      </c>
      <c r="N541" t="str">
        <f t="shared" si="24"/>
        <v>NA</v>
      </c>
      <c r="O541">
        <f>IF(AND(OR(D541="S. acutus",D541="S. californicus",D541="S. tabernaemontani"),G541=0),E541*[1]Sheet1!$D$7+[1]Sheet1!$L$7,IF(AND(OR(D541="S. acutus",D541="S. tabernaemontani"),G541&gt;0),E541*[1]Sheet1!$D$8+N541*[1]Sheet1!$E$8,IF(AND(D541="S. californicus",G541&gt;0),E541*[1]Sheet1!$D$9+N541*[1]Sheet1!$E$9,IF(D541="S. maritimus",F541*[1]Sheet1!$C$10+E541*[1]Sheet1!$D$10+G541*[1]Sheet1!$F$10+[1]Sheet1!$L$10,IF(D541="S. americanus",F541*[1]Sheet1!$C$6+E541*[1]Sheet1!$D$6+[1]Sheet1!$L$6,IF(AND(OR(D541="T. domingensis",D541="T. latifolia"),E541&gt;0),F541*[1]Sheet1!$C$4+E541*[1]Sheet1!$D$4+H541*[1]Sheet1!$J$4+I541*[1]Sheet1!$K$4+[1]Sheet1!$L$4,IF(AND(OR(D541="T. domingensis",D541="T. latifolia"),J541&gt;0),J541*[1]Sheet1!$G$5+K541*[1]Sheet1!$H$5+L541*[1]Sheet1!$I$5+[1]Sheet1!$L$5,0)))))))</f>
        <v>-96.854438361999996</v>
      </c>
      <c r="P541" t="str">
        <f t="shared" si="25"/>
        <v xml:space="preserve"> </v>
      </c>
      <c r="S541">
        <f t="shared" si="26"/>
        <v>0</v>
      </c>
    </row>
    <row r="542" spans="1:19">
      <c r="A542" s="5">
        <v>42502</v>
      </c>
      <c r="B542" t="s">
        <v>20</v>
      </c>
      <c r="C542">
        <v>14</v>
      </c>
      <c r="D542" t="s">
        <v>61</v>
      </c>
      <c r="E542">
        <v>1.8</v>
      </c>
      <c r="J542">
        <f>23+27+29+31+37+38</f>
        <v>185</v>
      </c>
      <c r="K542">
        <v>6</v>
      </c>
      <c r="L542">
        <v>38</v>
      </c>
      <c r="N542" t="str">
        <f t="shared" si="24"/>
        <v>NA</v>
      </c>
      <c r="O542">
        <f>IF(AND(OR(D542="S. acutus",D542="S. californicus",D542="S. tabernaemontani"),G542=0),E542*[1]Sheet1!$D$7+[1]Sheet1!$L$7,IF(AND(OR(D542="S. acutus",D542="S. tabernaemontani"),G542&gt;0),E542*[1]Sheet1!$D$8+N542*[1]Sheet1!$E$8,IF(AND(D542="S. californicus",G542&gt;0),E542*[1]Sheet1!$D$9+N542*[1]Sheet1!$E$9,IF(D542="S. maritimus",F542*[1]Sheet1!$C$10+E542*[1]Sheet1!$D$10+G542*[1]Sheet1!$F$10+[1]Sheet1!$L$10,IF(D542="S. americanus",F542*[1]Sheet1!$C$6+E542*[1]Sheet1!$D$6+[1]Sheet1!$L$6,IF(AND(OR(D542="T. domingensis",D542="T. latifolia"),E542&gt;0),F542*[1]Sheet1!$C$4+E542*[1]Sheet1!$D$4+H542*[1]Sheet1!$J$4+I542*[1]Sheet1!$K$4+[1]Sheet1!$L$4,IF(AND(OR(D542="T. domingensis",D542="T. latifolia"),J542&gt;0),J542*[1]Sheet1!$G$5+K542*[1]Sheet1!$H$5+L542*[1]Sheet1!$I$5+[1]Sheet1!$L$5,0)))))))</f>
        <v>-97.641498440000007</v>
      </c>
      <c r="P542" t="str">
        <f t="shared" si="25"/>
        <v xml:space="preserve"> </v>
      </c>
      <c r="S542">
        <f t="shared" si="26"/>
        <v>0</v>
      </c>
    </row>
    <row r="543" spans="1:19">
      <c r="A543" s="5">
        <v>42502</v>
      </c>
      <c r="B543" t="s">
        <v>20</v>
      </c>
      <c r="C543">
        <v>14</v>
      </c>
      <c r="D543" t="s">
        <v>61</v>
      </c>
      <c r="E543">
        <v>2.2599999999999998</v>
      </c>
      <c r="J543">
        <f>96+97+110+135</f>
        <v>438</v>
      </c>
      <c r="K543">
        <v>4</v>
      </c>
      <c r="L543">
        <v>135</v>
      </c>
      <c r="N543" t="str">
        <f t="shared" si="24"/>
        <v>NA</v>
      </c>
      <c r="O543">
        <f>IF(AND(OR(D543="S. acutus",D543="S. californicus",D543="S. tabernaemontani"),G543=0),E543*[1]Sheet1!$D$7+[1]Sheet1!$L$7,IF(AND(OR(D543="S. acutus",D543="S. tabernaemontani"),G543&gt;0),E543*[1]Sheet1!$D$8+N543*[1]Sheet1!$E$8,IF(AND(D543="S. californicus",G543&gt;0),E543*[1]Sheet1!$D$9+N543*[1]Sheet1!$E$9,IF(D543="S. maritimus",F543*[1]Sheet1!$C$10+E543*[1]Sheet1!$D$10+G543*[1]Sheet1!$F$10+[1]Sheet1!$L$10,IF(D543="S. americanus",F543*[1]Sheet1!$C$6+E543*[1]Sheet1!$D$6+[1]Sheet1!$L$6,IF(AND(OR(D543="T. domingensis",D543="T. latifolia"),E543&gt;0),F543*[1]Sheet1!$C$4+E543*[1]Sheet1!$D$4+H543*[1]Sheet1!$J$4+I543*[1]Sheet1!$K$4+[1]Sheet1!$L$4,IF(AND(OR(D543="T. domingensis",D543="T. latifolia"),J543&gt;0),J543*[1]Sheet1!$G$5+K543*[1]Sheet1!$H$5+L543*[1]Sheet1!$I$5+[1]Sheet1!$L$5,0)))))))</f>
        <v>-97.501711708000002</v>
      </c>
      <c r="P543" t="str">
        <f t="shared" si="25"/>
        <v xml:space="preserve"> </v>
      </c>
      <c r="S543">
        <f t="shared" si="26"/>
        <v>0</v>
      </c>
    </row>
    <row r="544" spans="1:19">
      <c r="A544" s="5">
        <v>42502</v>
      </c>
      <c r="B544" t="s">
        <v>20</v>
      </c>
      <c r="C544">
        <v>14</v>
      </c>
      <c r="D544" t="s">
        <v>61</v>
      </c>
      <c r="E544">
        <v>3.93</v>
      </c>
      <c r="J544">
        <f>111+120+153+174+197+201+213+219+297</f>
        <v>1685</v>
      </c>
      <c r="K544">
        <v>9</v>
      </c>
      <c r="L544">
        <v>297</v>
      </c>
      <c r="N544" t="str">
        <f t="shared" si="24"/>
        <v>NA</v>
      </c>
      <c r="O544">
        <f>IF(AND(OR(D544="S. acutus",D544="S. californicus",D544="S. tabernaemontani"),G544=0),E544*[1]Sheet1!$D$7+[1]Sheet1!$L$7,IF(AND(OR(D544="S. acutus",D544="S. tabernaemontani"),G544&gt;0),E544*[1]Sheet1!$D$8+N544*[1]Sheet1!$E$8,IF(AND(D544="S. californicus",G544&gt;0),E544*[1]Sheet1!$D$9+N544*[1]Sheet1!$E$9,IF(D544="S. maritimus",F544*[1]Sheet1!$C$10+E544*[1]Sheet1!$D$10+G544*[1]Sheet1!$F$10+[1]Sheet1!$L$10,IF(D544="S. americanus",F544*[1]Sheet1!$C$6+E544*[1]Sheet1!$D$6+[1]Sheet1!$L$6,IF(AND(OR(D544="T. domingensis",D544="T. latifolia"),E544&gt;0),F544*[1]Sheet1!$C$4+E544*[1]Sheet1!$D$4+H544*[1]Sheet1!$J$4+I544*[1]Sheet1!$K$4+[1]Sheet1!$L$4,IF(AND(OR(D544="T. domingensis",D544="T. latifolia"),J544&gt;0),J544*[1]Sheet1!$G$5+K544*[1]Sheet1!$H$5+L544*[1]Sheet1!$I$5+[1]Sheet1!$L$5,0)))))))</f>
        <v>-96.994225094000001</v>
      </c>
      <c r="P544" t="str">
        <f t="shared" si="25"/>
        <v xml:space="preserve"> </v>
      </c>
      <c r="S544">
        <f t="shared" si="26"/>
        <v>0</v>
      </c>
    </row>
    <row r="545" spans="1:19">
      <c r="A545" s="5">
        <v>42502</v>
      </c>
      <c r="B545" t="s">
        <v>20</v>
      </c>
      <c r="C545">
        <v>14</v>
      </c>
      <c r="D545" t="s">
        <v>61</v>
      </c>
      <c r="E545">
        <v>2.85</v>
      </c>
      <c r="J545">
        <f>131+160+193+196+182+192+199+219+225+226</f>
        <v>1923</v>
      </c>
      <c r="K545">
        <v>10</v>
      </c>
      <c r="L545">
        <v>226</v>
      </c>
      <c r="N545" t="str">
        <f t="shared" si="24"/>
        <v>NA</v>
      </c>
      <c r="O545">
        <f>IF(AND(OR(D545="S. acutus",D545="S. californicus",D545="S. tabernaemontani"),G545=0),E545*[1]Sheet1!$D$7+[1]Sheet1!$L$7,IF(AND(OR(D545="S. acutus",D545="S. tabernaemontani"),G545&gt;0),E545*[1]Sheet1!$D$8+N545*[1]Sheet1!$E$8,IF(AND(D545="S. californicus",G545&gt;0),E545*[1]Sheet1!$D$9+N545*[1]Sheet1!$E$9,IF(D545="S. maritimus",F545*[1]Sheet1!$C$10+E545*[1]Sheet1!$D$10+G545*[1]Sheet1!$F$10+[1]Sheet1!$L$10,IF(D545="S. americanus",F545*[1]Sheet1!$C$6+E545*[1]Sheet1!$D$6+[1]Sheet1!$L$6,IF(AND(OR(D545="T. domingensis",D545="T. latifolia"),E545&gt;0),F545*[1]Sheet1!$C$4+E545*[1]Sheet1!$D$4+H545*[1]Sheet1!$J$4+I545*[1]Sheet1!$K$4+[1]Sheet1!$L$4,IF(AND(OR(D545="T. domingensis",D545="T. latifolia"),J545&gt;0),J545*[1]Sheet1!$G$5+K545*[1]Sheet1!$H$5+L545*[1]Sheet1!$I$5+[1]Sheet1!$L$5,0)))))))</f>
        <v>-97.322420030000004</v>
      </c>
      <c r="P545" t="str">
        <f t="shared" si="25"/>
        <v xml:space="preserve"> </v>
      </c>
      <c r="S545">
        <f t="shared" si="26"/>
        <v>0</v>
      </c>
    </row>
    <row r="546" spans="1:19">
      <c r="A546" s="7">
        <v>42503</v>
      </c>
      <c r="B546" s="6" t="s">
        <v>22</v>
      </c>
      <c r="C546" s="6">
        <v>43</v>
      </c>
      <c r="D546" s="6" t="s">
        <v>64</v>
      </c>
      <c r="F546" s="6">
        <v>3.48</v>
      </c>
      <c r="J546">
        <f>77+121+164+224+247+257</f>
        <v>1090</v>
      </c>
      <c r="K546">
        <v>6</v>
      </c>
      <c r="L546">
        <v>257</v>
      </c>
      <c r="N546" t="str">
        <f t="shared" si="24"/>
        <v>NA</v>
      </c>
      <c r="O546">
        <f>IF(AND(OR(D546="S. acutus",D546="S. californicus",D546="S. tabernaemontani"),G546=0),E546*[1]Sheet1!$D$7+[1]Sheet1!$L$7,IF(AND(OR(D546="S. acutus",D546="S. tabernaemontani"),G546&gt;0),E546*[1]Sheet1!$D$8+N546*[1]Sheet1!$E$8,IF(AND(D546="S. californicus",G546&gt;0),E546*[1]Sheet1!$D$9+N546*[1]Sheet1!$E$9,IF(D546="S. maritimus",F546*[1]Sheet1!$C$10+E546*[1]Sheet1!$D$10+G546*[1]Sheet1!$F$10+[1]Sheet1!$L$10,IF(D546="S. americanus",F546*[1]Sheet1!$C$6+E546*[1]Sheet1!$D$6+[1]Sheet1!$L$6,IF(AND(OR(D546="T. domingensis",D546="T. latifolia"),E546&gt;0),F546*[1]Sheet1!$C$4+E546*[1]Sheet1!$D$4+H546*[1]Sheet1!$J$4+I546*[1]Sheet1!$K$4+[1]Sheet1!$L$4,IF(AND(OR(D546="T. domingensis",D546="T. latifolia"),J546&gt;0),J546*[1]Sheet1!$G$5+K546*[1]Sheet1!$H$5+L546*[1]Sheet1!$I$5+[1]Sheet1!$L$5,0)))))))</f>
        <v>15.675851000000016</v>
      </c>
      <c r="P546">
        <f t="shared" si="25"/>
        <v>15.675851000000016</v>
      </c>
      <c r="S546">
        <f t="shared" si="26"/>
        <v>9.5114778839999996</v>
      </c>
    </row>
    <row r="547" spans="1:19">
      <c r="A547" s="7">
        <v>42503</v>
      </c>
      <c r="B547" s="6" t="s">
        <v>22</v>
      </c>
      <c r="C547" s="6">
        <v>43</v>
      </c>
      <c r="D547" s="6" t="s">
        <v>64</v>
      </c>
      <c r="F547" s="6">
        <v>2.6</v>
      </c>
      <c r="J547">
        <f>156+174+179+189</f>
        <v>698</v>
      </c>
      <c r="K547">
        <v>4</v>
      </c>
      <c r="L547">
        <v>189</v>
      </c>
      <c r="N547" t="str">
        <f t="shared" si="24"/>
        <v>NA</v>
      </c>
      <c r="O547">
        <f>IF(AND(OR(D547="S. acutus",D547="S. californicus",D547="S. tabernaemontani"),G547=0),E547*[1]Sheet1!$D$7+[1]Sheet1!$L$7,IF(AND(OR(D547="S. acutus",D547="S. tabernaemontani"),G547&gt;0),E547*[1]Sheet1!$D$8+N547*[1]Sheet1!$E$8,IF(AND(D547="S. californicus",G547&gt;0),E547*[1]Sheet1!$D$9+N547*[1]Sheet1!$E$9,IF(D547="S. maritimus",F547*[1]Sheet1!$C$10+E547*[1]Sheet1!$D$10+G547*[1]Sheet1!$F$10+[1]Sheet1!$L$10,IF(D547="S. americanus",F547*[1]Sheet1!$C$6+E547*[1]Sheet1!$D$6+[1]Sheet1!$L$6,IF(AND(OR(D547="T. domingensis",D547="T. latifolia"),E547&gt;0),F547*[1]Sheet1!$C$4+E547*[1]Sheet1!$D$4+H547*[1]Sheet1!$J$4+I547*[1]Sheet1!$K$4+[1]Sheet1!$L$4,IF(AND(OR(D547="T. domingensis",D547="T. latifolia"),J547&gt;0),J547*[1]Sheet1!$G$5+K547*[1]Sheet1!$H$5+L547*[1]Sheet1!$I$5+[1]Sheet1!$L$5,0)))))))</f>
        <v>13.453257000000001</v>
      </c>
      <c r="P547">
        <f t="shared" si="25"/>
        <v>13.453257000000001</v>
      </c>
      <c r="S547">
        <f t="shared" si="26"/>
        <v>5.3092871000000006</v>
      </c>
    </row>
    <row r="548" spans="1:19">
      <c r="A548" s="7">
        <v>42503</v>
      </c>
      <c r="B548" s="6" t="s">
        <v>22</v>
      </c>
      <c r="C548" s="6">
        <v>43</v>
      </c>
      <c r="D548" s="6" t="s">
        <v>64</v>
      </c>
      <c r="F548" s="6">
        <v>2.62</v>
      </c>
      <c r="J548">
        <f>107+114+171+180+207+236+238</f>
        <v>1253</v>
      </c>
      <c r="K548">
        <v>7</v>
      </c>
      <c r="L548">
        <v>238</v>
      </c>
      <c r="N548" t="str">
        <f t="shared" si="24"/>
        <v>NA</v>
      </c>
      <c r="O548">
        <f>IF(AND(OR(D548="S. acutus",D548="S. californicus",D548="S. tabernaemontani"),G548=0),E548*[1]Sheet1!$D$7+[1]Sheet1!$L$7,IF(AND(OR(D548="S. acutus",D548="S. tabernaemontani"),G548&gt;0),E548*[1]Sheet1!$D$8+N548*[1]Sheet1!$E$8,IF(AND(D548="S. californicus",G548&gt;0),E548*[1]Sheet1!$D$9+N548*[1]Sheet1!$E$9,IF(D548="S. maritimus",F548*[1]Sheet1!$C$10+E548*[1]Sheet1!$D$10+G548*[1]Sheet1!$F$10+[1]Sheet1!$L$10,IF(D548="S. americanus",F548*[1]Sheet1!$C$6+E548*[1]Sheet1!$D$6+[1]Sheet1!$L$6,IF(AND(OR(D548="T. domingensis",D548="T. latifolia"),E548&gt;0),F548*[1]Sheet1!$C$4+E548*[1]Sheet1!$D$4+H548*[1]Sheet1!$J$4+I548*[1]Sheet1!$K$4+[1]Sheet1!$L$4,IF(AND(OR(D548="T. domingensis",D548="T. latifolia"),J548&gt;0),J548*[1]Sheet1!$G$5+K548*[1]Sheet1!$H$5+L548*[1]Sheet1!$I$5+[1]Sheet1!$L$5,0)))))))</f>
        <v>29.659218000000017</v>
      </c>
      <c r="P548">
        <f t="shared" si="25"/>
        <v>29.659218000000017</v>
      </c>
      <c r="S548">
        <f t="shared" si="26"/>
        <v>5.3912825990000002</v>
      </c>
    </row>
    <row r="549" spans="1:19">
      <c r="A549" s="7">
        <v>42503</v>
      </c>
      <c r="B549" s="6" t="s">
        <v>22</v>
      </c>
      <c r="C549" s="6">
        <v>43</v>
      </c>
      <c r="D549" s="6" t="s">
        <v>64</v>
      </c>
      <c r="F549" s="6">
        <v>2.35</v>
      </c>
      <c r="J549">
        <f>102+180+144+196+220+225</f>
        <v>1067</v>
      </c>
      <c r="K549">
        <v>6</v>
      </c>
      <c r="L549">
        <v>225</v>
      </c>
      <c r="N549" t="str">
        <f t="shared" si="24"/>
        <v>NA</v>
      </c>
      <c r="O549">
        <f>IF(AND(OR(D549="S. acutus",D549="S. californicus",D549="S. tabernaemontani"),G549=0),E549*[1]Sheet1!$D$7+[1]Sheet1!$L$7,IF(AND(OR(D549="S. acutus",D549="S. tabernaemontani"),G549&gt;0),E549*[1]Sheet1!$D$8+N549*[1]Sheet1!$E$8,IF(AND(D549="S. californicus",G549&gt;0),E549*[1]Sheet1!$D$9+N549*[1]Sheet1!$E$9,IF(D549="S. maritimus",F549*[1]Sheet1!$C$10+E549*[1]Sheet1!$D$10+G549*[1]Sheet1!$F$10+[1]Sheet1!$L$10,IF(D549="S. americanus",F549*[1]Sheet1!$C$6+E549*[1]Sheet1!$D$6+[1]Sheet1!$L$6,IF(AND(OR(D549="T. domingensis",D549="T. latifolia"),E549&gt;0),F549*[1]Sheet1!$C$4+E549*[1]Sheet1!$D$4+H549*[1]Sheet1!$J$4+I549*[1]Sheet1!$K$4+[1]Sheet1!$L$4,IF(AND(OR(D549="T. domingensis",D549="T. latifolia"),J549&gt;0),J549*[1]Sheet1!$G$5+K549*[1]Sheet1!$H$5+L549*[1]Sheet1!$I$5+[1]Sheet1!$L$5,0)))))))</f>
        <v>23.159326</v>
      </c>
      <c r="P549">
        <f t="shared" si="25"/>
        <v>23.159326</v>
      </c>
      <c r="S549">
        <f t="shared" si="26"/>
        <v>4.3373576937500005</v>
      </c>
    </row>
    <row r="550" spans="1:19">
      <c r="A550" s="7">
        <v>42503</v>
      </c>
      <c r="B550" s="6" t="s">
        <v>22</v>
      </c>
      <c r="C550" s="6">
        <v>43</v>
      </c>
      <c r="D550" s="6" t="s">
        <v>64</v>
      </c>
      <c r="F550" s="6">
        <v>3.27</v>
      </c>
      <c r="J550">
        <f>136+196+226+237+243+264+270+279+283+283</f>
        <v>2417</v>
      </c>
      <c r="K550">
        <v>10</v>
      </c>
      <c r="L550">
        <v>283</v>
      </c>
      <c r="N550" t="str">
        <f t="shared" si="24"/>
        <v>NA</v>
      </c>
      <c r="O550">
        <f>IF(AND(OR(D550="S. acutus",D550="S. californicus",D550="S. tabernaemontani"),G550=0),E550*[1]Sheet1!$D$7+[1]Sheet1!$L$7,IF(AND(OR(D550="S. acutus",D550="S. tabernaemontani"),G550&gt;0),E550*[1]Sheet1!$D$8+N550*[1]Sheet1!$E$8,IF(AND(D550="S. californicus",G550&gt;0),E550*[1]Sheet1!$D$9+N550*[1]Sheet1!$E$9,IF(D550="S. maritimus",F550*[1]Sheet1!$C$10+E550*[1]Sheet1!$D$10+G550*[1]Sheet1!$F$10+[1]Sheet1!$L$10,IF(D550="S. americanus",F550*[1]Sheet1!$C$6+E550*[1]Sheet1!$D$6+[1]Sheet1!$L$6,IF(AND(OR(D550="T. domingensis",D550="T. latifolia"),E550&gt;0),F550*[1]Sheet1!$C$4+E550*[1]Sheet1!$D$4+H550*[1]Sheet1!$J$4+I550*[1]Sheet1!$K$4+[1]Sheet1!$L$4,IF(AND(OR(D550="T. domingensis",D550="T. latifolia"),J550&gt;0),J550*[1]Sheet1!$G$5+K550*[1]Sheet1!$H$5+L550*[1]Sheet1!$I$5+[1]Sheet1!$L$5,0)))))))</f>
        <v>104.16695400000003</v>
      </c>
      <c r="P550">
        <f t="shared" si="25"/>
        <v>104.16695400000003</v>
      </c>
      <c r="S550">
        <f t="shared" si="26"/>
        <v>8.3981769277499989</v>
      </c>
    </row>
    <row r="551" spans="1:19">
      <c r="A551" s="7">
        <v>42503</v>
      </c>
      <c r="B551" s="6" t="s">
        <v>22</v>
      </c>
      <c r="C551" s="6">
        <v>43</v>
      </c>
      <c r="D551" s="6" t="s">
        <v>64</v>
      </c>
      <c r="F551" s="6">
        <v>1.54</v>
      </c>
      <c r="J551">
        <f>105+108+149+167+188</f>
        <v>717</v>
      </c>
      <c r="K551">
        <v>5</v>
      </c>
      <c r="L551">
        <v>188</v>
      </c>
      <c r="N551" t="str">
        <f t="shared" si="24"/>
        <v>NA</v>
      </c>
      <c r="O551">
        <f>IF(AND(OR(D551="S. acutus",D551="S. californicus",D551="S. tabernaemontani"),G551=0),E551*[1]Sheet1!$D$7+[1]Sheet1!$L$7,IF(AND(OR(D551="S. acutus",D551="S. tabernaemontani"),G551&gt;0),E551*[1]Sheet1!$D$8+N551*[1]Sheet1!$E$8,IF(AND(D551="S. californicus",G551&gt;0),E551*[1]Sheet1!$D$9+N551*[1]Sheet1!$E$9,IF(D551="S. maritimus",F551*[1]Sheet1!$C$10+E551*[1]Sheet1!$D$10+G551*[1]Sheet1!$F$10+[1]Sheet1!$L$10,IF(D551="S. americanus",F551*[1]Sheet1!$C$6+E551*[1]Sheet1!$D$6+[1]Sheet1!$L$6,IF(AND(OR(D551="T. domingensis",D551="T. latifolia"),E551&gt;0),F551*[1]Sheet1!$C$4+E551*[1]Sheet1!$D$4+H551*[1]Sheet1!$J$4+I551*[1]Sheet1!$K$4+[1]Sheet1!$L$4,IF(AND(OR(D551="T. domingensis",D551="T. latifolia"),J551&gt;0),J551*[1]Sheet1!$G$5+K551*[1]Sheet1!$H$5+L551*[1]Sheet1!$I$5+[1]Sheet1!$L$5,0)))))))</f>
        <v>8.5134940000000014</v>
      </c>
      <c r="P551">
        <f t="shared" si="25"/>
        <v>8.5134940000000014</v>
      </c>
      <c r="S551">
        <f t="shared" si="26"/>
        <v>1.8626487109999998</v>
      </c>
    </row>
    <row r="552" spans="1:19">
      <c r="A552" s="7">
        <v>42503</v>
      </c>
      <c r="B552" s="6" t="s">
        <v>22</v>
      </c>
      <c r="C552" s="6">
        <v>43</v>
      </c>
      <c r="D552" s="6" t="s">
        <v>61</v>
      </c>
      <c r="F552">
        <v>1.45</v>
      </c>
      <c r="J552">
        <f>120+159+161+194</f>
        <v>634</v>
      </c>
      <c r="K552">
        <v>4</v>
      </c>
      <c r="L552">
        <v>194</v>
      </c>
      <c r="N552" t="str">
        <f t="shared" si="24"/>
        <v>NA</v>
      </c>
      <c r="O552">
        <f>IF(AND(OR(D552="S. acutus",D552="S. californicus",D552="S. tabernaemontani"),G552=0),E552*[1]Sheet1!$D$7+[1]Sheet1!$L$7,IF(AND(OR(D552="S. acutus",D552="S. tabernaemontani"),G552&gt;0),E552*[1]Sheet1!$D$8+N552*[1]Sheet1!$E$8,IF(AND(D552="S. californicus",G552&gt;0),E552*[1]Sheet1!$D$9+N552*[1]Sheet1!$E$9,IF(D552="S. maritimus",F552*[1]Sheet1!$C$10+E552*[1]Sheet1!$D$10+G552*[1]Sheet1!$F$10+[1]Sheet1!$L$10,IF(D552="S. americanus",F552*[1]Sheet1!$C$6+E552*[1]Sheet1!$D$6+[1]Sheet1!$L$6,IF(AND(OR(D552="T. domingensis",D552="T. latifolia"),E552&gt;0),F552*[1]Sheet1!$C$4+E552*[1]Sheet1!$D$4+H552*[1]Sheet1!$J$4+I552*[1]Sheet1!$K$4+[1]Sheet1!$L$4,IF(AND(OR(D552="T. domingensis",D552="T. latifolia"),J552&gt;0),J552*[1]Sheet1!$G$5+K552*[1]Sheet1!$H$5+L552*[1]Sheet1!$I$5+[1]Sheet1!$L$5,0)))))))</f>
        <v>5.9467120000000016</v>
      </c>
      <c r="P552">
        <f t="shared" si="25"/>
        <v>5.9467120000000016</v>
      </c>
      <c r="S552">
        <f t="shared" si="26"/>
        <v>1.6512982437499999</v>
      </c>
    </row>
    <row r="553" spans="1:19">
      <c r="A553" s="7">
        <v>42503</v>
      </c>
      <c r="B553" s="6" t="s">
        <v>22</v>
      </c>
      <c r="C553" s="6">
        <v>43</v>
      </c>
      <c r="D553" s="6" t="s">
        <v>61</v>
      </c>
      <c r="F553" s="6">
        <v>3.48</v>
      </c>
      <c r="J553">
        <f>145+189</f>
        <v>334</v>
      </c>
      <c r="K553">
        <v>2</v>
      </c>
      <c r="L553">
        <v>189</v>
      </c>
      <c r="N553" t="str">
        <f t="shared" si="24"/>
        <v>NA</v>
      </c>
      <c r="O553">
        <f>IF(AND(OR(D553="S. acutus",D553="S. californicus",D553="S. tabernaemontani"),G553=0),E553*[1]Sheet1!$D$7+[1]Sheet1!$L$7,IF(AND(OR(D553="S. acutus",D553="S. tabernaemontani"),G553&gt;0),E553*[1]Sheet1!$D$8+N553*[1]Sheet1!$E$8,IF(AND(D553="S. californicus",G553&gt;0),E553*[1]Sheet1!$D$9+N553*[1]Sheet1!$E$9,IF(D553="S. maritimus",F553*[1]Sheet1!$C$10+E553*[1]Sheet1!$D$10+G553*[1]Sheet1!$F$10+[1]Sheet1!$L$10,IF(D553="S. americanus",F553*[1]Sheet1!$C$6+E553*[1]Sheet1!$D$6+[1]Sheet1!$L$6,IF(AND(OR(D553="T. domingensis",D553="T. latifolia"),E553&gt;0),F553*[1]Sheet1!$C$4+E553*[1]Sheet1!$D$4+H553*[1]Sheet1!$J$4+I553*[1]Sheet1!$K$4+[1]Sheet1!$L$4,IF(AND(OR(D553="T. domingensis",D553="T. latifolia"),J553&gt;0),J553*[1]Sheet1!$G$5+K553*[1]Sheet1!$H$5+L553*[1]Sheet1!$I$5+[1]Sheet1!$L$5,0)))))))</f>
        <v>-6.6288570000000036</v>
      </c>
      <c r="P553" t="str">
        <f t="shared" si="25"/>
        <v xml:space="preserve"> </v>
      </c>
      <c r="S553">
        <f t="shared" si="26"/>
        <v>9.5114778839999996</v>
      </c>
    </row>
    <row r="554" spans="1:19">
      <c r="A554" s="7">
        <v>42503</v>
      </c>
      <c r="B554" s="6" t="s">
        <v>22</v>
      </c>
      <c r="C554" s="6">
        <v>43</v>
      </c>
      <c r="D554" s="6" t="s">
        <v>61</v>
      </c>
      <c r="F554" s="6">
        <v>1.49</v>
      </c>
      <c r="J554">
        <f>65+143+151+214+228+251+256+263+265+273+280</f>
        <v>2389</v>
      </c>
      <c r="K554">
        <v>11</v>
      </c>
      <c r="L554">
        <v>280</v>
      </c>
      <c r="N554" t="str">
        <f t="shared" si="24"/>
        <v>NA</v>
      </c>
      <c r="O554">
        <f>IF(AND(OR(D554="S. acutus",D554="S. californicus",D554="S. tabernaemontani"),G554=0),E554*[1]Sheet1!$D$7+[1]Sheet1!$L$7,IF(AND(OR(D554="S. acutus",D554="S. tabernaemontani"),G554&gt;0),E554*[1]Sheet1!$D$8+N554*[1]Sheet1!$E$8,IF(AND(D554="S. californicus",G554&gt;0),E554*[1]Sheet1!$D$9+N554*[1]Sheet1!$E$9,IF(D554="S. maritimus",F554*[1]Sheet1!$C$10+E554*[1]Sheet1!$D$10+G554*[1]Sheet1!$F$10+[1]Sheet1!$L$10,IF(D554="S. americanus",F554*[1]Sheet1!$C$6+E554*[1]Sheet1!$D$6+[1]Sheet1!$L$6,IF(AND(OR(D554="T. domingensis",D554="T. latifolia"),E554&gt;0),F554*[1]Sheet1!$C$4+E554*[1]Sheet1!$D$4+H554*[1]Sheet1!$J$4+I554*[1]Sheet1!$K$4+[1]Sheet1!$L$4,IF(AND(OR(D554="T. domingensis",D554="T. latifolia"),J554&gt;0),J554*[1]Sheet1!$G$5+K554*[1]Sheet1!$H$5+L554*[1]Sheet1!$I$5+[1]Sheet1!$L$5,0)))))))</f>
        <v>95.423196000000047</v>
      </c>
      <c r="P554">
        <f t="shared" si="25"/>
        <v>95.423196000000047</v>
      </c>
      <c r="S554">
        <f t="shared" si="26"/>
        <v>1.7436609897499999</v>
      </c>
    </row>
    <row r="555" spans="1:19">
      <c r="A555" s="7">
        <v>42503</v>
      </c>
      <c r="B555" s="6" t="s">
        <v>22</v>
      </c>
      <c r="C555" s="6">
        <v>43</v>
      </c>
      <c r="D555" s="6" t="s">
        <v>61</v>
      </c>
      <c r="F555" s="6">
        <v>0.71</v>
      </c>
      <c r="J555">
        <f>42+35</f>
        <v>77</v>
      </c>
      <c r="K555">
        <v>2</v>
      </c>
      <c r="L555">
        <v>42</v>
      </c>
      <c r="N555" t="str">
        <f t="shared" si="24"/>
        <v>NA</v>
      </c>
      <c r="O555">
        <f>IF(AND(OR(D555="S. acutus",D555="S. californicus",D555="S. tabernaemontani"),G555=0),E555*[1]Sheet1!$D$7+[1]Sheet1!$L$7,IF(AND(OR(D555="S. acutus",D555="S. tabernaemontani"),G555&gt;0),E555*[1]Sheet1!$D$8+N555*[1]Sheet1!$E$8,IF(AND(D555="S. californicus",G555&gt;0),E555*[1]Sheet1!$D$9+N555*[1]Sheet1!$E$9,IF(D555="S. maritimus",F555*[1]Sheet1!$C$10+E555*[1]Sheet1!$D$10+G555*[1]Sheet1!$F$10+[1]Sheet1!$L$10,IF(D555="S. americanus",F555*[1]Sheet1!$C$6+E555*[1]Sheet1!$D$6+[1]Sheet1!$L$6,IF(AND(OR(D555="T. domingensis",D555="T. latifolia"),E555&gt;0),F555*[1]Sheet1!$C$4+E555*[1]Sheet1!$D$4+H555*[1]Sheet1!$J$4+I555*[1]Sheet1!$K$4+[1]Sheet1!$L$4,IF(AND(OR(D555="T. domingensis",D555="T. latifolia"),J555&gt;0),J555*[1]Sheet1!$G$5+K555*[1]Sheet1!$H$5+L555*[1]Sheet1!$I$5+[1]Sheet1!$L$5,0)))))))</f>
        <v>13.559123</v>
      </c>
      <c r="P555">
        <f t="shared" si="25"/>
        <v>13.559123</v>
      </c>
      <c r="S555">
        <f t="shared" si="26"/>
        <v>0.39591887974999995</v>
      </c>
    </row>
    <row r="556" spans="1:19">
      <c r="A556" s="7">
        <v>42503</v>
      </c>
      <c r="B556" s="6" t="s">
        <v>22</v>
      </c>
      <c r="C556" s="6">
        <v>34</v>
      </c>
      <c r="D556" s="6" t="s">
        <v>64</v>
      </c>
      <c r="F556" s="6">
        <v>4.22</v>
      </c>
      <c r="J556">
        <f>135+187+214+224+282+295+298+307</f>
        <v>1942</v>
      </c>
      <c r="K556">
        <v>8</v>
      </c>
      <c r="L556">
        <v>307</v>
      </c>
      <c r="N556" t="str">
        <f t="shared" si="24"/>
        <v>NA</v>
      </c>
      <c r="O556">
        <f>IF(AND(OR(D556="S. acutus",D556="S. californicus",D556="S. tabernaemontani"),G556=0),E556*[1]Sheet1!$D$7+[1]Sheet1!$L$7,IF(AND(OR(D556="S. acutus",D556="S. tabernaemontani"),G556&gt;0),E556*[1]Sheet1!$D$8+N556*[1]Sheet1!$E$8,IF(AND(D556="S. californicus",G556&gt;0),E556*[1]Sheet1!$D$9+N556*[1]Sheet1!$E$9,IF(D556="S. maritimus",F556*[1]Sheet1!$C$10+E556*[1]Sheet1!$D$10+G556*[1]Sheet1!$F$10+[1]Sheet1!$L$10,IF(D556="S. americanus",F556*[1]Sheet1!$C$6+E556*[1]Sheet1!$D$6+[1]Sheet1!$L$6,IF(AND(OR(D556="T. domingensis",D556="T. latifolia"),E556&gt;0),F556*[1]Sheet1!$C$4+E556*[1]Sheet1!$D$4+H556*[1]Sheet1!$J$4+I556*[1]Sheet1!$K$4+[1]Sheet1!$L$4,IF(AND(OR(D556="T. domingensis",D556="T. latifolia"),J556&gt;0),J556*[1]Sheet1!$G$5+K556*[1]Sheet1!$H$5+L556*[1]Sheet1!$I$5+[1]Sheet1!$L$5,0)))))))</f>
        <v>66.448155000000014</v>
      </c>
      <c r="P556">
        <f t="shared" si="25"/>
        <v>66.448155000000014</v>
      </c>
      <c r="S556">
        <f t="shared" si="26"/>
        <v>13.986672838999999</v>
      </c>
    </row>
    <row r="557" spans="1:19">
      <c r="A557" s="7">
        <v>42503</v>
      </c>
      <c r="B557" s="6" t="s">
        <v>22</v>
      </c>
      <c r="C557" s="6">
        <v>34</v>
      </c>
      <c r="D557" s="6" t="s">
        <v>64</v>
      </c>
      <c r="F557" s="6">
        <v>3.2</v>
      </c>
      <c r="J557">
        <f>135+144+189+210+226+249+262+275+279</f>
        <v>1969</v>
      </c>
      <c r="K557">
        <v>9</v>
      </c>
      <c r="L557">
        <v>279</v>
      </c>
      <c r="N557" t="str">
        <f t="shared" si="24"/>
        <v>NA</v>
      </c>
      <c r="O557">
        <f>IF(AND(OR(D557="S. acutus",D557="S. californicus",D557="S. tabernaemontani"),G557=0),E557*[1]Sheet1!$D$7+[1]Sheet1!$L$7,IF(AND(OR(D557="S. acutus",D557="S. tabernaemontani"),G557&gt;0),E557*[1]Sheet1!$D$8+N557*[1]Sheet1!$E$8,IF(AND(D557="S. californicus",G557&gt;0),E557*[1]Sheet1!$D$9+N557*[1]Sheet1!$E$9,IF(D557="S. maritimus",F557*[1]Sheet1!$C$10+E557*[1]Sheet1!$D$10+G557*[1]Sheet1!$F$10+[1]Sheet1!$L$10,IF(D557="S. americanus",F557*[1]Sheet1!$C$6+E557*[1]Sheet1!$D$6+[1]Sheet1!$L$6,IF(AND(OR(D557="T. domingensis",D557="T. latifolia"),E557&gt;0),F557*[1]Sheet1!$C$4+E557*[1]Sheet1!$D$4+H557*[1]Sheet1!$J$4+I557*[1]Sheet1!$K$4+[1]Sheet1!$L$4,IF(AND(OR(D557="T. domingensis",D557="T. latifolia"),J557&gt;0),J557*[1]Sheet1!$G$5+K557*[1]Sheet1!$H$5+L557*[1]Sheet1!$I$5+[1]Sheet1!$L$5,0)))))))</f>
        <v>70.392047000000019</v>
      </c>
      <c r="P557">
        <f t="shared" si="25"/>
        <v>70.392047000000019</v>
      </c>
      <c r="S557">
        <f t="shared" si="26"/>
        <v>8.0424704000000009</v>
      </c>
    </row>
    <row r="558" spans="1:19">
      <c r="A558" s="7">
        <v>42503</v>
      </c>
      <c r="B558" s="6" t="s">
        <v>22</v>
      </c>
      <c r="C558" s="6">
        <v>34</v>
      </c>
      <c r="D558" s="6" t="s">
        <v>64</v>
      </c>
      <c r="F558" s="6">
        <v>2.3199999999999998</v>
      </c>
      <c r="J558">
        <f>123+140+169+177+184+222</f>
        <v>1015</v>
      </c>
      <c r="K558">
        <v>6</v>
      </c>
      <c r="L558">
        <v>222</v>
      </c>
      <c r="N558" t="str">
        <f t="shared" si="24"/>
        <v>NA</v>
      </c>
      <c r="O558">
        <f>IF(AND(OR(D558="S. acutus",D558="S. californicus",D558="S. tabernaemontani"),G558=0),E558*[1]Sheet1!$D$7+[1]Sheet1!$L$7,IF(AND(OR(D558="S. acutus",D558="S. tabernaemontani"),G558&gt;0),E558*[1]Sheet1!$D$8+N558*[1]Sheet1!$E$8,IF(AND(D558="S. californicus",G558&gt;0),E558*[1]Sheet1!$D$9+N558*[1]Sheet1!$E$9,IF(D558="S. maritimus",F558*[1]Sheet1!$C$10+E558*[1]Sheet1!$D$10+G558*[1]Sheet1!$F$10+[1]Sheet1!$L$10,IF(D558="S. americanus",F558*[1]Sheet1!$C$6+E558*[1]Sheet1!$D$6+[1]Sheet1!$L$6,IF(AND(OR(D558="T. domingensis",D558="T. latifolia"),E558&gt;0),F558*[1]Sheet1!$C$4+E558*[1]Sheet1!$D$4+H558*[1]Sheet1!$J$4+I558*[1]Sheet1!$K$4+[1]Sheet1!$L$4,IF(AND(OR(D558="T. domingensis",D558="T. latifolia"),J558&gt;0),J558*[1]Sheet1!$G$5+K558*[1]Sheet1!$H$5+L558*[1]Sheet1!$I$5+[1]Sheet1!$L$5,0)))))))</f>
        <v>19.187801</v>
      </c>
      <c r="P558">
        <f t="shared" si="25"/>
        <v>19.187801</v>
      </c>
      <c r="S558">
        <f t="shared" si="26"/>
        <v>4.2273235039999992</v>
      </c>
    </row>
    <row r="559" spans="1:19">
      <c r="A559" s="7">
        <v>42503</v>
      </c>
      <c r="B559" s="6" t="s">
        <v>22</v>
      </c>
      <c r="C559" s="6">
        <v>34</v>
      </c>
      <c r="D559" s="6" t="s">
        <v>64</v>
      </c>
      <c r="F559" s="6">
        <v>1.95</v>
      </c>
      <c r="J559">
        <f>177+221+239+263</f>
        <v>900</v>
      </c>
      <c r="K559">
        <v>4</v>
      </c>
      <c r="L559">
        <v>263</v>
      </c>
      <c r="N559" t="str">
        <f t="shared" si="24"/>
        <v>NA</v>
      </c>
      <c r="O559">
        <f>IF(AND(OR(D559="S. acutus",D559="S. californicus",D559="S. tabernaemontani"),G559=0),E559*[1]Sheet1!$D$7+[1]Sheet1!$L$7,IF(AND(OR(D559="S. acutus",D559="S. tabernaemontani"),G559&gt;0),E559*[1]Sheet1!$D$8+N559*[1]Sheet1!$E$8,IF(AND(D559="S. californicus",G559&gt;0),E559*[1]Sheet1!$D$9+N559*[1]Sheet1!$E$9,IF(D559="S. maritimus",F559*[1]Sheet1!$C$10+E559*[1]Sheet1!$D$10+G559*[1]Sheet1!$F$10+[1]Sheet1!$L$10,IF(D559="S. americanus",F559*[1]Sheet1!$C$6+E559*[1]Sheet1!$D$6+[1]Sheet1!$L$6,IF(AND(OR(D559="T. domingensis",D559="T. latifolia"),E559&gt;0),F559*[1]Sheet1!$C$4+E559*[1]Sheet1!$D$4+H559*[1]Sheet1!$J$4+I559*[1]Sheet1!$K$4+[1]Sheet1!$L$4,IF(AND(OR(D559="T. domingensis",D559="T. latifolia"),J559&gt;0),J559*[1]Sheet1!$G$5+K559*[1]Sheet1!$H$5+L559*[1]Sheet1!$I$5+[1]Sheet1!$L$5,0)))))))</f>
        <v>10.099637000000008</v>
      </c>
      <c r="P559">
        <f t="shared" si="25"/>
        <v>10.099637000000008</v>
      </c>
      <c r="S559">
        <f t="shared" si="26"/>
        <v>2.9864739937499998</v>
      </c>
    </row>
    <row r="560" spans="1:19">
      <c r="A560" s="7">
        <v>42503</v>
      </c>
      <c r="B560" s="6" t="s">
        <v>22</v>
      </c>
      <c r="C560" s="6">
        <v>34</v>
      </c>
      <c r="D560" s="6" t="s">
        <v>61</v>
      </c>
      <c r="F560" s="6">
        <v>2.12</v>
      </c>
      <c r="J560">
        <f>89+124+140+145+148+192+210</f>
        <v>1048</v>
      </c>
      <c r="K560">
        <v>7</v>
      </c>
      <c r="L560">
        <v>210</v>
      </c>
      <c r="N560" t="str">
        <f t="shared" si="24"/>
        <v>NA</v>
      </c>
      <c r="O560">
        <f>IF(AND(OR(D560="S. acutus",D560="S. californicus",D560="S. tabernaemontani"),G560=0),E560*[1]Sheet1!$D$7+[1]Sheet1!$L$7,IF(AND(OR(D560="S. acutus",D560="S. tabernaemontani"),G560&gt;0),E560*[1]Sheet1!$D$8+N560*[1]Sheet1!$E$8,IF(AND(D560="S. californicus",G560&gt;0),E560*[1]Sheet1!$D$9+N560*[1]Sheet1!$E$9,IF(D560="S. maritimus",F560*[1]Sheet1!$C$10+E560*[1]Sheet1!$D$10+G560*[1]Sheet1!$F$10+[1]Sheet1!$L$10,IF(D560="S. americanus",F560*[1]Sheet1!$C$6+E560*[1]Sheet1!$D$6+[1]Sheet1!$L$6,IF(AND(OR(D560="T. domingensis",D560="T. latifolia"),E560&gt;0),F560*[1]Sheet1!$C$4+E560*[1]Sheet1!$D$4+H560*[1]Sheet1!$J$4+I560*[1]Sheet1!$K$4+[1]Sheet1!$L$4,IF(AND(OR(D560="T. domingensis",D560="T. latifolia"),J560&gt;0),J560*[1]Sheet1!$G$5+K560*[1]Sheet1!$H$5+L560*[1]Sheet1!$I$5+[1]Sheet1!$L$5,0)))))))</f>
        <v>18.874303000000005</v>
      </c>
      <c r="P560">
        <f t="shared" si="25"/>
        <v>18.874303000000005</v>
      </c>
      <c r="S560">
        <f t="shared" si="26"/>
        <v>3.5298905240000003</v>
      </c>
    </row>
    <row r="561" spans="1:19">
      <c r="A561" s="7">
        <v>42503</v>
      </c>
      <c r="B561" s="6" t="s">
        <v>22</v>
      </c>
      <c r="C561" s="6">
        <v>34</v>
      </c>
      <c r="D561" s="6" t="s">
        <v>61</v>
      </c>
      <c r="F561" s="6">
        <v>1.76</v>
      </c>
      <c r="J561">
        <f>55+137+164+171+67</f>
        <v>594</v>
      </c>
      <c r="K561">
        <v>5</v>
      </c>
      <c r="L561">
        <v>171</v>
      </c>
      <c r="N561" t="str">
        <f t="shared" si="24"/>
        <v>NA</v>
      </c>
      <c r="O561">
        <f>IF(AND(OR(D561="S. acutus",D561="S. californicus",D561="S. tabernaemontani"),G561=0),E561*[1]Sheet1!$D$7+[1]Sheet1!$L$7,IF(AND(OR(D561="S. acutus",D561="S. tabernaemontani"),G561&gt;0),E561*[1]Sheet1!$D$8+N561*[1]Sheet1!$E$8,IF(AND(D561="S. californicus",G561&gt;0),E561*[1]Sheet1!$D$9+N561*[1]Sheet1!$E$9,IF(D561="S. maritimus",F561*[1]Sheet1!$C$10+E561*[1]Sheet1!$D$10+G561*[1]Sheet1!$F$10+[1]Sheet1!$L$10,IF(D561="S. americanus",F561*[1]Sheet1!$C$6+E561*[1]Sheet1!$D$6+[1]Sheet1!$L$6,IF(AND(OR(D561="T. domingensis",D561="T. latifolia"),E561&gt;0),F561*[1]Sheet1!$C$4+E561*[1]Sheet1!$D$4+H561*[1]Sheet1!$J$4+I561*[1]Sheet1!$K$4+[1]Sheet1!$L$4,IF(AND(OR(D561="T. domingensis",D561="T. latifolia"),J561&gt;0),J561*[1]Sheet1!$G$5+K561*[1]Sheet1!$H$5+L561*[1]Sheet1!$I$5+[1]Sheet1!$L$5,0)))))))</f>
        <v>2.1027940000000029</v>
      </c>
      <c r="P561">
        <f t="shared" si="25"/>
        <v>2.1027940000000029</v>
      </c>
      <c r="S561">
        <f t="shared" si="26"/>
        <v>2.4328472959999998</v>
      </c>
    </row>
    <row r="562" spans="1:19">
      <c r="A562" s="7">
        <v>42503</v>
      </c>
      <c r="B562" s="6" t="s">
        <v>22</v>
      </c>
      <c r="C562" s="6">
        <v>34</v>
      </c>
      <c r="D562" s="6" t="s">
        <v>61</v>
      </c>
      <c r="F562" s="6">
        <v>4.3</v>
      </c>
      <c r="J562">
        <f>263+294+312+315</f>
        <v>1184</v>
      </c>
      <c r="K562">
        <v>4</v>
      </c>
      <c r="L562">
        <v>315</v>
      </c>
      <c r="N562" t="str">
        <f t="shared" si="24"/>
        <v>NA</v>
      </c>
      <c r="O562">
        <f>IF(AND(OR(D562="S. acutus",D562="S. californicus",D562="S. tabernaemontani"),G562=0),E562*[1]Sheet1!$D$7+[1]Sheet1!$L$7,IF(AND(OR(D562="S. acutus",D562="S. tabernaemontani"),G562&gt;0),E562*[1]Sheet1!$D$8+N562*[1]Sheet1!$E$8,IF(AND(D562="S. californicus",G562&gt;0),E562*[1]Sheet1!$D$9+N562*[1]Sheet1!$E$9,IF(D562="S. maritimus",F562*[1]Sheet1!$C$10+E562*[1]Sheet1!$D$10+G562*[1]Sheet1!$F$10+[1]Sheet1!$L$10,IF(D562="S. americanus",F562*[1]Sheet1!$C$6+E562*[1]Sheet1!$D$6+[1]Sheet1!$L$6,IF(AND(OR(D562="T. domingensis",D562="T. latifolia"),E562&gt;0),F562*[1]Sheet1!$C$4+E562*[1]Sheet1!$D$4+H562*[1]Sheet1!$J$4+I562*[1]Sheet1!$K$4+[1]Sheet1!$L$4,IF(AND(OR(D562="T. domingensis",D562="T. latifolia"),J562&gt;0),J562*[1]Sheet1!$G$5+K562*[1]Sheet1!$H$5+L562*[1]Sheet1!$I$5+[1]Sheet1!$L$5,0)))))))</f>
        <v>21.06131700000001</v>
      </c>
      <c r="P562">
        <f t="shared" si="25"/>
        <v>21.06131700000001</v>
      </c>
      <c r="S562">
        <f t="shared" si="26"/>
        <v>14.521999774999998</v>
      </c>
    </row>
    <row r="563" spans="1:19">
      <c r="A563" s="7">
        <v>42503</v>
      </c>
      <c r="B563" s="6" t="s">
        <v>22</v>
      </c>
      <c r="C563" s="6">
        <v>34</v>
      </c>
      <c r="D563" s="6" t="s">
        <v>61</v>
      </c>
      <c r="F563" s="6">
        <v>0.96</v>
      </c>
      <c r="J563">
        <f>35+45+28</f>
        <v>108</v>
      </c>
      <c r="K563">
        <v>3</v>
      </c>
      <c r="L563">
        <v>45</v>
      </c>
      <c r="N563" t="str">
        <f t="shared" si="24"/>
        <v>NA</v>
      </c>
      <c r="O563">
        <f>IF(AND(OR(D563="S. acutus",D563="S. californicus",D563="S. tabernaemontani"),G563=0),E563*[1]Sheet1!$D$7+[1]Sheet1!$L$7,IF(AND(OR(D563="S. acutus",D563="S. tabernaemontani"),G563&gt;0),E563*[1]Sheet1!$D$8+N563*[1]Sheet1!$E$8,IF(AND(D563="S. californicus",G563&gt;0),E563*[1]Sheet1!$D$9+N563*[1]Sheet1!$E$9,IF(D563="S. maritimus",F563*[1]Sheet1!$C$10+E563*[1]Sheet1!$D$10+G563*[1]Sheet1!$F$10+[1]Sheet1!$L$10,IF(D563="S. americanus",F563*[1]Sheet1!$C$6+E563*[1]Sheet1!$D$6+[1]Sheet1!$L$6,IF(AND(OR(D563="T. domingensis",D563="T. latifolia"),E563&gt;0),F563*[1]Sheet1!$C$4+E563*[1]Sheet1!$D$4+H563*[1]Sheet1!$J$4+I563*[1]Sheet1!$K$4+[1]Sheet1!$L$4,IF(AND(OR(D563="T. domingensis",D563="T. latifolia"),J563&gt;0),J563*[1]Sheet1!$G$5+K563*[1]Sheet1!$H$5+L563*[1]Sheet1!$I$5+[1]Sheet1!$L$5,0)))))))</f>
        <v>8.539439999999999</v>
      </c>
      <c r="P563">
        <f t="shared" si="25"/>
        <v>8.539439999999999</v>
      </c>
      <c r="S563">
        <f t="shared" si="26"/>
        <v>0.7238223359999999</v>
      </c>
    </row>
    <row r="564" spans="1:19">
      <c r="A564" s="7">
        <v>42503</v>
      </c>
      <c r="B564" s="6" t="s">
        <v>22</v>
      </c>
      <c r="C564" s="6">
        <v>34</v>
      </c>
      <c r="D564" s="6" t="s">
        <v>61</v>
      </c>
      <c r="F564" s="6">
        <v>1.0900000000000001</v>
      </c>
      <c r="J564">
        <f>87+112+118</f>
        <v>317</v>
      </c>
      <c r="K564">
        <v>3</v>
      </c>
      <c r="L564">
        <v>118</v>
      </c>
      <c r="N564" t="str">
        <f t="shared" si="24"/>
        <v>NA</v>
      </c>
      <c r="O564">
        <f>IF(AND(OR(D564="S. acutus",D564="S. californicus",D564="S. tabernaemontani"),G564=0),E564*[1]Sheet1!$D$7+[1]Sheet1!$L$7,IF(AND(OR(D564="S. acutus",D564="S. tabernaemontani"),G564&gt;0),E564*[1]Sheet1!$D$8+N564*[1]Sheet1!$E$8,IF(AND(D564="S. californicus",G564&gt;0),E564*[1]Sheet1!$D$9+N564*[1]Sheet1!$E$9,IF(D564="S. maritimus",F564*[1]Sheet1!$C$10+E564*[1]Sheet1!$D$10+G564*[1]Sheet1!$F$10+[1]Sheet1!$L$10,IF(D564="S. americanus",F564*[1]Sheet1!$C$6+E564*[1]Sheet1!$D$6+[1]Sheet1!$L$6,IF(AND(OR(D564="T. domingensis",D564="T. latifolia"),E564&gt;0),F564*[1]Sheet1!$C$4+E564*[1]Sheet1!$D$4+H564*[1]Sheet1!$J$4+I564*[1]Sheet1!$K$4+[1]Sheet1!$L$4,IF(AND(OR(D564="T. domingensis",D564="T. latifolia"),J564&gt;0),J564*[1]Sheet1!$G$5+K564*[1]Sheet1!$H$5+L564*[1]Sheet1!$I$5+[1]Sheet1!$L$5,0)))))))</f>
        <v>6.1433500000000016</v>
      </c>
      <c r="P564">
        <f t="shared" si="25"/>
        <v>6.1433500000000016</v>
      </c>
      <c r="S564">
        <f t="shared" si="26"/>
        <v>0.93313076975000009</v>
      </c>
    </row>
    <row r="565" spans="1:19">
      <c r="A565" s="7">
        <v>42503</v>
      </c>
      <c r="B565" s="6" t="s">
        <v>22</v>
      </c>
      <c r="C565" s="6">
        <v>34</v>
      </c>
      <c r="D565" s="6" t="s">
        <v>61</v>
      </c>
      <c r="F565" s="6">
        <v>1.65</v>
      </c>
      <c r="J565">
        <f>153+163+212+247+260</f>
        <v>1035</v>
      </c>
      <c r="K565">
        <v>5</v>
      </c>
      <c r="L565">
        <v>260</v>
      </c>
      <c r="N565" t="str">
        <f t="shared" si="24"/>
        <v>NA</v>
      </c>
      <c r="O565">
        <f>IF(AND(OR(D565="S. acutus",D565="S. californicus",D565="S. tabernaemontani"),G565=0),E565*[1]Sheet1!$D$7+[1]Sheet1!$L$7,IF(AND(OR(D565="S. acutus",D565="S. tabernaemontani"),G565&gt;0),E565*[1]Sheet1!$D$8+N565*[1]Sheet1!$E$8,IF(AND(D565="S. californicus",G565&gt;0),E565*[1]Sheet1!$D$9+N565*[1]Sheet1!$E$9,IF(D565="S. maritimus",F565*[1]Sheet1!$C$10+E565*[1]Sheet1!$D$10+G565*[1]Sheet1!$F$10+[1]Sheet1!$L$10,IF(D565="S. americanus",F565*[1]Sheet1!$C$6+E565*[1]Sheet1!$D$6+[1]Sheet1!$L$6,IF(AND(OR(D565="T. domingensis",D565="T. latifolia"),E565&gt;0),F565*[1]Sheet1!$C$4+E565*[1]Sheet1!$D$4+H565*[1]Sheet1!$J$4+I565*[1]Sheet1!$K$4+[1]Sheet1!$L$4,IF(AND(OR(D565="T. domingensis",D565="T. latifolia"),J565&gt;0),J565*[1]Sheet1!$G$5+K565*[1]Sheet1!$H$5+L565*[1]Sheet1!$I$5+[1]Sheet1!$L$5,0)))))))</f>
        <v>16.637944000000005</v>
      </c>
      <c r="P565">
        <f t="shared" si="25"/>
        <v>16.637944000000005</v>
      </c>
      <c r="S565">
        <f t="shared" si="26"/>
        <v>2.1382446937499995</v>
      </c>
    </row>
    <row r="566" spans="1:19">
      <c r="A566" s="7">
        <v>42503</v>
      </c>
      <c r="B566" s="6" t="s">
        <v>22</v>
      </c>
      <c r="C566" s="6">
        <v>34</v>
      </c>
      <c r="D566" s="6" t="s">
        <v>61</v>
      </c>
      <c r="F566" s="6">
        <v>1.74</v>
      </c>
      <c r="J566">
        <f>68+116+157+192+192+212</f>
        <v>937</v>
      </c>
      <c r="K566">
        <v>6</v>
      </c>
      <c r="L566">
        <v>212</v>
      </c>
      <c r="N566" t="str">
        <f t="shared" si="24"/>
        <v>NA</v>
      </c>
      <c r="O566">
        <f>IF(AND(OR(D566="S. acutus",D566="S. californicus",D566="S. tabernaemontani"),G566=0),E566*[1]Sheet1!$D$7+[1]Sheet1!$L$7,IF(AND(OR(D566="S. acutus",D566="S. tabernaemontani"),G566&gt;0),E566*[1]Sheet1!$D$8+N566*[1]Sheet1!$E$8,IF(AND(D566="S. californicus",G566&gt;0),E566*[1]Sheet1!$D$9+N566*[1]Sheet1!$E$9,IF(D566="S. maritimus",F566*[1]Sheet1!$C$10+E566*[1]Sheet1!$D$10+G566*[1]Sheet1!$F$10+[1]Sheet1!$L$10,IF(D566="S. americanus",F566*[1]Sheet1!$C$6+E566*[1]Sheet1!$D$6+[1]Sheet1!$L$6,IF(AND(OR(D566="T. domingensis",D566="T. latifolia"),E566&gt;0),F566*[1]Sheet1!$C$4+E566*[1]Sheet1!$D$4+H566*[1]Sheet1!$J$4+I566*[1]Sheet1!$K$4+[1]Sheet1!$L$4,IF(AND(OR(D566="T. domingensis",D566="T. latifolia"),J566&gt;0),J566*[1]Sheet1!$G$5+K566*[1]Sheet1!$H$5+L566*[1]Sheet1!$I$5+[1]Sheet1!$L$5,0)))))))</f>
        <v>14.887361000000006</v>
      </c>
      <c r="P566">
        <f t="shared" si="25"/>
        <v>14.887361000000006</v>
      </c>
      <c r="S566">
        <f t="shared" si="26"/>
        <v>2.3778694709999999</v>
      </c>
    </row>
    <row r="567" spans="1:19">
      <c r="A567" s="7">
        <v>42503</v>
      </c>
      <c r="B567" s="6" t="s">
        <v>22</v>
      </c>
      <c r="C567" s="6">
        <v>32</v>
      </c>
      <c r="D567" s="6" t="s">
        <v>64</v>
      </c>
      <c r="F567" s="6">
        <v>3</v>
      </c>
      <c r="J567">
        <f>86+129+148+178+200+215</f>
        <v>956</v>
      </c>
      <c r="K567">
        <v>6</v>
      </c>
      <c r="L567">
        <v>215</v>
      </c>
      <c r="N567" t="str">
        <f t="shared" si="24"/>
        <v>NA</v>
      </c>
      <c r="O567">
        <f>IF(AND(OR(D567="S. acutus",D567="S. californicus",D567="S. tabernaemontani"),G567=0),E567*[1]Sheet1!$D$7+[1]Sheet1!$L$7,IF(AND(OR(D567="S. acutus",D567="S. tabernaemontani"),G567&gt;0),E567*[1]Sheet1!$D$8+N567*[1]Sheet1!$E$8,IF(AND(D567="S. californicus",G567&gt;0),E567*[1]Sheet1!$D$9+N567*[1]Sheet1!$E$9,IF(D567="S. maritimus",F567*[1]Sheet1!$C$10+E567*[1]Sheet1!$D$10+G567*[1]Sheet1!$F$10+[1]Sheet1!$L$10,IF(D567="S. americanus",F567*[1]Sheet1!$C$6+E567*[1]Sheet1!$D$6+[1]Sheet1!$L$6,IF(AND(OR(D567="T. domingensis",D567="T. latifolia"),E567&gt;0),F567*[1]Sheet1!$C$4+E567*[1]Sheet1!$D$4+H567*[1]Sheet1!$J$4+I567*[1]Sheet1!$K$4+[1]Sheet1!$L$4,IF(AND(OR(D567="T. domingensis",D567="T. latifolia"),J567&gt;0),J567*[1]Sheet1!$G$5+K567*[1]Sheet1!$H$5+L567*[1]Sheet1!$I$5+[1]Sheet1!$L$5,0)))))))</f>
        <v>15.76497100000001</v>
      </c>
      <c r="P567">
        <f t="shared" si="25"/>
        <v>15.76497100000001</v>
      </c>
      <c r="S567">
        <f t="shared" si="26"/>
        <v>7.0685775</v>
      </c>
    </row>
    <row r="568" spans="1:19">
      <c r="A568" s="7">
        <v>42503</v>
      </c>
      <c r="B568" s="6" t="s">
        <v>22</v>
      </c>
      <c r="C568" s="6">
        <v>32</v>
      </c>
      <c r="D568" s="6" t="s">
        <v>64</v>
      </c>
      <c r="F568" s="6">
        <v>2.4</v>
      </c>
      <c r="J568">
        <f>50+12+118+163+185+208+216</f>
        <v>952</v>
      </c>
      <c r="K568">
        <v>7</v>
      </c>
      <c r="L568">
        <v>216</v>
      </c>
      <c r="N568" t="str">
        <f t="shared" si="24"/>
        <v>NA</v>
      </c>
      <c r="O568">
        <f>IF(AND(OR(D568="S. acutus",D568="S. californicus",D568="S. tabernaemontani"),G568=0),E568*[1]Sheet1!$D$7+[1]Sheet1!$L$7,IF(AND(OR(D568="S. acutus",D568="S. tabernaemontani"),G568&gt;0),E568*[1]Sheet1!$D$8+N568*[1]Sheet1!$E$8,IF(AND(D568="S. californicus",G568&gt;0),E568*[1]Sheet1!$D$9+N568*[1]Sheet1!$E$9,IF(D568="S. maritimus",F568*[1]Sheet1!$C$10+E568*[1]Sheet1!$D$10+G568*[1]Sheet1!$F$10+[1]Sheet1!$L$10,IF(D568="S. americanus",F568*[1]Sheet1!$C$6+E568*[1]Sheet1!$D$6+[1]Sheet1!$L$6,IF(AND(OR(D568="T. domingensis",D568="T. latifolia"),E568&gt;0),F568*[1]Sheet1!$C$4+E568*[1]Sheet1!$D$4+H568*[1]Sheet1!$J$4+I568*[1]Sheet1!$K$4+[1]Sheet1!$L$4,IF(AND(OR(D568="T. domingensis",D568="T. latifolia"),J568&gt;0),J568*[1]Sheet1!$G$5+K568*[1]Sheet1!$H$5+L568*[1]Sheet1!$I$5+[1]Sheet1!$L$5,0)))))))</f>
        <v>8.0663530000000137</v>
      </c>
      <c r="P568">
        <f t="shared" si="25"/>
        <v>8.0663530000000137</v>
      </c>
      <c r="S568">
        <f t="shared" si="26"/>
        <v>4.5238895999999995</v>
      </c>
    </row>
    <row r="569" spans="1:19">
      <c r="A569" s="7">
        <v>42503</v>
      </c>
      <c r="B569" s="6" t="s">
        <v>22</v>
      </c>
      <c r="C569" s="6">
        <v>32</v>
      </c>
      <c r="D569" s="6" t="s">
        <v>64</v>
      </c>
      <c r="F569" s="6">
        <v>2.35</v>
      </c>
      <c r="J569">
        <f>90+105+140+164+176+200</f>
        <v>875</v>
      </c>
      <c r="K569">
        <v>6</v>
      </c>
      <c r="L569">
        <v>200</v>
      </c>
      <c r="N569" t="str">
        <f t="shared" si="24"/>
        <v>NA</v>
      </c>
      <c r="O569">
        <f>IF(AND(OR(D569="S. acutus",D569="S. californicus",D569="S. tabernaemontani"),G569=0),E569*[1]Sheet1!$D$7+[1]Sheet1!$L$7,IF(AND(OR(D569="S. acutus",D569="S. tabernaemontani"),G569&gt;0),E569*[1]Sheet1!$D$8+N569*[1]Sheet1!$E$8,IF(AND(D569="S. californicus",G569&gt;0),E569*[1]Sheet1!$D$9+N569*[1]Sheet1!$E$9,IF(D569="S. maritimus",F569*[1]Sheet1!$C$10+E569*[1]Sheet1!$D$10+G569*[1]Sheet1!$F$10+[1]Sheet1!$L$10,IF(D569="S. americanus",F569*[1]Sheet1!$C$6+E569*[1]Sheet1!$D$6+[1]Sheet1!$L$6,IF(AND(OR(D569="T. domingensis",D569="T. latifolia"),E569&gt;0),F569*[1]Sheet1!$C$4+E569*[1]Sheet1!$D$4+H569*[1]Sheet1!$J$4+I569*[1]Sheet1!$K$4+[1]Sheet1!$L$4,IF(AND(OR(D569="T. domingensis",D569="T. latifolia"),J569&gt;0),J569*[1]Sheet1!$G$5+K569*[1]Sheet1!$H$5+L569*[1]Sheet1!$I$5+[1]Sheet1!$L$5,0)))))))</f>
        <v>12.689491000000011</v>
      </c>
      <c r="P569">
        <f t="shared" si="25"/>
        <v>12.689491000000011</v>
      </c>
      <c r="S569">
        <f t="shared" si="26"/>
        <v>4.3373576937500005</v>
      </c>
    </row>
    <row r="570" spans="1:19">
      <c r="A570" s="7">
        <v>42503</v>
      </c>
      <c r="B570" s="6" t="s">
        <v>22</v>
      </c>
      <c r="C570" s="6">
        <v>32</v>
      </c>
      <c r="D570" s="6" t="s">
        <v>64</v>
      </c>
      <c r="F570" s="6">
        <v>2.2999999999999998</v>
      </c>
      <c r="J570">
        <f>135+165+196+209+226+231</f>
        <v>1162</v>
      </c>
      <c r="K570">
        <v>6</v>
      </c>
      <c r="L570">
        <v>231</v>
      </c>
      <c r="N570" t="str">
        <f t="shared" si="24"/>
        <v>NA</v>
      </c>
      <c r="O570">
        <f>IF(AND(OR(D570="S. acutus",D570="S. californicus",D570="S. tabernaemontani"),G570=0),E570*[1]Sheet1!$D$7+[1]Sheet1!$L$7,IF(AND(OR(D570="S. acutus",D570="S. tabernaemontani"),G570&gt;0),E570*[1]Sheet1!$D$8+N570*[1]Sheet1!$E$8,IF(AND(D570="S. californicus",G570&gt;0),E570*[1]Sheet1!$D$9+N570*[1]Sheet1!$E$9,IF(D570="S. maritimus",F570*[1]Sheet1!$C$10+E570*[1]Sheet1!$D$10+G570*[1]Sheet1!$F$10+[1]Sheet1!$L$10,IF(D570="S. americanus",F570*[1]Sheet1!$C$6+E570*[1]Sheet1!$D$6+[1]Sheet1!$L$6,IF(AND(OR(D570="T. domingensis",D570="T. latifolia"),E570&gt;0),F570*[1]Sheet1!$C$4+E570*[1]Sheet1!$D$4+H570*[1]Sheet1!$J$4+I570*[1]Sheet1!$K$4+[1]Sheet1!$L$4,IF(AND(OR(D570="T. domingensis",D570="T. latifolia"),J570&gt;0),J570*[1]Sheet1!$G$5+K570*[1]Sheet1!$H$5+L570*[1]Sheet1!$I$5+[1]Sheet1!$L$5,0)))))))</f>
        <v>30.258581000000014</v>
      </c>
      <c r="P570">
        <f t="shared" si="25"/>
        <v>30.258581000000014</v>
      </c>
      <c r="S570">
        <f t="shared" si="26"/>
        <v>4.1547527749999995</v>
      </c>
    </row>
    <row r="571" spans="1:19">
      <c r="A571" s="7">
        <v>42503</v>
      </c>
      <c r="B571" s="6" t="s">
        <v>22</v>
      </c>
      <c r="C571" s="6">
        <v>32</v>
      </c>
      <c r="D571" s="6" t="s">
        <v>64</v>
      </c>
      <c r="F571" s="6">
        <v>3.05</v>
      </c>
      <c r="J571">
        <f>164+170+185+226+244+248+246+250</f>
        <v>1733</v>
      </c>
      <c r="K571">
        <v>8</v>
      </c>
      <c r="L571">
        <v>250</v>
      </c>
      <c r="N571" t="str">
        <f t="shared" si="24"/>
        <v>NA</v>
      </c>
      <c r="O571">
        <f>IF(AND(OR(D571="S. acutus",D571="S. californicus",D571="S. tabernaemontani"),G571=0),E571*[1]Sheet1!$D$7+[1]Sheet1!$L$7,IF(AND(OR(D571="S. acutus",D571="S. tabernaemontani"),G571&gt;0),E571*[1]Sheet1!$D$8+N571*[1]Sheet1!$E$8,IF(AND(D571="S. californicus",G571&gt;0),E571*[1]Sheet1!$D$9+N571*[1]Sheet1!$E$9,IF(D571="S. maritimus",F571*[1]Sheet1!$C$10+E571*[1]Sheet1!$D$10+G571*[1]Sheet1!$F$10+[1]Sheet1!$L$10,IF(D571="S. americanus",F571*[1]Sheet1!$C$6+E571*[1]Sheet1!$D$6+[1]Sheet1!$L$6,IF(AND(OR(D571="T. domingensis",D571="T. latifolia"),E571&gt;0),F571*[1]Sheet1!$C$4+E571*[1]Sheet1!$D$4+H571*[1]Sheet1!$J$4+I571*[1]Sheet1!$K$4+[1]Sheet1!$L$4,IF(AND(OR(D571="T. domingensis",D571="T. latifolia"),J571&gt;0),J571*[1]Sheet1!$G$5+K571*[1]Sheet1!$H$5+L571*[1]Sheet1!$I$5+[1]Sheet1!$L$5,0)))))))</f>
        <v>64.024325000000005</v>
      </c>
      <c r="P571">
        <f t="shared" si="25"/>
        <v>64.024325000000005</v>
      </c>
      <c r="S571">
        <f t="shared" si="26"/>
        <v>7.3061602437499982</v>
      </c>
    </row>
    <row r="572" spans="1:19">
      <c r="A572" s="7">
        <v>42503</v>
      </c>
      <c r="B572" s="6" t="s">
        <v>22</v>
      </c>
      <c r="C572" s="6">
        <v>32</v>
      </c>
      <c r="D572" s="6" t="s">
        <v>64</v>
      </c>
      <c r="F572" s="6">
        <v>1.23</v>
      </c>
      <c r="J572">
        <f>102+145+168+205</f>
        <v>620</v>
      </c>
      <c r="K572">
        <v>4</v>
      </c>
      <c r="L572">
        <v>205</v>
      </c>
      <c r="N572" t="str">
        <f t="shared" si="24"/>
        <v>NA</v>
      </c>
      <c r="O572">
        <f>IF(AND(OR(D572="S. acutus",D572="S. californicus",D572="S. tabernaemontani"),G572=0),E572*[1]Sheet1!$D$7+[1]Sheet1!$L$7,IF(AND(OR(D572="S. acutus",D572="S. tabernaemontani"),G572&gt;0),E572*[1]Sheet1!$D$8+N572*[1]Sheet1!$E$8,IF(AND(D572="S. californicus",G572&gt;0),E572*[1]Sheet1!$D$9+N572*[1]Sheet1!$E$9,IF(D572="S. maritimus",F572*[1]Sheet1!$C$10+E572*[1]Sheet1!$D$10+G572*[1]Sheet1!$F$10+[1]Sheet1!$L$10,IF(D572="S. americanus",F572*[1]Sheet1!$C$6+E572*[1]Sheet1!$D$6+[1]Sheet1!$L$6,IF(AND(OR(D572="T. domingensis",D572="T. latifolia"),E572&gt;0),F572*[1]Sheet1!$C$4+E572*[1]Sheet1!$D$4+H572*[1]Sheet1!$J$4+I572*[1]Sheet1!$K$4+[1]Sheet1!$L$4,IF(AND(OR(D572="T. domingensis",D572="T. latifolia"),J572&gt;0),J572*[1]Sheet1!$G$5+K572*[1]Sheet1!$H$5+L572*[1]Sheet1!$I$5+[1]Sheet1!$L$5,0)))))))</f>
        <v>1.320447000000005</v>
      </c>
      <c r="P572">
        <f t="shared" si="25"/>
        <v>1.320447000000005</v>
      </c>
      <c r="S572">
        <f t="shared" si="26"/>
        <v>1.1882278777499999</v>
      </c>
    </row>
    <row r="573" spans="1:19">
      <c r="A573" s="7">
        <v>42503</v>
      </c>
      <c r="B573" s="6" t="s">
        <v>22</v>
      </c>
      <c r="C573" s="6">
        <v>32</v>
      </c>
      <c r="D573" s="6" t="s">
        <v>64</v>
      </c>
      <c r="F573" s="6">
        <v>1.36</v>
      </c>
      <c r="J573">
        <f>43+136+173+187+206</f>
        <v>745</v>
      </c>
      <c r="K573">
        <v>5</v>
      </c>
      <c r="L573">
        <v>206</v>
      </c>
      <c r="N573" t="str">
        <f t="shared" si="24"/>
        <v>NA</v>
      </c>
      <c r="O573">
        <f>IF(AND(OR(D573="S. acutus",D573="S. californicus",D573="S. tabernaemontani"),G573=0),E573*[1]Sheet1!$D$7+[1]Sheet1!$L$7,IF(AND(OR(D573="S. acutus",D573="S. tabernaemontani"),G573&gt;0),E573*[1]Sheet1!$D$8+N573*[1]Sheet1!$E$8,IF(AND(D573="S. californicus",G573&gt;0),E573*[1]Sheet1!$D$9+N573*[1]Sheet1!$E$9,IF(D573="S. maritimus",F573*[1]Sheet1!$C$10+E573*[1]Sheet1!$D$10+G573*[1]Sheet1!$F$10+[1]Sheet1!$L$10,IF(D573="S. americanus",F573*[1]Sheet1!$C$6+E573*[1]Sheet1!$D$6+[1]Sheet1!$L$6,IF(AND(OR(D573="T. domingensis",D573="T. latifolia"),E573&gt;0),F573*[1]Sheet1!$C$4+E573*[1]Sheet1!$D$4+H573*[1]Sheet1!$J$4+I573*[1]Sheet1!$K$4+[1]Sheet1!$L$4,IF(AND(OR(D573="T. domingensis",D573="T. latifolia"),J573&gt;0),J573*[1]Sheet1!$G$5+K573*[1]Sheet1!$H$5+L573*[1]Sheet1!$I$5+[1]Sheet1!$L$5,0)))))))</f>
        <v>5.716224000000004</v>
      </c>
      <c r="P573">
        <f t="shared" si="25"/>
        <v>5.716224000000004</v>
      </c>
      <c r="S573">
        <f t="shared" si="26"/>
        <v>1.4526712160000002</v>
      </c>
    </row>
    <row r="574" spans="1:19">
      <c r="A574" s="7">
        <v>42503</v>
      </c>
      <c r="B574" s="6" t="s">
        <v>22</v>
      </c>
      <c r="C574" s="6">
        <v>32</v>
      </c>
      <c r="D574" s="6" t="s">
        <v>64</v>
      </c>
      <c r="F574" s="6">
        <v>1.47</v>
      </c>
      <c r="J574">
        <f>78+84+133+13+189</f>
        <v>497</v>
      </c>
      <c r="K574">
        <v>5</v>
      </c>
      <c r="L574">
        <v>189</v>
      </c>
      <c r="N574" t="str">
        <f t="shared" si="24"/>
        <v>NA</v>
      </c>
      <c r="O574">
        <f>IF(AND(OR(D574="S. acutus",D574="S. californicus",D574="S. tabernaemontani"),G574=0),E574*[1]Sheet1!$D$7+[1]Sheet1!$L$7,IF(AND(OR(D574="S. acutus",D574="S. tabernaemontani"),G574&gt;0),E574*[1]Sheet1!$D$8+N574*[1]Sheet1!$E$8,IF(AND(D574="S. californicus",G574&gt;0),E574*[1]Sheet1!$D$9+N574*[1]Sheet1!$E$9,IF(D574="S. maritimus",F574*[1]Sheet1!$C$10+E574*[1]Sheet1!$D$10+G574*[1]Sheet1!$F$10+[1]Sheet1!$L$10,IF(D574="S. americanus",F574*[1]Sheet1!$C$6+E574*[1]Sheet1!$D$6+[1]Sheet1!$L$6,IF(AND(OR(D574="T. domingensis",D574="T. latifolia"),E574&gt;0),F574*[1]Sheet1!$C$4+E574*[1]Sheet1!$D$4+H574*[1]Sheet1!$J$4+I574*[1]Sheet1!$K$4+[1]Sheet1!$L$4,IF(AND(OR(D574="T. domingensis",D574="T. latifolia"),J574&gt;0),J574*[1]Sheet1!$G$5+K574*[1]Sheet1!$H$5+L574*[1]Sheet1!$I$5+[1]Sheet1!$L$5,0)))))))</f>
        <v>-12.413851000000001</v>
      </c>
      <c r="P574" t="str">
        <f t="shared" si="25"/>
        <v xml:space="preserve"> </v>
      </c>
      <c r="S574">
        <f t="shared" si="26"/>
        <v>1.6971654577499997</v>
      </c>
    </row>
    <row r="575" spans="1:19">
      <c r="A575" s="7">
        <v>42503</v>
      </c>
      <c r="B575" s="6" t="s">
        <v>22</v>
      </c>
      <c r="C575" s="6">
        <v>32</v>
      </c>
      <c r="D575" s="6" t="s">
        <v>64</v>
      </c>
      <c r="F575" s="6">
        <v>2.37</v>
      </c>
      <c r="J575">
        <f>80+135+157+182+203+227+228</f>
        <v>1212</v>
      </c>
      <c r="K575">
        <v>7</v>
      </c>
      <c r="L575">
        <v>228</v>
      </c>
      <c r="N575" t="str">
        <f t="shared" si="24"/>
        <v>NA</v>
      </c>
      <c r="O575">
        <f>IF(AND(OR(D575="S. acutus",D575="S. californicus",D575="S. tabernaemontani"),G575=0),E575*[1]Sheet1!$D$7+[1]Sheet1!$L$7,IF(AND(OR(D575="S. acutus",D575="S. tabernaemontani"),G575&gt;0),E575*[1]Sheet1!$D$8+N575*[1]Sheet1!$E$8,IF(AND(D575="S. californicus",G575&gt;0),E575*[1]Sheet1!$D$9+N575*[1]Sheet1!$E$9,IF(D575="S. maritimus",F575*[1]Sheet1!$C$10+E575*[1]Sheet1!$D$10+G575*[1]Sheet1!$F$10+[1]Sheet1!$L$10,IF(D575="S. americanus",F575*[1]Sheet1!$C$6+E575*[1]Sheet1!$D$6+[1]Sheet1!$L$6,IF(AND(OR(D575="T. domingensis",D575="T. latifolia"),E575&gt;0),F575*[1]Sheet1!$C$4+E575*[1]Sheet1!$D$4+H575*[1]Sheet1!$J$4+I575*[1]Sheet1!$K$4+[1]Sheet1!$L$4,IF(AND(OR(D575="T. domingensis",D575="T. latifolia"),J575&gt;0),J575*[1]Sheet1!$G$5+K575*[1]Sheet1!$H$5+L575*[1]Sheet1!$I$5+[1]Sheet1!$L$5,0)))))))</f>
        <v>28.82771300000001</v>
      </c>
      <c r="P575">
        <f t="shared" si="25"/>
        <v>28.82771300000001</v>
      </c>
      <c r="S575">
        <f t="shared" si="26"/>
        <v>4.4114992177500003</v>
      </c>
    </row>
    <row r="576" spans="1:19">
      <c r="A576" s="7">
        <v>42503</v>
      </c>
      <c r="B576" s="6" t="s">
        <v>22</v>
      </c>
      <c r="C576" s="6">
        <v>32</v>
      </c>
      <c r="D576" s="6" t="s">
        <v>61</v>
      </c>
      <c r="F576" s="6">
        <v>2.81</v>
      </c>
      <c r="J576">
        <f>140+192+208+239+260+276</f>
        <v>1315</v>
      </c>
      <c r="K576">
        <v>6</v>
      </c>
      <c r="L576">
        <v>276</v>
      </c>
      <c r="N576" t="str">
        <f t="shared" si="24"/>
        <v>NA</v>
      </c>
      <c r="O576">
        <f>IF(AND(OR(D576="S. acutus",D576="S. californicus",D576="S. tabernaemontani"),G576=0),E576*[1]Sheet1!$D$7+[1]Sheet1!$L$7,IF(AND(OR(D576="S. acutus",D576="S. tabernaemontani"),G576&gt;0),E576*[1]Sheet1!$D$8+N576*[1]Sheet1!$E$8,IF(AND(D576="S. californicus",G576&gt;0),E576*[1]Sheet1!$D$9+N576*[1]Sheet1!$E$9,IF(D576="S. maritimus",F576*[1]Sheet1!$C$10+E576*[1]Sheet1!$D$10+G576*[1]Sheet1!$F$10+[1]Sheet1!$L$10,IF(D576="S. americanus",F576*[1]Sheet1!$C$6+E576*[1]Sheet1!$D$6+[1]Sheet1!$L$6,IF(AND(OR(D576="T. domingensis",D576="T. latifolia"),E576&gt;0),F576*[1]Sheet1!$C$4+E576*[1]Sheet1!$D$4+H576*[1]Sheet1!$J$4+I576*[1]Sheet1!$K$4+[1]Sheet1!$L$4,IF(AND(OR(D576="T. domingensis",D576="T. latifolia"),J576&gt;0),J576*[1]Sheet1!$G$5+K576*[1]Sheet1!$H$5+L576*[1]Sheet1!$I$5+[1]Sheet1!$L$5,0)))))))</f>
        <v>31.04707100000001</v>
      </c>
      <c r="P576">
        <f t="shared" si="25"/>
        <v>31.04707100000001</v>
      </c>
      <c r="S576">
        <f t="shared" si="26"/>
        <v>6.20157719975</v>
      </c>
    </row>
    <row r="577" spans="1:19">
      <c r="A577" s="7">
        <v>42503</v>
      </c>
      <c r="B577" s="6" t="s">
        <v>22</v>
      </c>
      <c r="C577" s="6">
        <v>32</v>
      </c>
      <c r="D577" s="6" t="s">
        <v>61</v>
      </c>
      <c r="F577" s="6">
        <v>1.82</v>
      </c>
      <c r="J577">
        <f>83+106+135+163+171</f>
        <v>658</v>
      </c>
      <c r="K577">
        <v>5</v>
      </c>
      <c r="L577">
        <v>171</v>
      </c>
      <c r="N577" t="str">
        <f t="shared" si="24"/>
        <v>NA</v>
      </c>
      <c r="O577">
        <f>IF(AND(OR(D577="S. acutus",D577="S. californicus",D577="S. tabernaemontani"),G577=0),E577*[1]Sheet1!$D$7+[1]Sheet1!$L$7,IF(AND(OR(D577="S. acutus",D577="S. tabernaemontani"),G577&gt;0),E577*[1]Sheet1!$D$8+N577*[1]Sheet1!$E$8,IF(AND(D577="S. californicus",G577&gt;0),E577*[1]Sheet1!$D$9+N577*[1]Sheet1!$E$9,IF(D577="S. maritimus",F577*[1]Sheet1!$C$10+E577*[1]Sheet1!$D$10+G577*[1]Sheet1!$F$10+[1]Sheet1!$L$10,IF(D577="S. americanus",F577*[1]Sheet1!$C$6+E577*[1]Sheet1!$D$6+[1]Sheet1!$L$6,IF(AND(OR(D577="T. domingensis",D577="T. latifolia"),E577&gt;0),F577*[1]Sheet1!$C$4+E577*[1]Sheet1!$D$4+H577*[1]Sheet1!$J$4+I577*[1]Sheet1!$K$4+[1]Sheet1!$L$4,IF(AND(OR(D577="T. domingensis",D577="T. latifolia"),J577&gt;0),J577*[1]Sheet1!$G$5+K577*[1]Sheet1!$H$5+L577*[1]Sheet1!$I$5+[1]Sheet1!$L$5,0)))))))</f>
        <v>8.1031139999999979</v>
      </c>
      <c r="P577">
        <f t="shared" si="25"/>
        <v>8.1031139999999979</v>
      </c>
      <c r="S577">
        <f t="shared" si="26"/>
        <v>2.6015506790000003</v>
      </c>
    </row>
    <row r="578" spans="1:19">
      <c r="A578" s="7">
        <v>42503</v>
      </c>
      <c r="B578" s="6" t="s">
        <v>22</v>
      </c>
      <c r="C578" s="6">
        <v>32</v>
      </c>
      <c r="D578" s="6" t="s">
        <v>61</v>
      </c>
      <c r="F578" s="6">
        <v>3.05</v>
      </c>
      <c r="J578">
        <f>72+154+167+175+214+217+226+233</f>
        <v>1458</v>
      </c>
      <c r="K578">
        <v>8</v>
      </c>
      <c r="L578">
        <v>233</v>
      </c>
      <c r="N578" t="str">
        <f t="shared" si="24"/>
        <v>NA</v>
      </c>
      <c r="O578">
        <f>IF(AND(OR(D578="S. acutus",D578="S. californicus",D578="S. tabernaemontani"),G578=0),E578*[1]Sheet1!$D$7+[1]Sheet1!$L$7,IF(AND(OR(D578="S. acutus",D578="S. tabernaemontani"),G578&gt;0),E578*[1]Sheet1!$D$8+N578*[1]Sheet1!$E$8,IF(AND(D578="S. californicus",G578&gt;0),E578*[1]Sheet1!$D$9+N578*[1]Sheet1!$E$9,IF(D578="S. maritimus",F578*[1]Sheet1!$C$10+E578*[1]Sheet1!$D$10+G578*[1]Sheet1!$F$10+[1]Sheet1!$L$10,IF(D578="S. americanus",F578*[1]Sheet1!$C$6+E578*[1]Sheet1!$D$6+[1]Sheet1!$L$6,IF(AND(OR(D578="T. domingensis",D578="T. latifolia"),E578&gt;0),F578*[1]Sheet1!$C$4+E578*[1]Sheet1!$D$4+H578*[1]Sheet1!$J$4+I578*[1]Sheet1!$K$4+[1]Sheet1!$L$4,IF(AND(OR(D578="T. domingensis",D578="T. latifolia"),J578&gt;0),J578*[1]Sheet1!$G$5+K578*[1]Sheet1!$H$5+L578*[1]Sheet1!$I$5+[1]Sheet1!$L$5,0)))))))</f>
        <v>43.362865000000021</v>
      </c>
      <c r="P578">
        <f t="shared" si="25"/>
        <v>43.362865000000021</v>
      </c>
      <c r="S578">
        <f t="shared" si="26"/>
        <v>7.3061602437499982</v>
      </c>
    </row>
    <row r="579" spans="1:19">
      <c r="A579" s="7">
        <v>42503</v>
      </c>
      <c r="B579" s="6" t="s">
        <v>22</v>
      </c>
      <c r="C579" s="6">
        <v>32</v>
      </c>
      <c r="D579" s="6" t="s">
        <v>61</v>
      </c>
      <c r="F579" s="6">
        <v>1.2</v>
      </c>
      <c r="J579">
        <f>56+99+105+172+174</f>
        <v>606</v>
      </c>
      <c r="K579">
        <v>5</v>
      </c>
      <c r="L579">
        <v>174</v>
      </c>
      <c r="N579" t="str">
        <f t="shared" si="24"/>
        <v>NA</v>
      </c>
      <c r="O579">
        <f>IF(AND(OR(D579="S. acutus",D579="S. californicus",D579="S. tabernaemontani"),G579=0),E579*[1]Sheet1!$D$7+[1]Sheet1!$L$7,IF(AND(OR(D579="S. acutus",D579="S. tabernaemontani"),G579&gt;0),E579*[1]Sheet1!$D$8+N579*[1]Sheet1!$E$8,IF(AND(D579="S. californicus",G579&gt;0),E579*[1]Sheet1!$D$9+N579*[1]Sheet1!$E$9,IF(D579="S. maritimus",F579*[1]Sheet1!$C$10+E579*[1]Sheet1!$D$10+G579*[1]Sheet1!$F$10+[1]Sheet1!$L$10,IF(D579="S. americanus",F579*[1]Sheet1!$C$6+E579*[1]Sheet1!$D$6+[1]Sheet1!$L$6,IF(AND(OR(D579="T. domingensis",D579="T. latifolia"),E579&gt;0),F579*[1]Sheet1!$C$4+E579*[1]Sheet1!$D$4+H579*[1]Sheet1!$J$4+I579*[1]Sheet1!$K$4+[1]Sheet1!$L$4,IF(AND(OR(D579="T. domingensis",D579="T. latifolia"),J579&gt;0),J579*[1]Sheet1!$G$5+K579*[1]Sheet1!$H$5+L579*[1]Sheet1!$I$5+[1]Sheet1!$L$5,0)))))))</f>
        <v>2.3241190000000032</v>
      </c>
      <c r="P579">
        <f t="shared" si="25"/>
        <v>2.3241190000000032</v>
      </c>
      <c r="S579">
        <f t="shared" si="26"/>
        <v>1.1309723999999999</v>
      </c>
    </row>
    <row r="580" spans="1:19">
      <c r="A580" s="7">
        <v>42503</v>
      </c>
      <c r="B580" s="6" t="s">
        <v>22</v>
      </c>
      <c r="C580" s="6">
        <v>32</v>
      </c>
      <c r="D580" s="6" t="s">
        <v>61</v>
      </c>
      <c r="F580" s="6">
        <v>2.1</v>
      </c>
      <c r="J580">
        <f>109+126+153+190+198+200</f>
        <v>976</v>
      </c>
      <c r="K580">
        <v>6</v>
      </c>
      <c r="L580">
        <v>200</v>
      </c>
      <c r="N580" t="str">
        <f t="shared" ref="N580:N643" si="27">IF(OR(D580="S. acutus", D580="S. tabernaemontani", D580="S. californicus"),(1/3)*(3.14159)*((F580/2)^2)*E580,"NA")</f>
        <v>NA</v>
      </c>
      <c r="O580">
        <f>IF(AND(OR(D580="S. acutus",D580="S. californicus",D580="S. tabernaemontani"),G580=0),E580*[1]Sheet1!$D$7+[1]Sheet1!$L$7,IF(AND(OR(D580="S. acutus",D580="S. tabernaemontani"),G580&gt;0),E580*[1]Sheet1!$D$8+N580*[1]Sheet1!$E$8,IF(AND(D580="S. californicus",G580&gt;0),E580*[1]Sheet1!$D$9+N580*[1]Sheet1!$E$9,IF(D580="S. maritimus",F580*[1]Sheet1!$C$10+E580*[1]Sheet1!$D$10+G580*[1]Sheet1!$F$10+[1]Sheet1!$L$10,IF(D580="S. americanus",F580*[1]Sheet1!$C$6+E580*[1]Sheet1!$D$6+[1]Sheet1!$L$6,IF(AND(OR(D580="T. domingensis",D580="T. latifolia"),E580&gt;0),F580*[1]Sheet1!$C$4+E580*[1]Sheet1!$D$4+H580*[1]Sheet1!$J$4+I580*[1]Sheet1!$K$4+[1]Sheet1!$L$4,IF(AND(OR(D580="T. domingensis",D580="T. latifolia"),J580&gt;0),J580*[1]Sheet1!$G$5+K580*[1]Sheet1!$H$5+L580*[1]Sheet1!$I$5+[1]Sheet1!$L$5,0)))))))</f>
        <v>22.158746000000001</v>
      </c>
      <c r="P580">
        <f t="shared" ref="P580:P643" si="28">IF(O580&lt;0," ",O580)</f>
        <v>22.158746000000001</v>
      </c>
      <c r="S580">
        <f t="shared" ref="S580:S643" si="29">3.14159*((F580/2)^2)</f>
        <v>3.4636029750000001</v>
      </c>
    </row>
    <row r="581" spans="1:19">
      <c r="A581" s="7">
        <v>42503</v>
      </c>
      <c r="B581" s="6" t="s">
        <v>22</v>
      </c>
      <c r="C581" s="6">
        <v>32</v>
      </c>
      <c r="D581" s="6" t="s">
        <v>61</v>
      </c>
      <c r="F581" s="6">
        <v>1.95</v>
      </c>
      <c r="J581">
        <f>177+185+205</f>
        <v>567</v>
      </c>
      <c r="K581">
        <v>3</v>
      </c>
      <c r="L581">
        <v>205</v>
      </c>
      <c r="N581" t="str">
        <f t="shared" si="27"/>
        <v>NA</v>
      </c>
      <c r="O581">
        <f>IF(AND(OR(D581="S. acutus",D581="S. californicus",D581="S. tabernaemontani"),G581=0),E581*[1]Sheet1!$D$7+[1]Sheet1!$L$7,IF(AND(OR(D581="S. acutus",D581="S. tabernaemontani"),G581&gt;0),E581*[1]Sheet1!$D$8+N581*[1]Sheet1!$E$8,IF(AND(D581="S. californicus",G581&gt;0),E581*[1]Sheet1!$D$9+N581*[1]Sheet1!$E$9,IF(D581="S. maritimus",F581*[1]Sheet1!$C$10+E581*[1]Sheet1!$D$10+G581*[1]Sheet1!$F$10+[1]Sheet1!$L$10,IF(D581="S. americanus",F581*[1]Sheet1!$C$6+E581*[1]Sheet1!$D$6+[1]Sheet1!$L$6,IF(AND(OR(D581="T. domingensis",D581="T. latifolia"),E581&gt;0),F581*[1]Sheet1!$C$4+E581*[1]Sheet1!$D$4+H581*[1]Sheet1!$J$4+I581*[1]Sheet1!$K$4+[1]Sheet1!$L$4,IF(AND(OR(D581="T. domingensis",D581="T. latifolia"),J581&gt;0),J581*[1]Sheet1!$G$5+K581*[1]Sheet1!$H$5+L581*[1]Sheet1!$I$5+[1]Sheet1!$L$5,0)))))))</f>
        <v>3.3737850000000051</v>
      </c>
      <c r="P581">
        <f t="shared" si="28"/>
        <v>3.3737850000000051</v>
      </c>
      <c r="S581">
        <f t="shared" si="29"/>
        <v>2.9864739937499998</v>
      </c>
    </row>
    <row r="582" spans="1:19">
      <c r="A582" s="7">
        <v>42503</v>
      </c>
      <c r="B582" s="6" t="s">
        <v>22</v>
      </c>
      <c r="C582" s="6">
        <v>32</v>
      </c>
      <c r="D582" s="6" t="s">
        <v>61</v>
      </c>
      <c r="F582" s="6">
        <v>0.73</v>
      </c>
      <c r="J582">
        <f>64+88+118+151</f>
        <v>421</v>
      </c>
      <c r="K582">
        <v>4</v>
      </c>
      <c r="L582">
        <v>151</v>
      </c>
      <c r="N582" t="str">
        <f t="shared" si="27"/>
        <v>NA</v>
      </c>
      <c r="O582">
        <f>IF(AND(OR(D582="S. acutus",D582="S. californicus",D582="S. tabernaemontani"),G582=0),E582*[1]Sheet1!$D$7+[1]Sheet1!$L$7,IF(AND(OR(D582="S. acutus",D582="S. tabernaemontani"),G582&gt;0),E582*[1]Sheet1!$D$8+N582*[1]Sheet1!$E$8,IF(AND(D582="S. californicus",G582&gt;0),E582*[1]Sheet1!$D$9+N582*[1]Sheet1!$E$9,IF(D582="S. maritimus",F582*[1]Sheet1!$C$10+E582*[1]Sheet1!$D$10+G582*[1]Sheet1!$F$10+[1]Sheet1!$L$10,IF(D582="S. americanus",F582*[1]Sheet1!$C$6+E582*[1]Sheet1!$D$6+[1]Sheet1!$L$6,IF(AND(OR(D582="T. domingensis",D582="T. latifolia"),E582&gt;0),F582*[1]Sheet1!$C$4+E582*[1]Sheet1!$D$4+H582*[1]Sheet1!$J$4+I582*[1]Sheet1!$K$4+[1]Sheet1!$L$4,IF(AND(OR(D582="T. domingensis",D582="T. latifolia"),J582&gt;0),J582*[1]Sheet1!$G$5+K582*[1]Sheet1!$H$5+L582*[1]Sheet1!$I$5+[1]Sheet1!$L$5,0)))))))</f>
        <v>-1.0695679999999967</v>
      </c>
      <c r="P582" t="str">
        <f t="shared" si="28"/>
        <v xml:space="preserve"> </v>
      </c>
      <c r="S582">
        <f t="shared" si="29"/>
        <v>0.41853832774999994</v>
      </c>
    </row>
    <row r="583" spans="1:19">
      <c r="A583" s="7">
        <v>42503</v>
      </c>
      <c r="B583" s="6" t="s">
        <v>22</v>
      </c>
      <c r="C583" s="6">
        <v>32</v>
      </c>
      <c r="D583" s="6" t="s">
        <v>61</v>
      </c>
      <c r="F583" s="6">
        <v>0.95</v>
      </c>
      <c r="J583">
        <f>70+98+139+167+184</f>
        <v>658</v>
      </c>
      <c r="K583">
        <v>5</v>
      </c>
      <c r="L583">
        <v>184</v>
      </c>
      <c r="N583" t="str">
        <f t="shared" si="27"/>
        <v>NA</v>
      </c>
      <c r="O583">
        <f>IF(AND(OR(D583="S. acutus",D583="S. californicus",D583="S. tabernaemontani"),G583=0),E583*[1]Sheet1!$D$7+[1]Sheet1!$L$7,IF(AND(OR(D583="S. acutus",D583="S. tabernaemontani"),G583&gt;0),E583*[1]Sheet1!$D$8+N583*[1]Sheet1!$E$8,IF(AND(D583="S. californicus",G583&gt;0),E583*[1]Sheet1!$D$9+N583*[1]Sheet1!$E$9,IF(D583="S. maritimus",F583*[1]Sheet1!$C$10+E583*[1]Sheet1!$D$10+G583*[1]Sheet1!$F$10+[1]Sheet1!$L$10,IF(D583="S. americanus",F583*[1]Sheet1!$C$6+E583*[1]Sheet1!$D$6+[1]Sheet1!$L$6,IF(AND(OR(D583="T. domingensis",D583="T. latifolia"),E583&gt;0),F583*[1]Sheet1!$C$4+E583*[1]Sheet1!$D$4+H583*[1]Sheet1!$J$4+I583*[1]Sheet1!$K$4+[1]Sheet1!$L$4,IF(AND(OR(D583="T. domingensis",D583="T. latifolia"),J583&gt;0),J583*[1]Sheet1!$G$5+K583*[1]Sheet1!$H$5+L583*[1]Sheet1!$I$5+[1]Sheet1!$L$5,0)))))))</f>
        <v>4.1869289999999992</v>
      </c>
      <c r="P583">
        <f t="shared" si="28"/>
        <v>4.1869289999999992</v>
      </c>
      <c r="S583">
        <f t="shared" si="29"/>
        <v>0.70882124375</v>
      </c>
    </row>
    <row r="584" spans="1:19">
      <c r="A584" s="7">
        <v>42503</v>
      </c>
      <c r="B584" s="6" t="s">
        <v>22</v>
      </c>
      <c r="C584" s="6">
        <v>32</v>
      </c>
      <c r="D584" s="6" t="s">
        <v>61</v>
      </c>
      <c r="F584" s="6">
        <v>1.2</v>
      </c>
      <c r="J584">
        <f>108+159+173+189</f>
        <v>629</v>
      </c>
      <c r="K584">
        <v>4</v>
      </c>
      <c r="L584">
        <v>189</v>
      </c>
      <c r="N584" t="str">
        <f t="shared" si="27"/>
        <v>NA</v>
      </c>
      <c r="O584">
        <f>IF(AND(OR(D584="S. acutus",D584="S. californicus",D584="S. tabernaemontani"),G584=0),E584*[1]Sheet1!$D$7+[1]Sheet1!$L$7,IF(AND(OR(D584="S. acutus",D584="S. tabernaemontani"),G584&gt;0),E584*[1]Sheet1!$D$8+N584*[1]Sheet1!$E$8,IF(AND(D584="S. californicus",G584&gt;0),E584*[1]Sheet1!$D$9+N584*[1]Sheet1!$E$9,IF(D584="S. maritimus",F584*[1]Sheet1!$C$10+E584*[1]Sheet1!$D$10+G584*[1]Sheet1!$F$10+[1]Sheet1!$L$10,IF(D584="S. americanus",F584*[1]Sheet1!$C$6+E584*[1]Sheet1!$D$6+[1]Sheet1!$L$6,IF(AND(OR(D584="T. domingensis",D584="T. latifolia"),E584&gt;0),F584*[1]Sheet1!$C$4+E584*[1]Sheet1!$D$4+H584*[1]Sheet1!$J$4+I584*[1]Sheet1!$K$4+[1]Sheet1!$L$4,IF(AND(OR(D584="T. domingensis",D584="T. latifolia"),J584&gt;0),J584*[1]Sheet1!$G$5+K584*[1]Sheet1!$H$5+L584*[1]Sheet1!$I$5+[1]Sheet1!$L$5,0)))))))</f>
        <v>6.9841620000000013</v>
      </c>
      <c r="P584">
        <f t="shared" si="28"/>
        <v>6.9841620000000013</v>
      </c>
      <c r="S584">
        <f t="shared" si="29"/>
        <v>1.1309723999999999</v>
      </c>
    </row>
    <row r="585" spans="1:19">
      <c r="A585" s="7">
        <v>42503</v>
      </c>
      <c r="B585" s="6" t="s">
        <v>22</v>
      </c>
      <c r="C585" s="6">
        <v>32</v>
      </c>
      <c r="D585" s="6" t="s">
        <v>61</v>
      </c>
      <c r="F585" s="6">
        <v>1.61</v>
      </c>
      <c r="J585">
        <f>37+77+81+144+174+183+200</f>
        <v>896</v>
      </c>
      <c r="K585">
        <v>7</v>
      </c>
      <c r="L585">
        <v>200</v>
      </c>
      <c r="N585" t="str">
        <f t="shared" si="27"/>
        <v>NA</v>
      </c>
      <c r="O585">
        <f>IF(AND(OR(D585="S. acutus",D585="S. californicus",D585="S. tabernaemontani"),G585=0),E585*[1]Sheet1!$D$7+[1]Sheet1!$L$7,IF(AND(OR(D585="S. acutus",D585="S. tabernaemontani"),G585&gt;0),E585*[1]Sheet1!$D$8+N585*[1]Sheet1!$E$8,IF(AND(D585="S. californicus",G585&gt;0),E585*[1]Sheet1!$D$9+N585*[1]Sheet1!$E$9,IF(D585="S. maritimus",F585*[1]Sheet1!$C$10+E585*[1]Sheet1!$D$10+G585*[1]Sheet1!$F$10+[1]Sheet1!$L$10,IF(D585="S. americanus",F585*[1]Sheet1!$C$6+E585*[1]Sheet1!$D$6+[1]Sheet1!$L$6,IF(AND(OR(D585="T. domingensis",D585="T. latifolia"),E585&gt;0),F585*[1]Sheet1!$C$4+E585*[1]Sheet1!$D$4+H585*[1]Sheet1!$J$4+I585*[1]Sheet1!$K$4+[1]Sheet1!$L$4,IF(AND(OR(D585="T. domingensis",D585="T. latifolia"),J585&gt;0),J585*[1]Sheet1!$G$5+K585*[1]Sheet1!$H$5+L585*[1]Sheet1!$I$5+[1]Sheet1!$L$5,0)))))))</f>
        <v>7.6359930000000062</v>
      </c>
      <c r="P585">
        <f t="shared" si="28"/>
        <v>7.6359930000000062</v>
      </c>
      <c r="S585">
        <f t="shared" si="29"/>
        <v>2.0358288597500001</v>
      </c>
    </row>
    <row r="586" spans="1:19">
      <c r="A586" s="7">
        <v>42503</v>
      </c>
      <c r="B586" s="6" t="s">
        <v>22</v>
      </c>
      <c r="C586" s="6">
        <v>32</v>
      </c>
      <c r="D586" s="6" t="s">
        <v>61</v>
      </c>
      <c r="F586" s="6">
        <v>1.78</v>
      </c>
      <c r="J586">
        <f>71+109+125+174+175+207+212</f>
        <v>1073</v>
      </c>
      <c r="K586">
        <v>7</v>
      </c>
      <c r="L586">
        <v>212</v>
      </c>
      <c r="N586" t="str">
        <f t="shared" si="27"/>
        <v>NA</v>
      </c>
      <c r="O586">
        <f>IF(AND(OR(D586="S. acutus",D586="S. californicus",D586="S. tabernaemontani"),G586=0),E586*[1]Sheet1!$D$7+[1]Sheet1!$L$7,IF(AND(OR(D586="S. acutus",D586="S. tabernaemontani"),G586&gt;0),E586*[1]Sheet1!$D$8+N586*[1]Sheet1!$E$8,IF(AND(D586="S. californicus",G586&gt;0),E586*[1]Sheet1!$D$9+N586*[1]Sheet1!$E$9,IF(D586="S. maritimus",F586*[1]Sheet1!$C$10+E586*[1]Sheet1!$D$10+G586*[1]Sheet1!$F$10+[1]Sheet1!$L$10,IF(D586="S. americanus",F586*[1]Sheet1!$C$6+E586*[1]Sheet1!$D$6+[1]Sheet1!$L$6,IF(AND(OR(D586="T. domingensis",D586="T. latifolia"),E586&gt;0),F586*[1]Sheet1!$C$4+E586*[1]Sheet1!$D$4+H586*[1]Sheet1!$J$4+I586*[1]Sheet1!$K$4+[1]Sheet1!$L$4,IF(AND(OR(D586="T. domingensis",D586="T. latifolia"),J586&gt;0),J586*[1]Sheet1!$G$5+K586*[1]Sheet1!$H$5+L586*[1]Sheet1!$I$5+[1]Sheet1!$L$5,0)))))))</f>
        <v>20.615688000000013</v>
      </c>
      <c r="P586">
        <f t="shared" si="28"/>
        <v>20.615688000000013</v>
      </c>
      <c r="S586">
        <f t="shared" si="29"/>
        <v>2.4884534390000002</v>
      </c>
    </row>
    <row r="587" spans="1:19">
      <c r="A587" s="7">
        <v>42503</v>
      </c>
      <c r="B587" s="6" t="s">
        <v>22</v>
      </c>
      <c r="C587" s="6">
        <v>32</v>
      </c>
      <c r="D587" s="6" t="s">
        <v>61</v>
      </c>
      <c r="F587" s="6">
        <v>2.57</v>
      </c>
      <c r="J587">
        <f>140+146+192+207+207+232</f>
        <v>1124</v>
      </c>
      <c r="K587">
        <v>6</v>
      </c>
      <c r="L587">
        <v>232</v>
      </c>
      <c r="N587" t="str">
        <f t="shared" si="27"/>
        <v>NA</v>
      </c>
      <c r="O587">
        <f>IF(AND(OR(D587="S. acutus",D587="S. californicus",D587="S. tabernaemontani"),G587=0),E587*[1]Sheet1!$D$7+[1]Sheet1!$L$7,IF(AND(OR(D587="S. acutus",D587="S. tabernaemontani"),G587&gt;0),E587*[1]Sheet1!$D$8+N587*[1]Sheet1!$E$8,IF(AND(D587="S. californicus",G587&gt;0),E587*[1]Sheet1!$D$9+N587*[1]Sheet1!$E$9,IF(D587="S. maritimus",F587*[1]Sheet1!$C$10+E587*[1]Sheet1!$D$10+G587*[1]Sheet1!$F$10+[1]Sheet1!$L$10,IF(D587="S. americanus",F587*[1]Sheet1!$C$6+E587*[1]Sheet1!$D$6+[1]Sheet1!$L$6,IF(AND(OR(D587="T. domingensis",D587="T. latifolia"),E587&gt;0),F587*[1]Sheet1!$C$4+E587*[1]Sheet1!$D$4+H587*[1]Sheet1!$J$4+I587*[1]Sheet1!$K$4+[1]Sheet1!$L$4,IF(AND(OR(D587="T. domingensis",D587="T. latifolia"),J587&gt;0),J587*[1]Sheet1!$G$5+K587*[1]Sheet1!$H$5+L587*[1]Sheet1!$I$5+[1]Sheet1!$L$5,0)))))))</f>
        <v>26.394646000000002</v>
      </c>
      <c r="P587">
        <f t="shared" si="28"/>
        <v>26.394646000000002</v>
      </c>
      <c r="S587">
        <f t="shared" si="29"/>
        <v>5.1874719477499989</v>
      </c>
    </row>
    <row r="588" spans="1:19">
      <c r="A588" s="7">
        <v>42503</v>
      </c>
      <c r="B588" s="6" t="s">
        <v>22</v>
      </c>
      <c r="C588" s="6">
        <v>32</v>
      </c>
      <c r="D588" s="6" t="s">
        <v>61</v>
      </c>
      <c r="F588" s="6">
        <v>2.6</v>
      </c>
      <c r="J588">
        <f>89+91+144+174+183+200</f>
        <v>881</v>
      </c>
      <c r="K588">
        <v>6</v>
      </c>
      <c r="L588">
        <v>200</v>
      </c>
      <c r="N588" t="str">
        <f t="shared" si="27"/>
        <v>NA</v>
      </c>
      <c r="O588">
        <f>IF(AND(OR(D588="S. acutus",D588="S. californicus",D588="S. tabernaemontani"),G588=0),E588*[1]Sheet1!$D$7+[1]Sheet1!$L$7,IF(AND(OR(D588="S. acutus",D588="S. tabernaemontani"),G588&gt;0),E588*[1]Sheet1!$D$8+N588*[1]Sheet1!$E$8,IF(AND(D588="S. californicus",G588&gt;0),E588*[1]Sheet1!$D$9+N588*[1]Sheet1!$E$9,IF(D588="S. maritimus",F588*[1]Sheet1!$C$10+E588*[1]Sheet1!$D$10+G588*[1]Sheet1!$F$10+[1]Sheet1!$L$10,IF(D588="S. americanus",F588*[1]Sheet1!$C$6+E588*[1]Sheet1!$D$6+[1]Sheet1!$L$6,IF(AND(OR(D588="T. domingensis",D588="T. latifolia"),E588&gt;0),F588*[1]Sheet1!$C$4+E588*[1]Sheet1!$D$4+H588*[1]Sheet1!$J$4+I588*[1]Sheet1!$K$4+[1]Sheet1!$L$4,IF(AND(OR(D588="T. domingensis",D588="T. latifolia"),J588&gt;0),J588*[1]Sheet1!$G$5+K588*[1]Sheet1!$H$5+L588*[1]Sheet1!$I$5+[1]Sheet1!$L$5,0)))))))</f>
        <v>13.252021000000006</v>
      </c>
      <c r="P588">
        <f t="shared" si="28"/>
        <v>13.252021000000006</v>
      </c>
      <c r="S588">
        <f t="shared" si="29"/>
        <v>5.3092871000000006</v>
      </c>
    </row>
    <row r="589" spans="1:19">
      <c r="A589" s="7">
        <v>42503</v>
      </c>
      <c r="B589" s="6" t="s">
        <v>22</v>
      </c>
      <c r="C589" s="6">
        <v>22</v>
      </c>
      <c r="D589" s="6" t="s">
        <v>63</v>
      </c>
      <c r="E589">
        <v>164</v>
      </c>
      <c r="F589" s="6">
        <v>1.02</v>
      </c>
      <c r="N589">
        <f t="shared" si="27"/>
        <v>44.669639891999992</v>
      </c>
      <c r="O589">
        <f>IF(AND(OR(D589="S. acutus",D589="S. californicus",D589="S. tabernaemontani"),G589=0),E589*[1]Sheet1!$D$7+[1]Sheet1!$L$7,IF(AND(OR(D589="S. acutus",D589="S. tabernaemontani"),G589&gt;0),E589*[1]Sheet1!$D$8+N589*[1]Sheet1!$E$8,IF(AND(D589="S. californicus",G589&gt;0),E589*[1]Sheet1!$D$9+N589*[1]Sheet1!$E$9,IF(D589="S. maritimus",F589*[1]Sheet1!$C$10+E589*[1]Sheet1!$D$10+G589*[1]Sheet1!$F$10+[1]Sheet1!$L$10,IF(D589="S. americanus",F589*[1]Sheet1!$C$6+E589*[1]Sheet1!$D$6+[1]Sheet1!$L$6,IF(AND(OR(D589="T. domingensis",D589="T. latifolia"),E589&gt;0),F589*[1]Sheet1!$C$4+E589*[1]Sheet1!$D$4+H589*[1]Sheet1!$J$4+I589*[1]Sheet1!$K$4+[1]Sheet1!$L$4,IF(AND(OR(D589="T. domingensis",D589="T. latifolia"),J589&gt;0),J589*[1]Sheet1!$G$5+K589*[1]Sheet1!$H$5+L589*[1]Sheet1!$I$5+[1]Sheet1!$L$5,0)))))))</f>
        <v>6.9066230000000006</v>
      </c>
      <c r="P589">
        <f t="shared" si="28"/>
        <v>6.9066230000000006</v>
      </c>
      <c r="S589">
        <f t="shared" si="29"/>
        <v>0.817127559</v>
      </c>
    </row>
    <row r="590" spans="1:19">
      <c r="A590" s="7">
        <v>42503</v>
      </c>
      <c r="B590" s="6" t="s">
        <v>22</v>
      </c>
      <c r="C590" s="6">
        <v>22</v>
      </c>
      <c r="D590" s="6" t="s">
        <v>63</v>
      </c>
      <c r="E590">
        <v>195</v>
      </c>
      <c r="F590" s="6">
        <v>1.35</v>
      </c>
      <c r="G590" s="6">
        <v>1</v>
      </c>
      <c r="N590">
        <f t="shared" si="27"/>
        <v>93.040151343750011</v>
      </c>
      <c r="O590">
        <f>IF(AND(OR(D590="S. acutus",D590="S. californicus",D590="S. tabernaemontani"),G590=0),E590*[1]Sheet1!$D$7+[1]Sheet1!$L$7,IF(AND(OR(D590="S. acutus",D590="S. tabernaemontani"),G590&gt;0),E590*[1]Sheet1!$D$8+N590*[1]Sheet1!$E$8,IF(AND(D590="S. californicus",G590&gt;0),E590*[1]Sheet1!$D$9+N590*[1]Sheet1!$E$9,IF(D590="S. maritimus",F590*[1]Sheet1!$C$10+E590*[1]Sheet1!$D$10+G590*[1]Sheet1!$F$10+[1]Sheet1!$L$10,IF(D590="S. americanus",F590*[1]Sheet1!$C$6+E590*[1]Sheet1!$D$6+[1]Sheet1!$L$6,IF(AND(OR(D590="T. domingensis",D590="T. latifolia"),E590&gt;0),F590*[1]Sheet1!$C$4+E590*[1]Sheet1!$D$4+H590*[1]Sheet1!$J$4+I590*[1]Sheet1!$K$4+[1]Sheet1!$L$4,IF(AND(OR(D590="T. domingensis",D590="T. latifolia"),J590&gt;0),J590*[1]Sheet1!$G$5+K590*[1]Sheet1!$H$5+L590*[1]Sheet1!$I$5+[1]Sheet1!$L$5,0)))))))</f>
        <v>10.50486110940496</v>
      </c>
      <c r="P590">
        <f t="shared" si="28"/>
        <v>10.50486110940496</v>
      </c>
      <c r="S590">
        <f t="shared" si="29"/>
        <v>1.4313869437500002</v>
      </c>
    </row>
    <row r="591" spans="1:19">
      <c r="A591" s="7">
        <v>42503</v>
      </c>
      <c r="B591" s="6" t="s">
        <v>22</v>
      </c>
      <c r="C591" s="6">
        <v>22</v>
      </c>
      <c r="D591" s="6" t="s">
        <v>63</v>
      </c>
      <c r="E591">
        <v>225</v>
      </c>
      <c r="F591" s="6">
        <v>1.61</v>
      </c>
      <c r="G591" s="6">
        <v>2</v>
      </c>
      <c r="N591">
        <f t="shared" si="27"/>
        <v>152.68716448124999</v>
      </c>
      <c r="O591">
        <f>IF(AND(OR(D591="S. acutus",D591="S. californicus",D591="S. tabernaemontani"),G591=0),E591*[1]Sheet1!$D$7+[1]Sheet1!$L$7,IF(AND(OR(D591="S. acutus",D591="S. tabernaemontani"),G591&gt;0),E591*[1]Sheet1!$D$8+N591*[1]Sheet1!$E$8,IF(AND(D591="S. californicus",G591&gt;0),E591*[1]Sheet1!$D$9+N591*[1]Sheet1!$E$9,IF(D591="S. maritimus",F591*[1]Sheet1!$C$10+E591*[1]Sheet1!$D$10+G591*[1]Sheet1!$F$10+[1]Sheet1!$L$10,IF(D591="S. americanus",F591*[1]Sheet1!$C$6+E591*[1]Sheet1!$D$6+[1]Sheet1!$L$6,IF(AND(OR(D591="T. domingensis",D591="T. latifolia"),E591&gt;0),F591*[1]Sheet1!$C$4+E591*[1]Sheet1!$D$4+H591*[1]Sheet1!$J$4+I591*[1]Sheet1!$K$4+[1]Sheet1!$L$4,IF(AND(OR(D591="T. domingensis",D591="T. latifolia"),J591&gt;0),J591*[1]Sheet1!$G$5+K591*[1]Sheet1!$H$5+L591*[1]Sheet1!$I$5+[1]Sheet1!$L$5,0)))))))</f>
        <v>13.580761614744283</v>
      </c>
      <c r="P591">
        <f t="shared" si="28"/>
        <v>13.580761614744283</v>
      </c>
      <c r="S591">
        <f t="shared" si="29"/>
        <v>2.0358288597500001</v>
      </c>
    </row>
    <row r="592" spans="1:19">
      <c r="A592" s="7">
        <v>42503</v>
      </c>
      <c r="B592" s="6" t="s">
        <v>22</v>
      </c>
      <c r="C592" s="6">
        <v>22</v>
      </c>
      <c r="D592" s="6" t="s">
        <v>63</v>
      </c>
      <c r="E592">
        <v>153</v>
      </c>
      <c r="F592" s="6">
        <v>2</v>
      </c>
      <c r="G592" s="6">
        <v>3</v>
      </c>
      <c r="N592">
        <f t="shared" si="27"/>
        <v>160.22108999999998</v>
      </c>
      <c r="O592">
        <f>IF(AND(OR(D592="S. acutus",D592="S. californicus",D592="S. tabernaemontani"),G592=0),E592*[1]Sheet1!$D$7+[1]Sheet1!$L$7,IF(AND(OR(D592="S. acutus",D592="S. tabernaemontani"),G592&gt;0),E592*[1]Sheet1!$D$8+N592*[1]Sheet1!$E$8,IF(AND(D592="S. californicus",G592&gt;0),E592*[1]Sheet1!$D$9+N592*[1]Sheet1!$E$9,IF(D592="S. maritimus",F592*[1]Sheet1!$C$10+E592*[1]Sheet1!$D$10+G592*[1]Sheet1!$F$10+[1]Sheet1!$L$10,IF(D592="S. americanus",F592*[1]Sheet1!$C$6+E592*[1]Sheet1!$D$6+[1]Sheet1!$L$6,IF(AND(OR(D592="T. domingensis",D592="T. latifolia"),E592&gt;0),F592*[1]Sheet1!$C$4+E592*[1]Sheet1!$D$4+H592*[1]Sheet1!$J$4+I592*[1]Sheet1!$K$4+[1]Sheet1!$L$4,IF(AND(OR(D592="T. domingensis",D592="T. latifolia"),J592&gt;0),J592*[1]Sheet1!$G$5+K592*[1]Sheet1!$H$5+L592*[1]Sheet1!$I$5+[1]Sheet1!$L$5,0)))))))</f>
        <v>11.050849596980999</v>
      </c>
      <c r="P592">
        <f t="shared" si="28"/>
        <v>11.050849596980999</v>
      </c>
      <c r="S592">
        <f t="shared" si="29"/>
        <v>3.1415899999999999</v>
      </c>
    </row>
    <row r="593" spans="1:19">
      <c r="A593" s="7">
        <v>42503</v>
      </c>
      <c r="B593" s="6" t="s">
        <v>22</v>
      </c>
      <c r="C593" s="6">
        <v>22</v>
      </c>
      <c r="D593" s="6" t="s">
        <v>63</v>
      </c>
      <c r="E593">
        <v>219</v>
      </c>
      <c r="F593" s="6">
        <v>1.1100000000000001</v>
      </c>
      <c r="G593" s="6">
        <v>2</v>
      </c>
      <c r="N593">
        <f t="shared" si="27"/>
        <v>70.641242961749995</v>
      </c>
      <c r="O593">
        <f>IF(AND(OR(D593="S. acutus",D593="S. californicus",D593="S. tabernaemontani"),G593=0),E593*[1]Sheet1!$D$7+[1]Sheet1!$L$7,IF(AND(OR(D593="S. acutus",D593="S. tabernaemontani"),G593&gt;0),E593*[1]Sheet1!$D$8+N593*[1]Sheet1!$E$8,IF(AND(D593="S. californicus",G593&gt;0),E593*[1]Sheet1!$D$9+N593*[1]Sheet1!$E$9,IF(D593="S. maritimus",F593*[1]Sheet1!$C$10+E593*[1]Sheet1!$D$10+G593*[1]Sheet1!$F$10+[1]Sheet1!$L$10,IF(D593="S. americanus",F593*[1]Sheet1!$C$6+E593*[1]Sheet1!$D$6+[1]Sheet1!$L$6,IF(AND(OR(D593="T. domingensis",D593="T. latifolia"),E593&gt;0),F593*[1]Sheet1!$C$4+E593*[1]Sheet1!$D$4+H593*[1]Sheet1!$J$4+I593*[1]Sheet1!$K$4+[1]Sheet1!$L$4,IF(AND(OR(D593="T. domingensis",D593="T. latifolia"),J593&gt;0),J593*[1]Sheet1!$G$5+K593*[1]Sheet1!$H$5+L593*[1]Sheet1!$I$5+[1]Sheet1!$L$5,0)))))))</f>
        <v>10.707766500487015</v>
      </c>
      <c r="P593">
        <f t="shared" si="28"/>
        <v>10.707766500487015</v>
      </c>
      <c r="S593">
        <f t="shared" si="29"/>
        <v>0.96768825975000017</v>
      </c>
    </row>
    <row r="594" spans="1:19">
      <c r="A594" s="7">
        <v>42503</v>
      </c>
      <c r="B594" s="6" t="s">
        <v>22</v>
      </c>
      <c r="C594" s="6">
        <v>22</v>
      </c>
      <c r="D594" s="6" t="s">
        <v>63</v>
      </c>
      <c r="E594">
        <v>27</v>
      </c>
      <c r="F594" s="6">
        <v>0.54</v>
      </c>
      <c r="N594">
        <f t="shared" si="27"/>
        <v>2.061197199</v>
      </c>
      <c r="O594">
        <f>IF(AND(OR(D594="S. acutus",D594="S. californicus",D594="S. tabernaemontani"),G594=0),E594*[1]Sheet1!$D$7+[1]Sheet1!$L$7,IF(AND(OR(D594="S. acutus",D594="S. tabernaemontani"),G594&gt;0),E594*[1]Sheet1!$D$8+N594*[1]Sheet1!$E$8,IF(AND(D594="S. californicus",G594&gt;0),E594*[1]Sheet1!$D$9+N594*[1]Sheet1!$E$9,IF(D594="S. maritimus",F594*[1]Sheet1!$C$10+E594*[1]Sheet1!$D$10+G594*[1]Sheet1!$F$10+[1]Sheet1!$L$10,IF(D594="S. americanus",F594*[1]Sheet1!$C$6+E594*[1]Sheet1!$D$6+[1]Sheet1!$L$6,IF(AND(OR(D594="T. domingensis",D594="T. latifolia"),E594&gt;0),F594*[1]Sheet1!$C$4+E594*[1]Sheet1!$D$4+H594*[1]Sheet1!$J$4+I594*[1]Sheet1!$K$4+[1]Sheet1!$L$4,IF(AND(OR(D594="T. domingensis",D594="T. latifolia"),J594&gt;0),J594*[1]Sheet1!$G$5+K594*[1]Sheet1!$H$5+L594*[1]Sheet1!$I$5+[1]Sheet1!$L$5,0)))))))</f>
        <v>-2.697762</v>
      </c>
      <c r="P594" t="str">
        <f t="shared" si="28"/>
        <v xml:space="preserve"> </v>
      </c>
      <c r="S594">
        <f t="shared" si="29"/>
        <v>0.22902191100000002</v>
      </c>
    </row>
    <row r="595" spans="1:19">
      <c r="A595" s="7">
        <v>42503</v>
      </c>
      <c r="B595" s="6" t="s">
        <v>22</v>
      </c>
      <c r="C595" s="6">
        <v>22</v>
      </c>
      <c r="D595" s="6" t="s">
        <v>63</v>
      </c>
      <c r="E595">
        <v>215</v>
      </c>
      <c r="F595" s="6">
        <v>1.41</v>
      </c>
      <c r="G595" s="6">
        <v>2</v>
      </c>
      <c r="N595">
        <f t="shared" si="27"/>
        <v>111.90382849874997</v>
      </c>
      <c r="O595">
        <f>IF(AND(OR(D595="S. acutus",D595="S. californicus",D595="S. tabernaemontani"),G595=0),E595*[1]Sheet1!$D$7+[1]Sheet1!$L$7,IF(AND(OR(D595="S. acutus",D595="S. tabernaemontani"),G595&gt;0),E595*[1]Sheet1!$D$8+N595*[1]Sheet1!$E$8,IF(AND(D595="S. californicus",G595&gt;0),E595*[1]Sheet1!$D$9+N595*[1]Sheet1!$E$9,IF(D595="S. maritimus",F595*[1]Sheet1!$C$10+E595*[1]Sheet1!$D$10+G595*[1]Sheet1!$F$10+[1]Sheet1!$L$10,IF(D595="S. americanus",F595*[1]Sheet1!$C$6+E595*[1]Sheet1!$D$6+[1]Sheet1!$L$6,IF(AND(OR(D595="T. domingensis",D595="T. latifolia"),E595&gt;0),F595*[1]Sheet1!$C$4+E595*[1]Sheet1!$D$4+H595*[1]Sheet1!$J$4+I595*[1]Sheet1!$K$4+[1]Sheet1!$L$4,IF(AND(OR(D595="T. domingensis",D595="T. latifolia"),J595&gt;0),J595*[1]Sheet1!$G$5+K595*[1]Sheet1!$H$5+L595*[1]Sheet1!$I$5+[1]Sheet1!$L$5,0)))))))</f>
        <v>11.882430491105399</v>
      </c>
      <c r="P595">
        <f t="shared" si="28"/>
        <v>11.882430491105399</v>
      </c>
      <c r="S595">
        <f t="shared" si="29"/>
        <v>1.5614487697499997</v>
      </c>
    </row>
    <row r="596" spans="1:19">
      <c r="A596" s="7">
        <v>42503</v>
      </c>
      <c r="B596" s="6" t="s">
        <v>22</v>
      </c>
      <c r="C596" s="6">
        <v>22</v>
      </c>
      <c r="D596" s="6" t="s">
        <v>63</v>
      </c>
      <c r="E596">
        <v>216</v>
      </c>
      <c r="F596" s="6">
        <v>1.45</v>
      </c>
      <c r="G596" s="6">
        <v>2</v>
      </c>
      <c r="N596">
        <f t="shared" si="27"/>
        <v>118.89347355</v>
      </c>
      <c r="O596">
        <f>IF(AND(OR(D596="S. acutus",D596="S. californicus",D596="S. tabernaemontani"),G596=0),E596*[1]Sheet1!$D$7+[1]Sheet1!$L$7,IF(AND(OR(D596="S. acutus",D596="S. tabernaemontani"),G596&gt;0),E596*[1]Sheet1!$D$8+N596*[1]Sheet1!$E$8,IF(AND(D596="S. californicus",G596&gt;0),E596*[1]Sheet1!$D$9+N596*[1]Sheet1!$E$9,IF(D596="S. maritimus",F596*[1]Sheet1!$C$10+E596*[1]Sheet1!$D$10+G596*[1]Sheet1!$F$10+[1]Sheet1!$L$10,IF(D596="S. americanus",F596*[1]Sheet1!$C$6+E596*[1]Sheet1!$D$6+[1]Sheet1!$L$6,IF(AND(OR(D596="T. domingensis",D596="T. latifolia"),E596&gt;0),F596*[1]Sheet1!$C$4+E596*[1]Sheet1!$D$4+H596*[1]Sheet1!$J$4+I596*[1]Sheet1!$K$4+[1]Sheet1!$L$4,IF(AND(OR(D596="T. domingensis",D596="T. latifolia"),J596&gt;0),J596*[1]Sheet1!$G$5+K596*[1]Sheet1!$H$5+L596*[1]Sheet1!$I$5+[1]Sheet1!$L$5,0)))))))</f>
        <v>12.146010452436196</v>
      </c>
      <c r="P596">
        <f t="shared" si="28"/>
        <v>12.146010452436196</v>
      </c>
      <c r="S596">
        <f t="shared" si="29"/>
        <v>1.6512982437499999</v>
      </c>
    </row>
    <row r="597" spans="1:19">
      <c r="A597" s="7">
        <v>42503</v>
      </c>
      <c r="B597" s="6" t="s">
        <v>22</v>
      </c>
      <c r="C597" s="6">
        <v>22</v>
      </c>
      <c r="D597" s="6" t="s">
        <v>63</v>
      </c>
      <c r="E597">
        <v>186</v>
      </c>
      <c r="F597" s="6">
        <v>1.44</v>
      </c>
      <c r="N597">
        <f t="shared" si="27"/>
        <v>100.97321587199998</v>
      </c>
      <c r="O597">
        <f>IF(AND(OR(D597="S. acutus",D597="S. californicus",D597="S. tabernaemontani"),G597=0),E597*[1]Sheet1!$D$7+[1]Sheet1!$L$7,IF(AND(OR(D597="S. acutus",D597="S. tabernaemontani"),G597&gt;0),E597*[1]Sheet1!$D$8+N597*[1]Sheet1!$E$8,IF(AND(D597="S. californicus",G597&gt;0),E597*[1]Sheet1!$D$9+N597*[1]Sheet1!$E$9,IF(D597="S. maritimus",F597*[1]Sheet1!$C$10+E597*[1]Sheet1!$D$10+G597*[1]Sheet1!$F$10+[1]Sheet1!$L$10,IF(D597="S. americanus",F597*[1]Sheet1!$C$6+E597*[1]Sheet1!$D$6+[1]Sheet1!$L$6,IF(AND(OR(D597="T. domingensis",D597="T. latifolia"),E597&gt;0),F597*[1]Sheet1!$C$4+E597*[1]Sheet1!$D$4+H597*[1]Sheet1!$J$4+I597*[1]Sheet1!$K$4+[1]Sheet1!$L$4,IF(AND(OR(D597="T. domingensis",D597="T. latifolia"),J597&gt;0),J597*[1]Sheet1!$G$5+K597*[1]Sheet1!$H$5+L597*[1]Sheet1!$I$5+[1]Sheet1!$L$5,0)))))))</f>
        <v>8.4489330000000002</v>
      </c>
      <c r="P597">
        <f t="shared" si="28"/>
        <v>8.4489330000000002</v>
      </c>
      <c r="S597">
        <f t="shared" si="29"/>
        <v>1.6286002559999999</v>
      </c>
    </row>
    <row r="598" spans="1:19">
      <c r="A598" s="7">
        <v>42503</v>
      </c>
      <c r="B598" s="6" t="s">
        <v>22</v>
      </c>
      <c r="C598" s="6">
        <v>22</v>
      </c>
      <c r="D598" s="6" t="s">
        <v>63</v>
      </c>
      <c r="E598">
        <v>197</v>
      </c>
      <c r="F598" s="6">
        <v>1.27</v>
      </c>
      <c r="G598" s="6">
        <v>2</v>
      </c>
      <c r="J598" s="6"/>
      <c r="N598">
        <f t="shared" si="27"/>
        <v>83.18440755558332</v>
      </c>
      <c r="O598">
        <f>IF(AND(OR(D598="S. acutus",D598="S. californicus",D598="S. tabernaemontani"),G598=0),E598*[1]Sheet1!$D$7+[1]Sheet1!$L$7,IF(AND(OR(D598="S. acutus",D598="S. tabernaemontani"),G598&gt;0),E598*[1]Sheet1!$D$8+N598*[1]Sheet1!$E$8,IF(AND(D598="S. californicus",G598&gt;0),E598*[1]Sheet1!$D$9+N598*[1]Sheet1!$E$9,IF(D598="S. maritimus",F598*[1]Sheet1!$C$10+E598*[1]Sheet1!$D$10+G598*[1]Sheet1!$F$10+[1]Sheet1!$L$10,IF(D598="S. americanus",F598*[1]Sheet1!$C$6+E598*[1]Sheet1!$D$6+[1]Sheet1!$L$6,IF(AND(OR(D598="T. domingensis",D598="T. latifolia"),E598&gt;0),F598*[1]Sheet1!$C$4+E598*[1]Sheet1!$D$4+H598*[1]Sheet1!$J$4+I598*[1]Sheet1!$K$4+[1]Sheet1!$L$4,IF(AND(OR(D598="T. domingensis",D598="T. latifolia"),J598&gt;0),J598*[1]Sheet1!$G$5+K598*[1]Sheet1!$H$5+L598*[1]Sheet1!$I$5+[1]Sheet1!$L$5,0)))))))</f>
        <v>10.264511489256583</v>
      </c>
      <c r="P598">
        <f t="shared" si="28"/>
        <v>10.264511489256583</v>
      </c>
      <c r="S598">
        <f t="shared" si="29"/>
        <v>1.26676762775</v>
      </c>
    </row>
    <row r="599" spans="1:19">
      <c r="A599" s="7">
        <v>42503</v>
      </c>
      <c r="B599" s="6" t="s">
        <v>22</v>
      </c>
      <c r="C599" s="6">
        <v>22</v>
      </c>
      <c r="D599" s="6" t="s">
        <v>63</v>
      </c>
      <c r="E599">
        <v>186</v>
      </c>
      <c r="F599" s="6">
        <v>1.29</v>
      </c>
      <c r="G599" s="6">
        <v>3</v>
      </c>
      <c r="N599">
        <f t="shared" si="27"/>
        <v>81.032758744500001</v>
      </c>
      <c r="O599">
        <f>IF(AND(OR(D599="S. acutus",D599="S. californicus",D599="S. tabernaemontani"),G599=0),E599*[1]Sheet1!$D$7+[1]Sheet1!$L$7,IF(AND(OR(D599="S. acutus",D599="S. tabernaemontani"),G599&gt;0),E599*[1]Sheet1!$D$8+N599*[1]Sheet1!$E$8,IF(AND(D599="S. californicus",G599&gt;0),E599*[1]Sheet1!$D$9+N599*[1]Sheet1!$E$9,IF(D599="S. maritimus",F599*[1]Sheet1!$C$10+E599*[1]Sheet1!$D$10+G599*[1]Sheet1!$F$10+[1]Sheet1!$L$10,IF(D599="S. americanus",F599*[1]Sheet1!$C$6+E599*[1]Sheet1!$D$6+[1]Sheet1!$L$6,IF(AND(OR(D599="T. domingensis",D599="T. latifolia"),E599&gt;0),F599*[1]Sheet1!$C$4+E599*[1]Sheet1!$D$4+H599*[1]Sheet1!$J$4+I599*[1]Sheet1!$K$4+[1]Sheet1!$L$4,IF(AND(OR(D599="T. domingensis",D599="T. latifolia"),J599&gt;0),J599*[1]Sheet1!$G$5+K599*[1]Sheet1!$H$5+L599*[1]Sheet1!$I$5+[1]Sheet1!$L$5,0)))))))</f>
        <v>9.7716483610557709</v>
      </c>
      <c r="P599">
        <f t="shared" si="28"/>
        <v>9.7716483610557709</v>
      </c>
      <c r="S599">
        <f t="shared" si="29"/>
        <v>1.3069799797500001</v>
      </c>
    </row>
    <row r="600" spans="1:19">
      <c r="A600" s="7">
        <v>42503</v>
      </c>
      <c r="B600" s="6" t="s">
        <v>22</v>
      </c>
      <c r="C600" s="6">
        <v>22</v>
      </c>
      <c r="D600" s="6" t="s">
        <v>63</v>
      </c>
      <c r="E600">
        <v>224</v>
      </c>
      <c r="F600" s="6">
        <v>1.34</v>
      </c>
      <c r="G600" s="6">
        <v>3</v>
      </c>
      <c r="N600">
        <f t="shared" si="27"/>
        <v>105.29939474133333</v>
      </c>
      <c r="O600">
        <f>IF(AND(OR(D600="S. acutus",D600="S. californicus",D600="S. tabernaemontani"),G600=0),E600*[1]Sheet1!$D$7+[1]Sheet1!$L$7,IF(AND(OR(D600="S. acutus",D600="S. tabernaemontani"),G600&gt;0),E600*[1]Sheet1!$D$8+N600*[1]Sheet1!$E$8,IF(AND(D600="S. californicus",G600&gt;0),E600*[1]Sheet1!$D$9+N600*[1]Sheet1!$E$9,IF(D600="S. maritimus",F600*[1]Sheet1!$C$10+E600*[1]Sheet1!$D$10+G600*[1]Sheet1!$F$10+[1]Sheet1!$L$10,IF(D600="S. americanus",F600*[1]Sheet1!$C$6+E600*[1]Sheet1!$D$6+[1]Sheet1!$L$6,IF(AND(OR(D600="T. domingensis",D600="T. latifolia"),E600&gt;0),F600*[1]Sheet1!$C$4+E600*[1]Sheet1!$D$4+H600*[1]Sheet1!$J$4+I600*[1]Sheet1!$K$4+[1]Sheet1!$L$4,IF(AND(OR(D600="T. domingensis",D600="T. latifolia"),J600&gt;0),J600*[1]Sheet1!$G$5+K600*[1]Sheet1!$H$5+L600*[1]Sheet1!$I$5+[1]Sheet1!$L$5,0)))))))</f>
        <v>12.016325680126201</v>
      </c>
      <c r="P600">
        <f t="shared" si="28"/>
        <v>12.016325680126201</v>
      </c>
      <c r="S600">
        <f t="shared" si="29"/>
        <v>1.4102597510000001</v>
      </c>
    </row>
    <row r="601" spans="1:19">
      <c r="A601" s="7">
        <v>42503</v>
      </c>
      <c r="B601" s="6" t="s">
        <v>22</v>
      </c>
      <c r="C601" s="6">
        <v>22</v>
      </c>
      <c r="D601" s="6" t="s">
        <v>63</v>
      </c>
      <c r="E601">
        <v>210</v>
      </c>
      <c r="F601" s="6">
        <v>1.35</v>
      </c>
      <c r="G601" s="6">
        <v>2</v>
      </c>
      <c r="N601">
        <f t="shared" si="27"/>
        <v>100.19708606250001</v>
      </c>
      <c r="O601">
        <f>IF(AND(OR(D601="S. acutus",D601="S. californicus",D601="S. tabernaemontani"),G601=0),E601*[1]Sheet1!$D$7+[1]Sheet1!$L$7,IF(AND(OR(D601="S. acutus",D601="S. tabernaemontani"),G601&gt;0),E601*[1]Sheet1!$D$8+N601*[1]Sheet1!$E$8,IF(AND(D601="S. californicus",G601&gt;0),E601*[1]Sheet1!$D$9+N601*[1]Sheet1!$E$9,IF(D601="S. maritimus",F601*[1]Sheet1!$C$10+E601*[1]Sheet1!$D$10+G601*[1]Sheet1!$F$10+[1]Sheet1!$L$10,IF(D601="S. americanus",F601*[1]Sheet1!$C$6+E601*[1]Sheet1!$D$6+[1]Sheet1!$L$6,IF(AND(OR(D601="T. domingensis",D601="T. latifolia"),E601&gt;0),F601*[1]Sheet1!$C$4+E601*[1]Sheet1!$D$4+H601*[1]Sheet1!$J$4+I601*[1]Sheet1!$K$4+[1]Sheet1!$L$4,IF(AND(OR(D601="T. domingensis",D601="T. latifolia"),J601&gt;0),J601*[1]Sheet1!$G$5+K601*[1]Sheet1!$H$5+L601*[1]Sheet1!$I$5+[1]Sheet1!$L$5,0)))))))</f>
        <v>11.312927348589957</v>
      </c>
      <c r="P601">
        <f t="shared" si="28"/>
        <v>11.312927348589957</v>
      </c>
      <c r="S601">
        <f t="shared" si="29"/>
        <v>1.4313869437500002</v>
      </c>
    </row>
    <row r="602" spans="1:19">
      <c r="A602" s="7">
        <v>42503</v>
      </c>
      <c r="B602" s="6" t="s">
        <v>22</v>
      </c>
      <c r="C602" s="6">
        <v>22</v>
      </c>
      <c r="D602" s="6" t="s">
        <v>63</v>
      </c>
      <c r="E602">
        <v>130</v>
      </c>
      <c r="F602" s="6">
        <v>1.1000000000000001</v>
      </c>
      <c r="N602">
        <f t="shared" si="27"/>
        <v>41.18100891666667</v>
      </c>
      <c r="O602">
        <f>IF(AND(OR(D602="S. acutus",D602="S. californicus",D602="S. tabernaemontani"),G602=0),E602*[1]Sheet1!$D$7+[1]Sheet1!$L$7,IF(AND(OR(D602="S. acutus",D602="S. tabernaemontani"),G602&gt;0),E602*[1]Sheet1!$D$8+N602*[1]Sheet1!$E$8,IF(AND(D602="S. californicus",G602&gt;0),E602*[1]Sheet1!$D$9+N602*[1]Sheet1!$E$9,IF(D602="S. maritimus",F602*[1]Sheet1!$C$10+E602*[1]Sheet1!$D$10+G602*[1]Sheet1!$F$10+[1]Sheet1!$L$10,IF(D602="S. americanus",F602*[1]Sheet1!$C$6+E602*[1]Sheet1!$D$6+[1]Sheet1!$L$6,IF(AND(OR(D602="T. domingensis",D602="T. latifolia"),E602&gt;0),F602*[1]Sheet1!$C$4+E602*[1]Sheet1!$D$4+H602*[1]Sheet1!$J$4+I602*[1]Sheet1!$K$4+[1]Sheet1!$L$4,IF(AND(OR(D602="T. domingensis",D602="T. latifolia"),J602&gt;0),J602*[1]Sheet1!$G$5+K602*[1]Sheet1!$H$5+L602*[1]Sheet1!$I$5+[1]Sheet1!$L$5,0)))))))</f>
        <v>4.523053</v>
      </c>
      <c r="P602">
        <f t="shared" si="28"/>
        <v>4.523053</v>
      </c>
      <c r="S602">
        <f t="shared" si="29"/>
        <v>0.95033097500000008</v>
      </c>
    </row>
    <row r="603" spans="1:19">
      <c r="A603" s="7">
        <v>42503</v>
      </c>
      <c r="B603" s="6" t="s">
        <v>22</v>
      </c>
      <c r="C603" s="6">
        <v>22</v>
      </c>
      <c r="D603" s="6" t="s">
        <v>63</v>
      </c>
      <c r="E603">
        <v>215</v>
      </c>
      <c r="F603" s="6">
        <v>1.57</v>
      </c>
      <c r="G603" s="6">
        <v>3</v>
      </c>
      <c r="N603">
        <f t="shared" si="27"/>
        <v>138.74138467208331</v>
      </c>
      <c r="O603">
        <f>IF(AND(OR(D603="S. acutus",D603="S. californicus",D603="S. tabernaemontani"),G603=0),E603*[1]Sheet1!$D$7+[1]Sheet1!$L$7,IF(AND(OR(D603="S. acutus",D603="S. tabernaemontani"),G603&gt;0),E603*[1]Sheet1!$D$8+N603*[1]Sheet1!$E$8,IF(AND(D603="S. californicus",G603&gt;0),E603*[1]Sheet1!$D$9+N603*[1]Sheet1!$E$9,IF(D603="S. maritimus",F603*[1]Sheet1!$C$10+E603*[1]Sheet1!$D$10+G603*[1]Sheet1!$F$10+[1]Sheet1!$L$10,IF(D603="S. americanus",F603*[1]Sheet1!$C$6+E603*[1]Sheet1!$D$6+[1]Sheet1!$L$6,IF(AND(OR(D603="T. domingensis",D603="T. latifolia"),E603&gt;0),F603*[1]Sheet1!$C$4+E603*[1]Sheet1!$D$4+H603*[1]Sheet1!$J$4+I603*[1]Sheet1!$K$4+[1]Sheet1!$L$4,IF(AND(OR(D603="T. domingensis",D603="T. latifolia"),J603&gt;0),J603*[1]Sheet1!$G$5+K603*[1]Sheet1!$H$5+L603*[1]Sheet1!$I$5+[1]Sheet1!$L$5,0)))))))</f>
        <v>12.746623953687287</v>
      </c>
      <c r="P603">
        <f t="shared" si="28"/>
        <v>12.746623953687287</v>
      </c>
      <c r="S603">
        <f t="shared" si="29"/>
        <v>1.93592629775</v>
      </c>
    </row>
    <row r="604" spans="1:19">
      <c r="A604" s="7">
        <v>42503</v>
      </c>
      <c r="B604" s="6" t="s">
        <v>22</v>
      </c>
      <c r="C604" s="6">
        <v>22</v>
      </c>
      <c r="D604" s="6" t="s">
        <v>63</v>
      </c>
      <c r="E604">
        <v>242</v>
      </c>
      <c r="F604" s="6">
        <v>1.3</v>
      </c>
      <c r="G604" s="6">
        <v>2</v>
      </c>
      <c r="N604">
        <f t="shared" si="27"/>
        <v>107.07062318333332</v>
      </c>
      <c r="O604">
        <f>IF(AND(OR(D604="S. acutus",D604="S. californicus",D604="S. tabernaemontani"),G604=0),E604*[1]Sheet1!$D$7+[1]Sheet1!$L$7,IF(AND(OR(D604="S. acutus",D604="S. tabernaemontani"),G604&gt;0),E604*[1]Sheet1!$D$8+N604*[1]Sheet1!$E$8,IF(AND(D604="S. californicus",G604&gt;0),E604*[1]Sheet1!$D$9+N604*[1]Sheet1!$E$9,IF(D604="S. maritimus",F604*[1]Sheet1!$C$10+E604*[1]Sheet1!$D$10+G604*[1]Sheet1!$F$10+[1]Sheet1!$L$10,IF(D604="S. americanus",F604*[1]Sheet1!$C$6+E604*[1]Sheet1!$D$6+[1]Sheet1!$L$6,IF(AND(OR(D604="T. domingensis",D604="T. latifolia"),E604&gt;0),F604*[1]Sheet1!$C$4+E604*[1]Sheet1!$D$4+H604*[1]Sheet1!$J$4+I604*[1]Sheet1!$K$4+[1]Sheet1!$L$4,IF(AND(OR(D604="T. domingensis",D604="T. latifolia"),J604&gt;0),J604*[1]Sheet1!$G$5+K604*[1]Sheet1!$H$5+L604*[1]Sheet1!$I$5+[1]Sheet1!$L$5,0)))))))</f>
        <v>12.766488630064199</v>
      </c>
      <c r="P604">
        <f t="shared" si="28"/>
        <v>12.766488630064199</v>
      </c>
      <c r="S604">
        <f t="shared" si="29"/>
        <v>1.3273217750000001</v>
      </c>
    </row>
    <row r="605" spans="1:19">
      <c r="A605" s="7">
        <v>42503</v>
      </c>
      <c r="B605" s="6" t="s">
        <v>22</v>
      </c>
      <c r="C605" s="6">
        <v>22</v>
      </c>
      <c r="D605" s="6" t="s">
        <v>63</v>
      </c>
      <c r="E605">
        <v>147</v>
      </c>
      <c r="F605" s="6">
        <v>1</v>
      </c>
      <c r="N605">
        <f t="shared" si="27"/>
        <v>38.484477499999997</v>
      </c>
      <c r="O605">
        <f>IF(AND(OR(D605="S. acutus",D605="S. californicus",D605="S. tabernaemontani"),G605=0),E605*[1]Sheet1!$D$7+[1]Sheet1!$L$7,IF(AND(OR(D605="S. acutus",D605="S. tabernaemontani"),G605&gt;0),E605*[1]Sheet1!$D$8+N605*[1]Sheet1!$E$8,IF(AND(D605="S. californicus",G605&gt;0),E605*[1]Sheet1!$D$9+N605*[1]Sheet1!$E$9,IF(D605="S. maritimus",F605*[1]Sheet1!$C$10+E605*[1]Sheet1!$D$10+G605*[1]Sheet1!$F$10+[1]Sheet1!$L$10,IF(D605="S. americanus",F605*[1]Sheet1!$C$6+E605*[1]Sheet1!$D$6+[1]Sheet1!$L$6,IF(AND(OR(D605="T. domingensis",D605="T. latifolia"),E605&gt;0),F605*[1]Sheet1!$C$4+E605*[1]Sheet1!$D$4+H605*[1]Sheet1!$J$4+I605*[1]Sheet1!$K$4+[1]Sheet1!$L$4,IF(AND(OR(D605="T. domingensis",D605="T. latifolia"),J605&gt;0),J605*[1]Sheet1!$G$5+K605*[1]Sheet1!$H$5+L605*[1]Sheet1!$I$5+[1]Sheet1!$L$5,0)))))))</f>
        <v>5.7148379999999994</v>
      </c>
      <c r="P605">
        <f t="shared" si="28"/>
        <v>5.7148379999999994</v>
      </c>
      <c r="S605">
        <f t="shared" si="29"/>
        <v>0.78539749999999997</v>
      </c>
    </row>
    <row r="606" spans="1:19">
      <c r="A606" s="7">
        <v>42503</v>
      </c>
      <c r="B606" s="6" t="s">
        <v>22</v>
      </c>
      <c r="C606" s="6">
        <v>22</v>
      </c>
      <c r="D606" s="6" t="s">
        <v>63</v>
      </c>
      <c r="E606">
        <v>111</v>
      </c>
      <c r="F606" s="6">
        <v>0.83</v>
      </c>
      <c r="G606" s="6">
        <v>3</v>
      </c>
      <c r="N606">
        <f t="shared" si="27"/>
        <v>20.019232496749996</v>
      </c>
      <c r="O606">
        <f>IF(AND(OR(D606="S. acutus",D606="S. californicus",D606="S. tabernaemontani"),G606=0),E606*[1]Sheet1!$D$7+[1]Sheet1!$L$7,IF(AND(OR(D606="S. acutus",D606="S. tabernaemontani"),G606&gt;0),E606*[1]Sheet1!$D$8+N606*[1]Sheet1!$E$8,IF(AND(D606="S. californicus",G606&gt;0),E606*[1]Sheet1!$D$9+N606*[1]Sheet1!$E$9,IF(D606="S. maritimus",F606*[1]Sheet1!$C$10+E606*[1]Sheet1!$D$10+G606*[1]Sheet1!$F$10+[1]Sheet1!$L$10,IF(D606="S. americanus",F606*[1]Sheet1!$C$6+E606*[1]Sheet1!$D$6+[1]Sheet1!$L$6,IF(AND(OR(D606="T. domingensis",D606="T. latifolia"),E606&gt;0),F606*[1]Sheet1!$C$4+E606*[1]Sheet1!$D$4+H606*[1]Sheet1!$J$4+I606*[1]Sheet1!$K$4+[1]Sheet1!$L$4,IF(AND(OR(D606="T. domingensis",D606="T. latifolia"),J606&gt;0),J606*[1]Sheet1!$G$5+K606*[1]Sheet1!$H$5+L606*[1]Sheet1!$I$5+[1]Sheet1!$L$5,0)))))))</f>
        <v>4.9189254037045975</v>
      </c>
      <c r="P606">
        <f t="shared" si="28"/>
        <v>4.9189254037045975</v>
      </c>
      <c r="S606">
        <f t="shared" si="29"/>
        <v>0.54106033774999995</v>
      </c>
    </row>
    <row r="607" spans="1:19">
      <c r="A607" s="7">
        <v>42503</v>
      </c>
      <c r="B607" s="6" t="s">
        <v>22</v>
      </c>
      <c r="C607" s="6">
        <v>22</v>
      </c>
      <c r="D607" s="6" t="s">
        <v>63</v>
      </c>
      <c r="E607">
        <v>207</v>
      </c>
      <c r="F607" s="6">
        <v>1.2</v>
      </c>
      <c r="N607">
        <f t="shared" si="27"/>
        <v>78.037095599999986</v>
      </c>
      <c r="O607">
        <f>IF(AND(OR(D607="S. acutus",D607="S. californicus",D607="S. tabernaemontani"),G607=0),E607*[1]Sheet1!$D$7+[1]Sheet1!$L$7,IF(AND(OR(D607="S. acutus",D607="S. tabernaemontani"),G607&gt;0),E607*[1]Sheet1!$D$8+N607*[1]Sheet1!$E$8,IF(AND(D607="S. californicus",G607&gt;0),E607*[1]Sheet1!$D$9+N607*[1]Sheet1!$E$9,IF(D607="S. maritimus",F607*[1]Sheet1!$C$10+E607*[1]Sheet1!$D$10+G607*[1]Sheet1!$F$10+[1]Sheet1!$L$10,IF(D607="S. americanus",F607*[1]Sheet1!$C$6+E607*[1]Sheet1!$D$6+[1]Sheet1!$L$6,IF(AND(OR(D607="T. domingensis",D607="T. latifolia"),E607&gt;0),F607*[1]Sheet1!$C$4+E607*[1]Sheet1!$D$4+H607*[1]Sheet1!$J$4+I607*[1]Sheet1!$K$4+[1]Sheet1!$L$4,IF(AND(OR(D607="T. domingensis",D607="T. latifolia"),J607&gt;0),J607*[1]Sheet1!$G$5+K607*[1]Sheet1!$H$5+L607*[1]Sheet1!$I$5+[1]Sheet1!$L$5,0)))))))</f>
        <v>9.9211379999999991</v>
      </c>
      <c r="P607">
        <f t="shared" si="28"/>
        <v>9.9211379999999991</v>
      </c>
      <c r="S607">
        <f t="shared" si="29"/>
        <v>1.1309723999999999</v>
      </c>
    </row>
    <row r="608" spans="1:19">
      <c r="A608" s="7">
        <v>42503</v>
      </c>
      <c r="B608" s="6" t="s">
        <v>22</v>
      </c>
      <c r="C608" s="6">
        <v>22</v>
      </c>
      <c r="D608" s="6" t="s">
        <v>63</v>
      </c>
      <c r="E608">
        <v>110</v>
      </c>
      <c r="F608" s="6">
        <v>0.8</v>
      </c>
      <c r="N608">
        <f t="shared" si="27"/>
        <v>18.430661333333333</v>
      </c>
      <c r="O608">
        <f>IF(AND(OR(D608="S. acutus",D608="S. californicus",D608="S. tabernaemontani"),G608=0),E608*[1]Sheet1!$D$7+[1]Sheet1!$L$7,IF(AND(OR(D608="S. acutus",D608="S. tabernaemontani"),G608&gt;0),E608*[1]Sheet1!$D$8+N608*[1]Sheet1!$E$8,IF(AND(D608="S. californicus",G608&gt;0),E608*[1]Sheet1!$D$9+N608*[1]Sheet1!$E$9,IF(D608="S. maritimus",F608*[1]Sheet1!$C$10+E608*[1]Sheet1!$D$10+G608*[1]Sheet1!$F$10+[1]Sheet1!$L$10,IF(D608="S. americanus",F608*[1]Sheet1!$C$6+E608*[1]Sheet1!$D$6+[1]Sheet1!$L$6,IF(AND(OR(D608="T. domingensis",D608="T. latifolia"),E608&gt;0),F608*[1]Sheet1!$C$4+E608*[1]Sheet1!$D$4+H608*[1]Sheet1!$J$4+I608*[1]Sheet1!$K$4+[1]Sheet1!$L$4,IF(AND(OR(D608="T. domingensis",D608="T. latifolia"),J608&gt;0),J608*[1]Sheet1!$G$5+K608*[1]Sheet1!$H$5+L608*[1]Sheet1!$I$5+[1]Sheet1!$L$5,0)))))))</f>
        <v>3.1209530000000001</v>
      </c>
      <c r="P608">
        <f t="shared" si="28"/>
        <v>3.1209530000000001</v>
      </c>
      <c r="S608">
        <f t="shared" si="29"/>
        <v>0.50265440000000006</v>
      </c>
    </row>
    <row r="609" spans="1:19">
      <c r="A609" s="7">
        <v>42503</v>
      </c>
      <c r="B609" s="6" t="s">
        <v>22</v>
      </c>
      <c r="C609" s="6">
        <v>22</v>
      </c>
      <c r="D609" s="6" t="s">
        <v>63</v>
      </c>
      <c r="E609">
        <v>222</v>
      </c>
      <c r="F609" s="6">
        <v>1.65</v>
      </c>
      <c r="N609">
        <f t="shared" si="27"/>
        <v>158.23010733749996</v>
      </c>
      <c r="O609">
        <f>IF(AND(OR(D609="S. acutus",D609="S. californicus",D609="S. tabernaemontani"),G609=0),E609*[1]Sheet1!$D$7+[1]Sheet1!$L$7,IF(AND(OR(D609="S. acutus",D609="S. tabernaemontani"),G609&gt;0),E609*[1]Sheet1!$D$8+N609*[1]Sheet1!$E$8,IF(AND(D609="S. californicus",G609&gt;0),E609*[1]Sheet1!$D$9+N609*[1]Sheet1!$E$9,IF(D609="S. maritimus",F609*[1]Sheet1!$C$10+E609*[1]Sheet1!$D$10+G609*[1]Sheet1!$F$10+[1]Sheet1!$L$10,IF(D609="S. americanus",F609*[1]Sheet1!$C$6+E609*[1]Sheet1!$D$6+[1]Sheet1!$L$6,IF(AND(OR(D609="T. domingensis",D609="T. latifolia"),E609&gt;0),F609*[1]Sheet1!$C$4+E609*[1]Sheet1!$D$4+H609*[1]Sheet1!$J$4+I609*[1]Sheet1!$K$4+[1]Sheet1!$L$4,IF(AND(OR(D609="T. domingensis",D609="T. latifolia"),J609&gt;0),J609*[1]Sheet1!$G$5+K609*[1]Sheet1!$H$5+L609*[1]Sheet1!$I$5+[1]Sheet1!$L$5,0)))))))</f>
        <v>10.972712999999999</v>
      </c>
      <c r="P609">
        <f t="shared" si="28"/>
        <v>10.972712999999999</v>
      </c>
      <c r="S609">
        <f t="shared" si="29"/>
        <v>2.1382446937499995</v>
      </c>
    </row>
    <row r="610" spans="1:19">
      <c r="A610" s="7">
        <v>42503</v>
      </c>
      <c r="B610" s="6" t="s">
        <v>22</v>
      </c>
      <c r="C610" s="6">
        <v>22</v>
      </c>
      <c r="D610" s="6" t="s">
        <v>63</v>
      </c>
      <c r="E610">
        <v>116</v>
      </c>
      <c r="F610" s="6">
        <v>0.86</v>
      </c>
      <c r="N610">
        <f t="shared" si="27"/>
        <v>22.460692985333328</v>
      </c>
      <c r="O610">
        <f>IF(AND(OR(D610="S. acutus",D610="S. californicus",D610="S. tabernaemontani"),G610=0),E610*[1]Sheet1!$D$7+[1]Sheet1!$L$7,IF(AND(OR(D610="S. acutus",D610="S. tabernaemontani"),G610&gt;0),E610*[1]Sheet1!$D$8+N610*[1]Sheet1!$E$8,IF(AND(D610="S. californicus",G610&gt;0),E610*[1]Sheet1!$D$9+N610*[1]Sheet1!$E$9,IF(D610="S. maritimus",F610*[1]Sheet1!$C$10+E610*[1]Sheet1!$D$10+G610*[1]Sheet1!$F$10+[1]Sheet1!$L$10,IF(D610="S. americanus",F610*[1]Sheet1!$C$6+E610*[1]Sheet1!$D$6+[1]Sheet1!$L$6,IF(AND(OR(D610="T. domingensis",D610="T. latifolia"),E610&gt;0),F610*[1]Sheet1!$C$4+E610*[1]Sheet1!$D$4+H610*[1]Sheet1!$J$4+I610*[1]Sheet1!$K$4+[1]Sheet1!$L$4,IF(AND(OR(D610="T. domingensis",D610="T. latifolia"),J610&gt;0),J610*[1]Sheet1!$G$5+K610*[1]Sheet1!$H$5+L610*[1]Sheet1!$I$5+[1]Sheet1!$L$5,0)))))))</f>
        <v>3.5415830000000001</v>
      </c>
      <c r="P610">
        <f t="shared" si="28"/>
        <v>3.5415830000000001</v>
      </c>
      <c r="S610">
        <f t="shared" si="29"/>
        <v>0.58087999099999987</v>
      </c>
    </row>
    <row r="611" spans="1:19">
      <c r="A611" s="7">
        <v>42503</v>
      </c>
      <c r="B611" s="6" t="s">
        <v>22</v>
      </c>
      <c r="C611" s="6">
        <v>22</v>
      </c>
      <c r="D611" s="6" t="s">
        <v>63</v>
      </c>
      <c r="E611">
        <v>214</v>
      </c>
      <c r="F611" s="6">
        <v>1.5</v>
      </c>
      <c r="G611" s="6">
        <v>3</v>
      </c>
      <c r="N611">
        <f t="shared" si="27"/>
        <v>126.05629874999998</v>
      </c>
      <c r="O611">
        <f>IF(AND(OR(D611="S. acutus",D611="S. californicus",D611="S. tabernaemontani"),G611=0),E611*[1]Sheet1!$D$7+[1]Sheet1!$L$7,IF(AND(OR(D611="S. acutus",D611="S. tabernaemontani"),G611&gt;0),E611*[1]Sheet1!$D$8+N611*[1]Sheet1!$E$8,IF(AND(D611="S. californicus",G611&gt;0),E611*[1]Sheet1!$D$9+N611*[1]Sheet1!$E$9,IF(D611="S. maritimus",F611*[1]Sheet1!$C$10+E611*[1]Sheet1!$D$10+G611*[1]Sheet1!$F$10+[1]Sheet1!$L$10,IF(D611="S. americanus",F611*[1]Sheet1!$C$6+E611*[1]Sheet1!$D$6+[1]Sheet1!$L$6,IF(AND(OR(D611="T. domingensis",D611="T. latifolia"),E611&gt;0),F611*[1]Sheet1!$C$4+E611*[1]Sheet1!$D$4+H611*[1]Sheet1!$J$4+I611*[1]Sheet1!$K$4+[1]Sheet1!$L$4,IF(AND(OR(D611="T. domingensis",D611="T. latifolia"),J611&gt;0),J611*[1]Sheet1!$G$5+K611*[1]Sheet1!$H$5+L611*[1]Sheet1!$I$5+[1]Sheet1!$L$5,0)))))))</f>
        <v>12.299645670418874</v>
      </c>
      <c r="P611">
        <f t="shared" si="28"/>
        <v>12.299645670418874</v>
      </c>
      <c r="S611">
        <f t="shared" si="29"/>
        <v>1.767144375</v>
      </c>
    </row>
    <row r="612" spans="1:19">
      <c r="A612" s="7">
        <v>42503</v>
      </c>
      <c r="B612" s="6" t="s">
        <v>22</v>
      </c>
      <c r="C612" s="6">
        <v>22</v>
      </c>
      <c r="D612" s="6" t="s">
        <v>63</v>
      </c>
      <c r="E612">
        <v>39</v>
      </c>
      <c r="F612" s="6">
        <v>0.7</v>
      </c>
      <c r="N612">
        <f t="shared" si="27"/>
        <v>5.0029820749999985</v>
      </c>
      <c r="O612">
        <f>IF(AND(OR(D612="S. acutus",D612="S. californicus",D612="S. tabernaemontani"),G612=0),E612*[1]Sheet1!$D$7+[1]Sheet1!$L$7,IF(AND(OR(D612="S. acutus",D612="S. tabernaemontani"),G612&gt;0),E612*[1]Sheet1!$D$8+N612*[1]Sheet1!$E$8,IF(AND(D612="S. californicus",G612&gt;0),E612*[1]Sheet1!$D$9+N612*[1]Sheet1!$E$9,IF(D612="S. maritimus",F612*[1]Sheet1!$C$10+E612*[1]Sheet1!$D$10+G612*[1]Sheet1!$F$10+[1]Sheet1!$L$10,IF(D612="S. americanus",F612*[1]Sheet1!$C$6+E612*[1]Sheet1!$D$6+[1]Sheet1!$L$6,IF(AND(OR(D612="T. domingensis",D612="T. latifolia"),E612&gt;0),F612*[1]Sheet1!$C$4+E612*[1]Sheet1!$D$4+H612*[1]Sheet1!$J$4+I612*[1]Sheet1!$K$4+[1]Sheet1!$L$4,IF(AND(OR(D612="T. domingensis",D612="T. latifolia"),J612&gt;0),J612*[1]Sheet1!$G$5+K612*[1]Sheet1!$H$5+L612*[1]Sheet1!$I$5+[1]Sheet1!$L$5,0)))))))</f>
        <v>-1.8565019999999999</v>
      </c>
      <c r="P612" t="str">
        <f t="shared" si="28"/>
        <v xml:space="preserve"> </v>
      </c>
      <c r="S612">
        <f t="shared" si="29"/>
        <v>0.38484477499999992</v>
      </c>
    </row>
    <row r="613" spans="1:19">
      <c r="A613" s="7">
        <v>42503</v>
      </c>
      <c r="B613" s="6" t="s">
        <v>22</v>
      </c>
      <c r="C613" s="6">
        <v>22</v>
      </c>
      <c r="D613" s="6" t="s">
        <v>63</v>
      </c>
      <c r="E613">
        <v>108</v>
      </c>
      <c r="F613" s="6">
        <v>1</v>
      </c>
      <c r="G613" s="6">
        <v>2</v>
      </c>
      <c r="N613">
        <f t="shared" si="27"/>
        <v>28.274309999999996</v>
      </c>
      <c r="O613">
        <f>IF(AND(OR(D613="S. acutus",D613="S. californicus",D613="S. tabernaemontani"),G613=0),E613*[1]Sheet1!$D$7+[1]Sheet1!$L$7,IF(AND(OR(D613="S. acutus",D613="S. tabernaemontani"),G613&gt;0),E613*[1]Sheet1!$D$8+N613*[1]Sheet1!$E$8,IF(AND(D613="S. californicus",G613&gt;0),E613*[1]Sheet1!$D$9+N613*[1]Sheet1!$E$9,IF(D613="S. maritimus",F613*[1]Sheet1!$C$10+E613*[1]Sheet1!$D$10+G613*[1]Sheet1!$F$10+[1]Sheet1!$L$10,IF(D613="S. americanus",F613*[1]Sheet1!$C$6+E613*[1]Sheet1!$D$6+[1]Sheet1!$L$6,IF(AND(OR(D613="T. domingensis",D613="T. latifolia"),E613&gt;0),F613*[1]Sheet1!$C$4+E613*[1]Sheet1!$D$4+H613*[1]Sheet1!$J$4+I613*[1]Sheet1!$K$4+[1]Sheet1!$L$4,IF(AND(OR(D613="T. domingensis",D613="T. latifolia"),J613&gt;0),J613*[1]Sheet1!$G$5+K613*[1]Sheet1!$H$5+L613*[1]Sheet1!$I$5+[1]Sheet1!$L$5,0)))))))</f>
        <v>5.069225028879</v>
      </c>
      <c r="P613">
        <f t="shared" si="28"/>
        <v>5.069225028879</v>
      </c>
      <c r="S613">
        <f t="shared" si="29"/>
        <v>0.78539749999999997</v>
      </c>
    </row>
    <row r="614" spans="1:19">
      <c r="A614" s="7">
        <v>42503</v>
      </c>
      <c r="B614" s="6" t="s">
        <v>22</v>
      </c>
      <c r="C614" s="6">
        <v>22</v>
      </c>
      <c r="D614" s="6" t="s">
        <v>63</v>
      </c>
      <c r="E614">
        <v>166</v>
      </c>
      <c r="F614" s="6">
        <v>1.1499999999999999</v>
      </c>
      <c r="G614" s="6">
        <v>3</v>
      </c>
      <c r="N614">
        <f t="shared" si="27"/>
        <v>57.474080054166649</v>
      </c>
      <c r="O614">
        <f>IF(AND(OR(D614="S. acutus",D614="S. californicus",D614="S. tabernaemontani"),G614=0),E614*[1]Sheet1!$D$7+[1]Sheet1!$L$7,IF(AND(OR(D614="S. acutus",D614="S. tabernaemontani"),G614&gt;0),E614*[1]Sheet1!$D$8+N614*[1]Sheet1!$E$8,IF(AND(D614="S. californicus",G614&gt;0),E614*[1]Sheet1!$D$9+N614*[1]Sheet1!$E$9,IF(D614="S. maritimus",F614*[1]Sheet1!$C$10+E614*[1]Sheet1!$D$10+G614*[1]Sheet1!$F$10+[1]Sheet1!$L$10,IF(D614="S. americanus",F614*[1]Sheet1!$C$6+E614*[1]Sheet1!$D$6+[1]Sheet1!$L$6,IF(AND(OR(D614="T. domingensis",D614="T. latifolia"),E614&gt;0),F614*[1]Sheet1!$C$4+E614*[1]Sheet1!$D$4+H614*[1]Sheet1!$J$4+I614*[1]Sheet1!$K$4+[1]Sheet1!$L$4,IF(AND(OR(D614="T. domingensis",D614="T. latifolia"),J614&gt;0),J614*[1]Sheet1!$G$5+K614*[1]Sheet1!$H$5+L614*[1]Sheet1!$I$5+[1]Sheet1!$L$5,0)))))))</f>
        <v>8.242895704416215</v>
      </c>
      <c r="P614">
        <f t="shared" si="28"/>
        <v>8.242895704416215</v>
      </c>
      <c r="S614">
        <f t="shared" si="29"/>
        <v>1.0386881937499999</v>
      </c>
    </row>
    <row r="615" spans="1:19">
      <c r="A615" s="7">
        <v>42503</v>
      </c>
      <c r="B615" s="6" t="s">
        <v>22</v>
      </c>
      <c r="C615" s="6">
        <v>22</v>
      </c>
      <c r="D615" s="6" t="s">
        <v>63</v>
      </c>
      <c r="E615">
        <v>227</v>
      </c>
      <c r="F615" s="6">
        <v>1.67</v>
      </c>
      <c r="N615">
        <f t="shared" si="27"/>
        <v>165.73989497308332</v>
      </c>
      <c r="O615">
        <f>IF(AND(OR(D615="S. acutus",D615="S. californicus",D615="S. tabernaemontani"),G615=0),E615*[1]Sheet1!$D$7+[1]Sheet1!$L$7,IF(AND(OR(D615="S. acutus",D615="S. tabernaemontani"),G615&gt;0),E615*[1]Sheet1!$D$8+N615*[1]Sheet1!$E$8,IF(AND(D615="S. californicus",G615&gt;0),E615*[1]Sheet1!$D$9+N615*[1]Sheet1!$E$9,IF(D615="S. maritimus",F615*[1]Sheet1!$C$10+E615*[1]Sheet1!$D$10+G615*[1]Sheet1!$F$10+[1]Sheet1!$L$10,IF(D615="S. americanus",F615*[1]Sheet1!$C$6+E615*[1]Sheet1!$D$6+[1]Sheet1!$L$6,IF(AND(OR(D615="T. domingensis",D615="T. latifolia"),E615&gt;0),F615*[1]Sheet1!$C$4+E615*[1]Sheet1!$D$4+H615*[1]Sheet1!$J$4+I615*[1]Sheet1!$K$4+[1]Sheet1!$L$4,IF(AND(OR(D615="T. domingensis",D615="T. latifolia"),J615&gt;0),J615*[1]Sheet1!$G$5+K615*[1]Sheet1!$H$5+L615*[1]Sheet1!$I$5+[1]Sheet1!$L$5,0)))))))</f>
        <v>11.323238</v>
      </c>
      <c r="P615">
        <f t="shared" si="28"/>
        <v>11.323238</v>
      </c>
      <c r="S615">
        <f t="shared" si="29"/>
        <v>2.1903950877499998</v>
      </c>
    </row>
    <row r="616" spans="1:19">
      <c r="A616" s="7">
        <v>42503</v>
      </c>
      <c r="B616" s="6" t="s">
        <v>22</v>
      </c>
      <c r="C616" s="6">
        <v>22</v>
      </c>
      <c r="D616" s="6" t="s">
        <v>63</v>
      </c>
      <c r="E616">
        <v>42</v>
      </c>
      <c r="F616" s="6">
        <v>0.67</v>
      </c>
      <c r="N616">
        <f t="shared" si="27"/>
        <v>4.9359091284999996</v>
      </c>
      <c r="O616">
        <f>IF(AND(OR(D616="S. acutus",D616="S. californicus",D616="S. tabernaemontani"),G616=0),E616*[1]Sheet1!$D$7+[1]Sheet1!$L$7,IF(AND(OR(D616="S. acutus",D616="S. tabernaemontani"),G616&gt;0),E616*[1]Sheet1!$D$8+N616*[1]Sheet1!$E$8,IF(AND(D616="S. californicus",G616&gt;0),E616*[1]Sheet1!$D$9+N616*[1]Sheet1!$E$9,IF(D616="S. maritimus",F616*[1]Sheet1!$C$10+E616*[1]Sheet1!$D$10+G616*[1]Sheet1!$F$10+[1]Sheet1!$L$10,IF(D616="S. americanus",F616*[1]Sheet1!$C$6+E616*[1]Sheet1!$D$6+[1]Sheet1!$L$6,IF(AND(OR(D616="T. domingensis",D616="T. latifolia"),E616&gt;0),F616*[1]Sheet1!$C$4+E616*[1]Sheet1!$D$4+H616*[1]Sheet1!$J$4+I616*[1]Sheet1!$K$4+[1]Sheet1!$L$4,IF(AND(OR(D616="T. domingensis",D616="T. latifolia"),J616&gt;0),J616*[1]Sheet1!$G$5+K616*[1]Sheet1!$H$5+L616*[1]Sheet1!$I$5+[1]Sheet1!$L$5,0)))))))</f>
        <v>-1.6461869999999998</v>
      </c>
      <c r="P616" t="str">
        <f t="shared" si="28"/>
        <v xml:space="preserve"> </v>
      </c>
      <c r="S616">
        <f t="shared" si="29"/>
        <v>0.35256493775000003</v>
      </c>
    </row>
    <row r="617" spans="1:19">
      <c r="A617" s="7">
        <v>42503</v>
      </c>
      <c r="B617" s="6" t="s">
        <v>22</v>
      </c>
      <c r="C617" s="6">
        <v>22</v>
      </c>
      <c r="D617" s="6" t="s">
        <v>63</v>
      </c>
      <c r="E617">
        <v>204</v>
      </c>
      <c r="F617" s="6">
        <v>1.38</v>
      </c>
      <c r="G617" s="6">
        <v>3</v>
      </c>
      <c r="N617">
        <f t="shared" si="27"/>
        <v>101.70834793199997</v>
      </c>
      <c r="O617">
        <f>IF(AND(OR(D617="S. acutus",D617="S. californicus",D617="S. tabernaemontani"),G617=0),E617*[1]Sheet1!$D$7+[1]Sheet1!$L$7,IF(AND(OR(D617="S. acutus",D617="S. tabernaemontani"),G617&gt;0),E617*[1]Sheet1!$D$8+N617*[1]Sheet1!$E$8,IF(AND(D617="S. californicus",G617&gt;0),E617*[1]Sheet1!$D$9+N617*[1]Sheet1!$E$9,IF(D617="S. maritimus",F617*[1]Sheet1!$C$10+E617*[1]Sheet1!$D$10+G617*[1]Sheet1!$F$10+[1]Sheet1!$L$10,IF(D617="S. americanus",F617*[1]Sheet1!$C$6+E617*[1]Sheet1!$D$6+[1]Sheet1!$L$6,IF(AND(OR(D617="T. domingensis",D617="T. latifolia"),E617&gt;0),F617*[1]Sheet1!$C$4+E617*[1]Sheet1!$D$4+H617*[1]Sheet1!$J$4+I617*[1]Sheet1!$K$4+[1]Sheet1!$L$4,IF(AND(OR(D617="T. domingensis",D617="T. latifolia"),J617&gt;0),J617*[1]Sheet1!$G$5+K617*[1]Sheet1!$H$5+L617*[1]Sheet1!$I$5+[1]Sheet1!$L$5,0)))))))</f>
        <v>11.130548740923537</v>
      </c>
      <c r="P617">
        <f t="shared" si="28"/>
        <v>11.130548740923537</v>
      </c>
      <c r="S617">
        <f t="shared" si="29"/>
        <v>1.4957109989999997</v>
      </c>
    </row>
    <row r="618" spans="1:19">
      <c r="A618" s="7">
        <v>42503</v>
      </c>
      <c r="B618" s="6" t="s">
        <v>22</v>
      </c>
      <c r="C618" s="6">
        <v>22</v>
      </c>
      <c r="D618" s="6" t="s">
        <v>63</v>
      </c>
      <c r="E618">
        <v>162</v>
      </c>
      <c r="F618" s="6">
        <v>1.1000000000000001</v>
      </c>
      <c r="G618" s="6">
        <v>2</v>
      </c>
      <c r="N618">
        <f t="shared" si="27"/>
        <v>51.317872649999998</v>
      </c>
      <c r="O618">
        <f>IF(AND(OR(D618="S. acutus",D618="S. californicus",D618="S. tabernaemontani"),G618=0),E618*[1]Sheet1!$D$7+[1]Sheet1!$L$7,IF(AND(OR(D618="S. acutus",D618="S. tabernaemontani"),G618&gt;0),E618*[1]Sheet1!$D$8+N618*[1]Sheet1!$E$8,IF(AND(D618="S. californicus",G618&gt;0),E618*[1]Sheet1!$D$9+N618*[1]Sheet1!$E$9,IF(D618="S. maritimus",F618*[1]Sheet1!$C$10+E618*[1]Sheet1!$D$10+G618*[1]Sheet1!$F$10+[1]Sheet1!$L$10,IF(D618="S. americanus",F618*[1]Sheet1!$C$6+E618*[1]Sheet1!$D$6+[1]Sheet1!$L$6,IF(AND(OR(D618="T. domingensis",D618="T. latifolia"),E618&gt;0),F618*[1]Sheet1!$C$4+E618*[1]Sheet1!$D$4+H618*[1]Sheet1!$J$4+I618*[1]Sheet1!$K$4+[1]Sheet1!$L$4,IF(AND(OR(D618="T. domingensis",D618="T. latifolia"),J618&gt;0),J618*[1]Sheet1!$G$5+K618*[1]Sheet1!$H$5+L618*[1]Sheet1!$I$5+[1]Sheet1!$L$5,0)))))))</f>
        <v>7.8906318854153854</v>
      </c>
      <c r="P618">
        <f t="shared" si="28"/>
        <v>7.8906318854153854</v>
      </c>
      <c r="S618">
        <f t="shared" si="29"/>
        <v>0.95033097500000008</v>
      </c>
    </row>
    <row r="619" spans="1:19">
      <c r="A619" s="7">
        <v>42503</v>
      </c>
      <c r="B619" s="6" t="s">
        <v>22</v>
      </c>
      <c r="C619" s="6">
        <v>22</v>
      </c>
      <c r="D619" s="6" t="s">
        <v>63</v>
      </c>
      <c r="E619">
        <v>173</v>
      </c>
      <c r="F619" s="6">
        <v>1.1499999999999999</v>
      </c>
      <c r="N619">
        <f t="shared" si="27"/>
        <v>59.897685839583318</v>
      </c>
      <c r="O619">
        <f>IF(AND(OR(D619="S. acutus",D619="S. californicus",D619="S. tabernaemontani"),G619=0),E619*[1]Sheet1!$D$7+[1]Sheet1!$L$7,IF(AND(OR(D619="S. acutus",D619="S. tabernaemontani"),G619&gt;0),E619*[1]Sheet1!$D$8+N619*[1]Sheet1!$E$8,IF(AND(D619="S. californicus",G619&gt;0),E619*[1]Sheet1!$D$9+N619*[1]Sheet1!$E$9,IF(D619="S. maritimus",F619*[1]Sheet1!$C$10+E619*[1]Sheet1!$D$10+G619*[1]Sheet1!$F$10+[1]Sheet1!$L$10,IF(D619="S. americanus",F619*[1]Sheet1!$C$6+E619*[1]Sheet1!$D$6+[1]Sheet1!$L$6,IF(AND(OR(D619="T. domingensis",D619="T. latifolia"),E619&gt;0),F619*[1]Sheet1!$C$4+E619*[1]Sheet1!$D$4+H619*[1]Sheet1!$J$4+I619*[1]Sheet1!$K$4+[1]Sheet1!$L$4,IF(AND(OR(D619="T. domingensis",D619="T. latifolia"),J619&gt;0),J619*[1]Sheet1!$G$5+K619*[1]Sheet1!$H$5+L619*[1]Sheet1!$I$5+[1]Sheet1!$L$5,0)))))))</f>
        <v>7.5375680000000012</v>
      </c>
      <c r="P619">
        <f t="shared" si="28"/>
        <v>7.5375680000000012</v>
      </c>
      <c r="S619">
        <f t="shared" si="29"/>
        <v>1.0386881937499999</v>
      </c>
    </row>
    <row r="620" spans="1:19">
      <c r="A620" s="7">
        <v>42503</v>
      </c>
      <c r="B620" s="6" t="s">
        <v>22</v>
      </c>
      <c r="C620" s="6">
        <v>22</v>
      </c>
      <c r="D620" s="6" t="s">
        <v>63</v>
      </c>
      <c r="E620">
        <v>210</v>
      </c>
      <c r="F620" s="6">
        <v>1.46</v>
      </c>
      <c r="N620">
        <f t="shared" si="27"/>
        <v>117.19073176999997</v>
      </c>
      <c r="O620">
        <f>IF(AND(OR(D620="S. acutus",D620="S. californicus",D620="S. tabernaemontani"),G620=0),E620*[1]Sheet1!$D$7+[1]Sheet1!$L$7,IF(AND(OR(D620="S. acutus",D620="S. tabernaemontani"),G620&gt;0),E620*[1]Sheet1!$D$8+N620*[1]Sheet1!$E$8,IF(AND(D620="S. californicus",G620&gt;0),E620*[1]Sheet1!$D$9+N620*[1]Sheet1!$E$9,IF(D620="S. maritimus",F620*[1]Sheet1!$C$10+E620*[1]Sheet1!$D$10+G620*[1]Sheet1!$F$10+[1]Sheet1!$L$10,IF(D620="S. americanus",F620*[1]Sheet1!$C$6+E620*[1]Sheet1!$D$6+[1]Sheet1!$L$6,IF(AND(OR(D620="T. domingensis",D620="T. latifolia"),E620&gt;0),F620*[1]Sheet1!$C$4+E620*[1]Sheet1!$D$4+H620*[1]Sheet1!$J$4+I620*[1]Sheet1!$K$4+[1]Sheet1!$L$4,IF(AND(OR(D620="T. domingensis",D620="T. latifolia"),J620&gt;0),J620*[1]Sheet1!$G$5+K620*[1]Sheet1!$H$5+L620*[1]Sheet1!$I$5+[1]Sheet1!$L$5,0)))))))</f>
        <v>10.131453</v>
      </c>
      <c r="P620">
        <f t="shared" si="28"/>
        <v>10.131453</v>
      </c>
      <c r="S620">
        <f t="shared" si="29"/>
        <v>1.6741533109999998</v>
      </c>
    </row>
    <row r="621" spans="1:19">
      <c r="A621" s="7">
        <v>42503</v>
      </c>
      <c r="B621" s="7" t="s">
        <v>22</v>
      </c>
      <c r="C621" s="6">
        <v>22</v>
      </c>
      <c r="D621" s="6" t="s">
        <v>63</v>
      </c>
      <c r="E621">
        <v>54</v>
      </c>
      <c r="F621" s="6">
        <v>0.64</v>
      </c>
      <c r="N621">
        <f t="shared" si="27"/>
        <v>5.7905786880000001</v>
      </c>
      <c r="O621">
        <f>IF(AND(OR(D621="S. acutus",D621="S. californicus",D621="S. tabernaemontani"),G621=0),E621*[1]Sheet1!$D$7+[1]Sheet1!$L$7,IF(AND(OR(D621="S. acutus",D621="S. tabernaemontani"),G621&gt;0),E621*[1]Sheet1!$D$8+N621*[1]Sheet1!$E$8,IF(AND(D621="S. californicus",G621&gt;0),E621*[1]Sheet1!$D$9+N621*[1]Sheet1!$E$9,IF(D621="S. maritimus",F621*[1]Sheet1!$C$10+E621*[1]Sheet1!$D$10+G621*[1]Sheet1!$F$10+[1]Sheet1!$L$10,IF(D621="S. americanus",F621*[1]Sheet1!$C$6+E621*[1]Sheet1!$D$6+[1]Sheet1!$L$6,IF(AND(OR(D621="T. domingensis",D621="T. latifolia"),E621&gt;0),F621*[1]Sheet1!$C$4+E621*[1]Sheet1!$D$4+H621*[1]Sheet1!$J$4+I621*[1]Sheet1!$K$4+[1]Sheet1!$L$4,IF(AND(OR(D621="T. domingensis",D621="T. latifolia"),J621&gt;0),J621*[1]Sheet1!$G$5+K621*[1]Sheet1!$H$5+L621*[1]Sheet1!$I$5+[1]Sheet1!$L$5,0)))))))</f>
        <v>-0.80492699999999973</v>
      </c>
      <c r="P621" t="str">
        <f t="shared" si="28"/>
        <v xml:space="preserve"> </v>
      </c>
      <c r="S621">
        <f t="shared" si="29"/>
        <v>0.321698816</v>
      </c>
    </row>
    <row r="622" spans="1:19">
      <c r="A622" s="7">
        <v>42503</v>
      </c>
      <c r="B622" s="6" t="s">
        <v>22</v>
      </c>
      <c r="C622" s="6">
        <v>22</v>
      </c>
      <c r="D622" s="6" t="s">
        <v>63</v>
      </c>
      <c r="E622">
        <v>215</v>
      </c>
      <c r="F622" s="6">
        <v>1.35</v>
      </c>
      <c r="G622" s="6">
        <v>3</v>
      </c>
      <c r="N622">
        <f t="shared" si="27"/>
        <v>102.58273096875</v>
      </c>
      <c r="O622">
        <f>IF(AND(OR(D622="S. acutus",D622="S. californicus",D622="S. tabernaemontani"),G622=0),E622*[1]Sheet1!$D$7+[1]Sheet1!$L$7,IF(AND(OR(D622="S. acutus",D622="S. tabernaemontani"),G622&gt;0),E622*[1]Sheet1!$D$8+N622*[1]Sheet1!$E$8,IF(AND(D622="S. californicus",G622&gt;0),E622*[1]Sheet1!$D$9+N622*[1]Sheet1!$E$9,IF(D622="S. maritimus",F622*[1]Sheet1!$C$10+E622*[1]Sheet1!$D$10+G622*[1]Sheet1!$F$10+[1]Sheet1!$L$10,IF(D622="S. americanus",F622*[1]Sheet1!$C$6+E622*[1]Sheet1!$D$6+[1]Sheet1!$L$6,IF(AND(OR(D622="T. domingensis",D622="T. latifolia"),E622&gt;0),F622*[1]Sheet1!$C$4+E622*[1]Sheet1!$D$4+H622*[1]Sheet1!$J$4+I622*[1]Sheet1!$K$4+[1]Sheet1!$L$4,IF(AND(OR(D622="T. domingensis",D622="T. latifolia"),J622&gt;0),J622*[1]Sheet1!$G$5+K622*[1]Sheet1!$H$5+L622*[1]Sheet1!$I$5+[1]Sheet1!$L$5,0)))))))</f>
        <v>11.582282761651623</v>
      </c>
      <c r="P622">
        <f t="shared" si="28"/>
        <v>11.582282761651623</v>
      </c>
      <c r="S622">
        <f t="shared" si="29"/>
        <v>1.4313869437500002</v>
      </c>
    </row>
    <row r="623" spans="1:19">
      <c r="A623" s="7">
        <v>42503</v>
      </c>
      <c r="B623" s="6" t="s">
        <v>22</v>
      </c>
      <c r="C623" s="6">
        <v>22</v>
      </c>
      <c r="D623" s="6" t="s">
        <v>63</v>
      </c>
      <c r="E623">
        <v>212</v>
      </c>
      <c r="F623" s="6">
        <v>1.65</v>
      </c>
      <c r="G623" s="6">
        <v>3</v>
      </c>
      <c r="N623">
        <f t="shared" si="27"/>
        <v>151.10262502499998</v>
      </c>
      <c r="O623">
        <f>IF(AND(OR(D623="S. acutus",D623="S. californicus",D623="S. tabernaemontani"),G623=0),E623*[1]Sheet1!$D$7+[1]Sheet1!$L$7,IF(AND(OR(D623="S. acutus",D623="S. tabernaemontani"),G623&gt;0),E623*[1]Sheet1!$D$8+N623*[1]Sheet1!$E$8,IF(AND(D623="S. californicus",G623&gt;0),E623*[1]Sheet1!$D$9+N623*[1]Sheet1!$E$9,IF(D623="S. maritimus",F623*[1]Sheet1!$C$10+E623*[1]Sheet1!$D$10+G623*[1]Sheet1!$F$10+[1]Sheet1!$L$10,IF(D623="S. americanus",F623*[1]Sheet1!$C$6+E623*[1]Sheet1!$D$6+[1]Sheet1!$L$6,IF(AND(OR(D623="T. domingensis",D623="T. latifolia"),E623&gt;0),F623*[1]Sheet1!$C$4+E623*[1]Sheet1!$D$4+H623*[1]Sheet1!$J$4+I623*[1]Sheet1!$K$4+[1]Sheet1!$L$4,IF(AND(OR(D623="T. domingensis",D623="T. latifolia"),J623&gt;0),J623*[1]Sheet1!$G$5+K623*[1]Sheet1!$H$5+L623*[1]Sheet1!$I$5+[1]Sheet1!$L$5,0)))))))</f>
        <v>13.029145718167523</v>
      </c>
      <c r="P623">
        <f t="shared" si="28"/>
        <v>13.029145718167523</v>
      </c>
      <c r="S623">
        <f t="shared" si="29"/>
        <v>2.1382446937499995</v>
      </c>
    </row>
    <row r="624" spans="1:19">
      <c r="A624" s="7">
        <v>42503</v>
      </c>
      <c r="B624" s="6" t="s">
        <v>22</v>
      </c>
      <c r="C624" s="6">
        <v>22</v>
      </c>
      <c r="D624" s="6" t="s">
        <v>63</v>
      </c>
      <c r="E624">
        <v>177</v>
      </c>
      <c r="F624" s="6">
        <v>1</v>
      </c>
      <c r="G624" s="6">
        <v>2</v>
      </c>
      <c r="N624">
        <f t="shared" si="27"/>
        <v>46.338452499999995</v>
      </c>
      <c r="O624">
        <f>IF(AND(OR(D624="S. acutus",D624="S. californicus",D624="S. tabernaemontani"),G624=0),E624*[1]Sheet1!$D$7+[1]Sheet1!$L$7,IF(AND(OR(D624="S. acutus",D624="S. tabernaemontani"),G624&gt;0),E624*[1]Sheet1!$D$8+N624*[1]Sheet1!$E$8,IF(AND(D624="S. californicus",G624&gt;0),E624*[1]Sheet1!$D$9+N624*[1]Sheet1!$E$9,IF(D624="S. maritimus",F624*[1]Sheet1!$C$10+E624*[1]Sheet1!$D$10+G624*[1]Sheet1!$F$10+[1]Sheet1!$L$10,IF(D624="S. americanus",F624*[1]Sheet1!$C$6+E624*[1]Sheet1!$D$6+[1]Sheet1!$L$6,IF(AND(OR(D624="T. domingensis",D624="T. latifolia"),E624&gt;0),F624*[1]Sheet1!$C$4+E624*[1]Sheet1!$D$4+H624*[1]Sheet1!$J$4+I624*[1]Sheet1!$K$4+[1]Sheet1!$L$4,IF(AND(OR(D624="T. domingensis",D624="T. latifolia"),J624&gt;0),J624*[1]Sheet1!$G$5+K624*[1]Sheet1!$H$5+L624*[1]Sheet1!$I$5+[1]Sheet1!$L$5,0)))))))</f>
        <v>8.3078965751072502</v>
      </c>
      <c r="P624">
        <f t="shared" si="28"/>
        <v>8.3078965751072502</v>
      </c>
      <c r="S624">
        <f t="shared" si="29"/>
        <v>0.78539749999999997</v>
      </c>
    </row>
    <row r="625" spans="1:19">
      <c r="A625" s="7">
        <v>42503</v>
      </c>
      <c r="B625" s="6" t="s">
        <v>22</v>
      </c>
      <c r="C625" s="6">
        <v>22</v>
      </c>
      <c r="D625" s="6" t="s">
        <v>63</v>
      </c>
      <c r="E625">
        <v>203</v>
      </c>
      <c r="F625" s="6">
        <v>1.35</v>
      </c>
      <c r="G625" s="6">
        <v>3</v>
      </c>
      <c r="N625">
        <f t="shared" si="27"/>
        <v>96.857183193750004</v>
      </c>
      <c r="O625">
        <f>IF(AND(OR(D625="S. acutus",D625="S. californicus",D625="S. tabernaemontani"),G625=0),E625*[1]Sheet1!$D$7+[1]Sheet1!$L$7,IF(AND(OR(D625="S. acutus",D625="S. tabernaemontani"),G625&gt;0),E625*[1]Sheet1!$D$8+N625*[1]Sheet1!$E$8,IF(AND(D625="S. californicus",G625&gt;0),E625*[1]Sheet1!$D$9+N625*[1]Sheet1!$E$9,IF(D625="S. maritimus",F625*[1]Sheet1!$C$10+E625*[1]Sheet1!$D$10+G625*[1]Sheet1!$F$10+[1]Sheet1!$L$10,IF(D625="S. americanus",F625*[1]Sheet1!$C$6+E625*[1]Sheet1!$D$6+[1]Sheet1!$L$6,IF(AND(OR(D625="T. domingensis",D625="T. latifolia"),E625&gt;0),F625*[1]Sheet1!$C$4+E625*[1]Sheet1!$D$4+H625*[1]Sheet1!$J$4+I625*[1]Sheet1!$K$4+[1]Sheet1!$L$4,IF(AND(OR(D625="T. domingensis",D625="T. latifolia"),J625&gt;0),J625*[1]Sheet1!$G$5+K625*[1]Sheet1!$H$5+L625*[1]Sheet1!$I$5+[1]Sheet1!$L$5,0)))))))</f>
        <v>10.935829770303625</v>
      </c>
      <c r="P625">
        <f t="shared" si="28"/>
        <v>10.935829770303625</v>
      </c>
      <c r="S625">
        <f t="shared" si="29"/>
        <v>1.4313869437500002</v>
      </c>
    </row>
    <row r="626" spans="1:19">
      <c r="A626" s="7">
        <v>42503</v>
      </c>
      <c r="B626" s="6" t="s">
        <v>22</v>
      </c>
      <c r="C626" s="6">
        <v>22</v>
      </c>
      <c r="D626" s="6" t="s">
        <v>63</v>
      </c>
      <c r="E626">
        <v>232</v>
      </c>
      <c r="F626" s="6">
        <v>1.79</v>
      </c>
      <c r="G626" s="6">
        <v>3</v>
      </c>
      <c r="N626">
        <f t="shared" si="27"/>
        <v>194.60872470066664</v>
      </c>
      <c r="O626">
        <f>IF(AND(OR(D626="S. acutus",D626="S. californicus",D626="S. tabernaemontani"),G626=0),E626*[1]Sheet1!$D$7+[1]Sheet1!$L$7,IF(AND(OR(D626="S. acutus",D626="S. tabernaemontani"),G626&gt;0),E626*[1]Sheet1!$D$8+N626*[1]Sheet1!$E$8,IF(AND(D626="S. californicus",G626&gt;0),E626*[1]Sheet1!$D$9+N626*[1]Sheet1!$E$9,IF(D626="S. maritimus",F626*[1]Sheet1!$C$10+E626*[1]Sheet1!$D$10+G626*[1]Sheet1!$F$10+[1]Sheet1!$L$10,IF(D626="S. americanus",F626*[1]Sheet1!$C$6+E626*[1]Sheet1!$D$6+[1]Sheet1!$L$6,IF(AND(OR(D626="T. domingensis",D626="T. latifolia"),E626&gt;0),F626*[1]Sheet1!$C$4+E626*[1]Sheet1!$D$4+H626*[1]Sheet1!$J$4+I626*[1]Sheet1!$K$4+[1]Sheet1!$L$4,IF(AND(OR(D626="T. domingensis",D626="T. latifolia"),J626&gt;0),J626*[1]Sheet1!$G$5+K626*[1]Sheet1!$H$5+L626*[1]Sheet1!$I$5+[1]Sheet1!$L$5,0)))))))</f>
        <v>15.200223283213697</v>
      </c>
      <c r="P626">
        <f t="shared" si="28"/>
        <v>15.200223283213697</v>
      </c>
      <c r="S626">
        <f t="shared" si="29"/>
        <v>2.51649212975</v>
      </c>
    </row>
    <row r="627" spans="1:19">
      <c r="A627" s="7">
        <v>42503</v>
      </c>
      <c r="B627" s="6" t="s">
        <v>22</v>
      </c>
      <c r="C627" s="6">
        <v>22</v>
      </c>
      <c r="D627" s="6" t="s">
        <v>63</v>
      </c>
      <c r="E627">
        <v>222</v>
      </c>
      <c r="F627" s="6">
        <v>1.82</v>
      </c>
      <c r="G627" s="6">
        <v>2</v>
      </c>
      <c r="N627">
        <f t="shared" si="27"/>
        <v>192.51475024599998</v>
      </c>
      <c r="O627">
        <f>IF(AND(OR(D627="S. acutus",D627="S. californicus",D627="S. tabernaemontani"),G627=0),E627*[1]Sheet1!$D$7+[1]Sheet1!$L$7,IF(AND(OR(D627="S. acutus",D627="S. tabernaemontani"),G627&gt;0),E627*[1]Sheet1!$D$8+N627*[1]Sheet1!$E$8,IF(AND(D627="S. californicus",G627&gt;0),E627*[1]Sheet1!$D$9+N627*[1]Sheet1!$E$9,IF(D627="S. maritimus",F627*[1]Sheet1!$C$10+E627*[1]Sheet1!$D$10+G627*[1]Sheet1!$F$10+[1]Sheet1!$L$10,IF(D627="S. americanus",F627*[1]Sheet1!$C$6+E627*[1]Sheet1!$D$6+[1]Sheet1!$L$6,IF(AND(OR(D627="T. domingensis",D627="T. latifolia"),E627&gt;0),F627*[1]Sheet1!$C$4+E627*[1]Sheet1!$D$4+H627*[1]Sheet1!$J$4+I627*[1]Sheet1!$K$4+[1]Sheet1!$L$4,IF(AND(OR(D627="T. domingensis",D627="T. latifolia"),J627&gt;0),J627*[1]Sheet1!$G$5+K627*[1]Sheet1!$H$5+L627*[1]Sheet1!$I$5+[1]Sheet1!$L$5,0)))))))</f>
        <v>14.747724421196422</v>
      </c>
      <c r="P627">
        <f t="shared" si="28"/>
        <v>14.747724421196422</v>
      </c>
      <c r="S627">
        <f t="shared" si="29"/>
        <v>2.6015506790000003</v>
      </c>
    </row>
    <row r="628" spans="1:19">
      <c r="A628" s="7">
        <v>42503</v>
      </c>
      <c r="B628" s="6" t="s">
        <v>22</v>
      </c>
      <c r="C628" s="6">
        <v>22</v>
      </c>
      <c r="D628" s="6" t="s">
        <v>63</v>
      </c>
      <c r="E628">
        <v>154</v>
      </c>
      <c r="F628" s="6">
        <v>1.1200000000000001</v>
      </c>
      <c r="G628" s="6">
        <v>3</v>
      </c>
      <c r="N628">
        <f t="shared" si="27"/>
        <v>50.573734698666669</v>
      </c>
      <c r="O628">
        <f>IF(AND(OR(D628="S. acutus",D628="S. californicus",D628="S. tabernaemontani"),G628=0),E628*[1]Sheet1!$D$7+[1]Sheet1!$L$7,IF(AND(OR(D628="S. acutus",D628="S. tabernaemontani"),G628&gt;0),E628*[1]Sheet1!$D$8+N628*[1]Sheet1!$E$8,IF(AND(D628="S. californicus",G628&gt;0),E628*[1]Sheet1!$D$9+N628*[1]Sheet1!$E$9,IF(D628="S. maritimus",F628*[1]Sheet1!$C$10+E628*[1]Sheet1!$D$10+G628*[1]Sheet1!$F$10+[1]Sheet1!$L$10,IF(D628="S. americanus",F628*[1]Sheet1!$C$6+E628*[1]Sheet1!$D$6+[1]Sheet1!$L$6,IF(AND(OR(D628="T. domingensis",D628="T. latifolia"),E628&gt;0),F628*[1]Sheet1!$C$4+E628*[1]Sheet1!$D$4+H628*[1]Sheet1!$J$4+I628*[1]Sheet1!$K$4+[1]Sheet1!$L$4,IF(AND(OR(D628="T. domingensis",D628="T. latifolia"),J628&gt;0),J628*[1]Sheet1!$G$5+K628*[1]Sheet1!$H$5+L628*[1]Sheet1!$I$5+[1]Sheet1!$L$5,0)))))))</f>
        <v>7.558613173658296</v>
      </c>
      <c r="P628">
        <f t="shared" si="28"/>
        <v>7.558613173658296</v>
      </c>
      <c r="S628">
        <f t="shared" si="29"/>
        <v>0.98520262400000014</v>
      </c>
    </row>
    <row r="629" spans="1:19">
      <c r="A629" s="7">
        <v>42503</v>
      </c>
      <c r="B629" s="6" t="s">
        <v>22</v>
      </c>
      <c r="C629" s="6">
        <v>22</v>
      </c>
      <c r="D629" s="6" t="s">
        <v>63</v>
      </c>
      <c r="E629">
        <v>15</v>
      </c>
      <c r="F629" s="6">
        <v>0.35</v>
      </c>
      <c r="N629">
        <f t="shared" si="27"/>
        <v>0.4810559687499999</v>
      </c>
      <c r="O629">
        <f>IF(AND(OR(D629="S. acutus",D629="S. californicus",D629="S. tabernaemontani"),G629=0),E629*[1]Sheet1!$D$7+[1]Sheet1!$L$7,IF(AND(OR(D629="S. acutus",D629="S. tabernaemontani"),G629&gt;0),E629*[1]Sheet1!$D$8+N629*[1]Sheet1!$E$8,IF(AND(D629="S. californicus",G629&gt;0),E629*[1]Sheet1!$D$9+N629*[1]Sheet1!$E$9,IF(D629="S. maritimus",F629*[1]Sheet1!$C$10+E629*[1]Sheet1!$D$10+G629*[1]Sheet1!$F$10+[1]Sheet1!$L$10,IF(D629="S. americanus",F629*[1]Sheet1!$C$6+E629*[1]Sheet1!$D$6+[1]Sheet1!$L$6,IF(AND(OR(D629="T. domingensis",D629="T. latifolia"),E629&gt;0),F629*[1]Sheet1!$C$4+E629*[1]Sheet1!$D$4+H629*[1]Sheet1!$J$4+I629*[1]Sheet1!$K$4+[1]Sheet1!$L$4,IF(AND(OR(D629="T. domingensis",D629="T. latifolia"),J629&gt;0),J629*[1]Sheet1!$G$5+K629*[1]Sheet1!$H$5+L629*[1]Sheet1!$I$5+[1]Sheet1!$L$5,0)))))))</f>
        <v>-3.5390220000000001</v>
      </c>
      <c r="P629" t="str">
        <f t="shared" si="28"/>
        <v xml:space="preserve"> </v>
      </c>
      <c r="S629">
        <f t="shared" si="29"/>
        <v>9.6211193749999979E-2</v>
      </c>
    </row>
    <row r="630" spans="1:19">
      <c r="A630" s="7">
        <v>42503</v>
      </c>
      <c r="B630" s="6" t="s">
        <v>22</v>
      </c>
      <c r="C630" s="6">
        <v>22</v>
      </c>
      <c r="D630" s="6" t="s">
        <v>63</v>
      </c>
      <c r="E630">
        <v>233</v>
      </c>
      <c r="F630" s="6">
        <v>1.79</v>
      </c>
      <c r="G630" s="6">
        <v>3</v>
      </c>
      <c r="N630">
        <f t="shared" si="27"/>
        <v>195.44755541058331</v>
      </c>
      <c r="O630">
        <f>IF(AND(OR(D630="S. acutus",D630="S. californicus",D630="S. tabernaemontani"),G630=0),E630*[1]Sheet1!$D$7+[1]Sheet1!$L$7,IF(AND(OR(D630="S. acutus",D630="S. tabernaemontani"),G630&gt;0),E630*[1]Sheet1!$D$8+N630*[1]Sheet1!$E$8,IF(AND(D630="S. californicus",G630&gt;0),E630*[1]Sheet1!$D$9+N630*[1]Sheet1!$E$9,IF(D630="S. maritimus",F630*[1]Sheet1!$C$10+E630*[1]Sheet1!$D$10+G630*[1]Sheet1!$F$10+[1]Sheet1!$L$10,IF(D630="S. americanus",F630*[1]Sheet1!$C$6+E630*[1]Sheet1!$D$6+[1]Sheet1!$L$6,IF(AND(OR(D630="T. domingensis",D630="T. latifolia"),E630&gt;0),F630*[1]Sheet1!$C$4+E630*[1]Sheet1!$D$4+H630*[1]Sheet1!$J$4+I630*[1]Sheet1!$K$4+[1]Sheet1!$L$4,IF(AND(OR(D630="T. domingensis",D630="T. latifolia"),J630&gt;0),J630*[1]Sheet1!$G$5+K630*[1]Sheet1!$H$5+L630*[1]Sheet1!$I$5+[1]Sheet1!$L$5,0)))))))</f>
        <v>15.265741487020652</v>
      </c>
      <c r="P630">
        <f t="shared" si="28"/>
        <v>15.265741487020652</v>
      </c>
      <c r="S630">
        <f t="shared" si="29"/>
        <v>2.51649212975</v>
      </c>
    </row>
    <row r="631" spans="1:19">
      <c r="A631" s="7">
        <v>42503</v>
      </c>
      <c r="B631" s="6" t="s">
        <v>22</v>
      </c>
      <c r="C631" s="6">
        <v>22</v>
      </c>
      <c r="D631" s="6" t="s">
        <v>63</v>
      </c>
      <c r="E631">
        <v>173</v>
      </c>
      <c r="F631" s="6">
        <v>1.0900000000000001</v>
      </c>
      <c r="G631" s="6">
        <v>3</v>
      </c>
      <c r="N631">
        <f t="shared" si="27"/>
        <v>53.810541055583336</v>
      </c>
      <c r="O631">
        <f>IF(AND(OR(D631="S. acutus",D631="S. californicus",D631="S. tabernaemontani"),G631=0),E631*[1]Sheet1!$D$7+[1]Sheet1!$L$7,IF(AND(OR(D631="S. acutus",D631="S. tabernaemontani"),G631&gt;0),E631*[1]Sheet1!$D$8+N631*[1]Sheet1!$E$8,IF(AND(D631="S. californicus",G631&gt;0),E631*[1]Sheet1!$D$9+N631*[1]Sheet1!$E$9,IF(D631="S. maritimus",F631*[1]Sheet1!$C$10+E631*[1]Sheet1!$D$10+G631*[1]Sheet1!$F$10+[1]Sheet1!$L$10,IF(D631="S. americanus",F631*[1]Sheet1!$C$6+E631*[1]Sheet1!$D$6+[1]Sheet1!$L$6,IF(AND(OR(D631="T. domingensis",D631="T. latifolia"),E631&gt;0),F631*[1]Sheet1!$C$4+E631*[1]Sheet1!$D$4+H631*[1]Sheet1!$J$4+I631*[1]Sheet1!$K$4+[1]Sheet1!$L$4,IF(AND(OR(D631="T. domingensis",D631="T. latifolia"),J631&gt;0),J631*[1]Sheet1!$G$5+K631*[1]Sheet1!$H$5+L631*[1]Sheet1!$I$5+[1]Sheet1!$L$5,0)))))))</f>
        <v>8.3944761514767343</v>
      </c>
      <c r="P631">
        <f t="shared" si="28"/>
        <v>8.3944761514767343</v>
      </c>
      <c r="S631">
        <f t="shared" si="29"/>
        <v>0.93313076975000009</v>
      </c>
    </row>
    <row r="632" spans="1:19">
      <c r="A632" s="7">
        <v>42503</v>
      </c>
      <c r="B632" s="6" t="s">
        <v>22</v>
      </c>
      <c r="C632" s="6">
        <v>22</v>
      </c>
      <c r="D632" s="6" t="s">
        <v>63</v>
      </c>
      <c r="E632">
        <v>129</v>
      </c>
      <c r="F632" s="6">
        <v>1.46</v>
      </c>
      <c r="G632" s="6">
        <v>2</v>
      </c>
      <c r="N632">
        <f t="shared" si="27"/>
        <v>71.988592372999989</v>
      </c>
      <c r="O632">
        <f>IF(AND(OR(D632="S. acutus",D632="S. californicus",D632="S. tabernaemontani"),G632=0),E632*[1]Sheet1!$D$7+[1]Sheet1!$L$7,IF(AND(OR(D632="S. acutus",D632="S. tabernaemontani"),G632&gt;0),E632*[1]Sheet1!$D$8+N632*[1]Sheet1!$E$8,IF(AND(D632="S. californicus",G632&gt;0),E632*[1]Sheet1!$D$9+N632*[1]Sheet1!$E$9,IF(D632="S. maritimus",F632*[1]Sheet1!$C$10+E632*[1]Sheet1!$D$10+G632*[1]Sheet1!$F$10+[1]Sheet1!$L$10,IF(D632="S. americanus",F632*[1]Sheet1!$C$6+E632*[1]Sheet1!$D$6+[1]Sheet1!$L$6,IF(AND(OR(D632="T. domingensis",D632="T. latifolia"),E632&gt;0),F632*[1]Sheet1!$C$4+E632*[1]Sheet1!$D$4+H632*[1]Sheet1!$J$4+I632*[1]Sheet1!$K$4+[1]Sheet1!$L$4,IF(AND(OR(D632="T. domingensis",D632="T. latifolia"),J632&gt;0),J632*[1]Sheet1!$G$5+K632*[1]Sheet1!$H$5+L632*[1]Sheet1!$I$5+[1]Sheet1!$L$5,0)))))))</f>
        <v>7.2855133641437355</v>
      </c>
      <c r="P632">
        <f t="shared" si="28"/>
        <v>7.2855133641437355</v>
      </c>
      <c r="S632">
        <f t="shared" si="29"/>
        <v>1.6741533109999998</v>
      </c>
    </row>
    <row r="633" spans="1:19">
      <c r="A633" s="7">
        <v>42503</v>
      </c>
      <c r="B633" s="6" t="s">
        <v>22</v>
      </c>
      <c r="C633" s="6">
        <v>22</v>
      </c>
      <c r="D633" s="6" t="s">
        <v>63</v>
      </c>
      <c r="E633">
        <v>191</v>
      </c>
      <c r="F633" s="6">
        <v>0.93</v>
      </c>
      <c r="G633" s="6">
        <v>3</v>
      </c>
      <c r="N633">
        <f t="shared" si="27"/>
        <v>43.248148956750001</v>
      </c>
      <c r="O633">
        <f>IF(AND(OR(D633="S. acutus",D633="S. californicus",D633="S. tabernaemontani"),G633=0),E633*[1]Sheet1!$D$7+[1]Sheet1!$L$7,IF(AND(OR(D633="S. acutus",D633="S. tabernaemontani"),G633&gt;0),E633*[1]Sheet1!$D$8+N633*[1]Sheet1!$E$8,IF(AND(D633="S. californicus",G633&gt;0),E633*[1]Sheet1!$D$9+N633*[1]Sheet1!$E$9,IF(D633="S. maritimus",F633*[1]Sheet1!$C$10+E633*[1]Sheet1!$D$10+G633*[1]Sheet1!$F$10+[1]Sheet1!$L$10,IF(D633="S. americanus",F633*[1]Sheet1!$C$6+E633*[1]Sheet1!$D$6+[1]Sheet1!$L$6,IF(AND(OR(D633="T. domingensis",D633="T. latifolia"),E633&gt;0),F633*[1]Sheet1!$C$4+E633*[1]Sheet1!$D$4+H633*[1]Sheet1!$J$4+I633*[1]Sheet1!$K$4+[1]Sheet1!$L$4,IF(AND(OR(D633="T. domingensis",D633="T. latifolia"),J633&gt;0),J633*[1]Sheet1!$G$5+K633*[1]Sheet1!$H$5+L633*[1]Sheet1!$I$5+[1]Sheet1!$L$5,0)))))))</f>
        <v>8.7474854197414107</v>
      </c>
      <c r="P633">
        <f t="shared" si="28"/>
        <v>8.7474854197414107</v>
      </c>
      <c r="S633">
        <f t="shared" si="29"/>
        <v>0.67929029775000005</v>
      </c>
    </row>
    <row r="634" spans="1:19">
      <c r="A634" s="7">
        <v>42503</v>
      </c>
      <c r="B634" s="6" t="s">
        <v>22</v>
      </c>
      <c r="C634" s="6">
        <v>22</v>
      </c>
      <c r="D634" s="6" t="s">
        <v>63</v>
      </c>
      <c r="E634">
        <v>43</v>
      </c>
      <c r="F634" s="6">
        <v>0.6</v>
      </c>
      <c r="N634">
        <f t="shared" si="27"/>
        <v>4.0526510999999994</v>
      </c>
      <c r="O634">
        <f>IF(AND(OR(D634="S. acutus",D634="S. californicus",D634="S. tabernaemontani"),G634=0),E634*[1]Sheet1!$D$7+[1]Sheet1!$L$7,IF(AND(OR(D634="S. acutus",D634="S. tabernaemontani"),G634&gt;0),E634*[1]Sheet1!$D$8+N634*[1]Sheet1!$E$8,IF(AND(D634="S. californicus",G634&gt;0),E634*[1]Sheet1!$D$9+N634*[1]Sheet1!$E$9,IF(D634="S. maritimus",F634*[1]Sheet1!$C$10+E634*[1]Sheet1!$D$10+G634*[1]Sheet1!$F$10+[1]Sheet1!$L$10,IF(D634="S. americanus",F634*[1]Sheet1!$C$6+E634*[1]Sheet1!$D$6+[1]Sheet1!$L$6,IF(AND(OR(D634="T. domingensis",D634="T. latifolia"),E634&gt;0),F634*[1]Sheet1!$C$4+E634*[1]Sheet1!$D$4+H634*[1]Sheet1!$J$4+I634*[1]Sheet1!$K$4+[1]Sheet1!$L$4,IF(AND(OR(D634="T. domingensis",D634="T. latifolia"),J634&gt;0),J634*[1]Sheet1!$G$5+K634*[1]Sheet1!$H$5+L634*[1]Sheet1!$I$5+[1]Sheet1!$L$5,0)))))))</f>
        <v>-1.576082</v>
      </c>
      <c r="P634" t="str">
        <f t="shared" si="28"/>
        <v xml:space="preserve"> </v>
      </c>
      <c r="S634">
        <f t="shared" si="29"/>
        <v>0.28274309999999997</v>
      </c>
    </row>
    <row r="635" spans="1:19">
      <c r="A635" s="7">
        <v>42503</v>
      </c>
      <c r="B635" s="6" t="s">
        <v>22</v>
      </c>
      <c r="C635" s="6">
        <v>22</v>
      </c>
      <c r="D635" s="6" t="s">
        <v>63</v>
      </c>
      <c r="E635">
        <v>69</v>
      </c>
      <c r="F635" s="6">
        <v>0.42</v>
      </c>
      <c r="G635" s="6">
        <v>3</v>
      </c>
      <c r="N635">
        <f t="shared" si="27"/>
        <v>3.1865147369999995</v>
      </c>
      <c r="O635">
        <f>IF(AND(OR(D635="S. acutus",D635="S. californicus",D635="S. tabernaemontani"),G635=0),E635*[1]Sheet1!$D$7+[1]Sheet1!$L$7,IF(AND(OR(D635="S. acutus",D635="S. tabernaemontani"),G635&gt;0),E635*[1]Sheet1!$D$8+N635*[1]Sheet1!$E$8,IF(AND(D635="S. californicus",G635&gt;0),E635*[1]Sheet1!$D$9+N635*[1]Sheet1!$E$9,IF(D635="S. maritimus",F635*[1]Sheet1!$C$10+E635*[1]Sheet1!$D$10+G635*[1]Sheet1!$F$10+[1]Sheet1!$L$10,IF(D635="S. americanus",F635*[1]Sheet1!$C$6+E635*[1]Sheet1!$D$6+[1]Sheet1!$L$6,IF(AND(OR(D635="T. domingensis",D635="T. latifolia"),E635&gt;0),F635*[1]Sheet1!$C$4+E635*[1]Sheet1!$D$4+H635*[1]Sheet1!$J$4+I635*[1]Sheet1!$K$4+[1]Sheet1!$L$4,IF(AND(OR(D635="T. domingensis",D635="T. latifolia"),J635&gt;0),J635*[1]Sheet1!$G$5+K635*[1]Sheet1!$H$5+L635*[1]Sheet1!$I$5+[1]Sheet1!$L$5,0)))))))</f>
        <v>2.7595985423946634</v>
      </c>
      <c r="P635">
        <f t="shared" si="28"/>
        <v>2.7595985423946634</v>
      </c>
      <c r="S635">
        <f t="shared" si="29"/>
        <v>0.13854411899999997</v>
      </c>
    </row>
    <row r="636" spans="1:19">
      <c r="A636" s="7">
        <v>42503</v>
      </c>
      <c r="B636" s="6" t="s">
        <v>22</v>
      </c>
      <c r="C636" s="6">
        <v>22</v>
      </c>
      <c r="D636" s="6" t="s">
        <v>63</v>
      </c>
      <c r="E636">
        <v>50</v>
      </c>
      <c r="F636" s="6">
        <v>0.52</v>
      </c>
      <c r="N636">
        <f t="shared" si="27"/>
        <v>3.5395247333333333</v>
      </c>
      <c r="O636">
        <f>IF(AND(OR(D636="S. acutus",D636="S. californicus",D636="S. tabernaemontani"),G636=0),E636*[1]Sheet1!$D$7+[1]Sheet1!$L$7,IF(AND(OR(D636="S. acutus",D636="S. tabernaemontani"),G636&gt;0),E636*[1]Sheet1!$D$8+N636*[1]Sheet1!$E$8,IF(AND(D636="S. californicus",G636&gt;0),E636*[1]Sheet1!$D$9+N636*[1]Sheet1!$E$9,IF(D636="S. maritimus",F636*[1]Sheet1!$C$10+E636*[1]Sheet1!$D$10+G636*[1]Sheet1!$F$10+[1]Sheet1!$L$10,IF(D636="S. americanus",F636*[1]Sheet1!$C$6+E636*[1]Sheet1!$D$6+[1]Sheet1!$L$6,IF(AND(OR(D636="T. domingensis",D636="T. latifolia"),E636&gt;0),F636*[1]Sheet1!$C$4+E636*[1]Sheet1!$D$4+H636*[1]Sheet1!$J$4+I636*[1]Sheet1!$K$4+[1]Sheet1!$L$4,IF(AND(OR(D636="T. domingensis",D636="T. latifolia"),J636&gt;0),J636*[1]Sheet1!$G$5+K636*[1]Sheet1!$H$5+L636*[1]Sheet1!$I$5+[1]Sheet1!$L$5,0)))))))</f>
        <v>-1.0853469999999996</v>
      </c>
      <c r="P636" t="str">
        <f t="shared" si="28"/>
        <v xml:space="preserve"> </v>
      </c>
      <c r="S636">
        <f t="shared" si="29"/>
        <v>0.21237148400000003</v>
      </c>
    </row>
    <row r="637" spans="1:19">
      <c r="A637" s="7">
        <v>42503</v>
      </c>
      <c r="B637" s="6" t="s">
        <v>22</v>
      </c>
      <c r="C637" s="6">
        <v>22</v>
      </c>
      <c r="D637" s="6" t="s">
        <v>63</v>
      </c>
      <c r="E637">
        <v>37</v>
      </c>
      <c r="F637" s="6">
        <v>0.57999999999999996</v>
      </c>
      <c r="N637">
        <f t="shared" si="27"/>
        <v>3.2585618676666659</v>
      </c>
      <c r="O637">
        <f>IF(AND(OR(D637="S. acutus",D637="S. californicus",D637="S. tabernaemontani"),G637=0),E637*[1]Sheet1!$D$7+[1]Sheet1!$L$7,IF(AND(OR(D637="S. acutus",D637="S. tabernaemontani"),G637&gt;0),E637*[1]Sheet1!$D$8+N637*[1]Sheet1!$E$8,IF(AND(D637="S. californicus",G637&gt;0),E637*[1]Sheet1!$D$9+N637*[1]Sheet1!$E$9,IF(D637="S. maritimus",F637*[1]Sheet1!$C$10+E637*[1]Sheet1!$D$10+G637*[1]Sheet1!$F$10+[1]Sheet1!$L$10,IF(D637="S. americanus",F637*[1]Sheet1!$C$6+E637*[1]Sheet1!$D$6+[1]Sheet1!$L$6,IF(AND(OR(D637="T. domingensis",D637="T. latifolia"),E637&gt;0),F637*[1]Sheet1!$C$4+E637*[1]Sheet1!$D$4+H637*[1]Sheet1!$J$4+I637*[1]Sheet1!$K$4+[1]Sheet1!$L$4,IF(AND(OR(D637="T. domingensis",D637="T. latifolia"),J637&gt;0),J637*[1]Sheet1!$G$5+K637*[1]Sheet1!$H$5+L637*[1]Sheet1!$I$5+[1]Sheet1!$L$5,0)))))))</f>
        <v>-1.9967119999999996</v>
      </c>
      <c r="P637" t="str">
        <f t="shared" si="28"/>
        <v xml:space="preserve"> </v>
      </c>
      <c r="S637">
        <f t="shared" si="29"/>
        <v>0.26420771899999995</v>
      </c>
    </row>
    <row r="638" spans="1:19">
      <c r="A638" s="7">
        <v>42503</v>
      </c>
      <c r="B638" s="6" t="s">
        <v>22</v>
      </c>
      <c r="C638" s="6">
        <v>22</v>
      </c>
      <c r="D638" s="6" t="s">
        <v>63</v>
      </c>
      <c r="E638">
        <v>182</v>
      </c>
      <c r="F638" s="6">
        <v>1.25</v>
      </c>
      <c r="G638" s="6">
        <v>2</v>
      </c>
      <c r="N638">
        <f t="shared" si="27"/>
        <v>74.449138020833331</v>
      </c>
      <c r="O638">
        <f>IF(AND(OR(D638="S. acutus",D638="S. californicus",D638="S. tabernaemontani"),G638=0),E638*[1]Sheet1!$D$7+[1]Sheet1!$L$7,IF(AND(OR(D638="S. acutus",D638="S. tabernaemontani"),G638&gt;0),E638*[1]Sheet1!$D$8+N638*[1]Sheet1!$E$8,IF(AND(D638="S. californicus",G638&gt;0),E638*[1]Sheet1!$D$9+N638*[1]Sheet1!$E$9,IF(D638="S. maritimus",F638*[1]Sheet1!$C$10+E638*[1]Sheet1!$D$10+G638*[1]Sheet1!$F$10+[1]Sheet1!$L$10,IF(D638="S. americanus",F638*[1]Sheet1!$C$6+E638*[1]Sheet1!$D$6+[1]Sheet1!$L$6,IF(AND(OR(D638="T. domingensis",D638="T. latifolia"),E638&gt;0),F638*[1]Sheet1!$C$4+E638*[1]Sheet1!$D$4+H638*[1]Sheet1!$J$4+I638*[1]Sheet1!$K$4+[1]Sheet1!$L$4,IF(AND(OR(D638="T. domingensis",D638="T. latifolia"),J638&gt;0),J638*[1]Sheet1!$G$5+K638*[1]Sheet1!$H$5+L638*[1]Sheet1!$I$5+[1]Sheet1!$L$5,0)))))))</f>
        <v>9.4056214484950527</v>
      </c>
      <c r="P638">
        <f t="shared" si="28"/>
        <v>9.4056214484950527</v>
      </c>
      <c r="S638">
        <f t="shared" si="29"/>
        <v>1.22718359375</v>
      </c>
    </row>
    <row r="639" spans="1:19">
      <c r="A639" s="7">
        <v>42503</v>
      </c>
      <c r="B639" s="6" t="s">
        <v>22</v>
      </c>
      <c r="C639" s="6">
        <v>22</v>
      </c>
      <c r="D639" s="6" t="s">
        <v>63</v>
      </c>
      <c r="E639">
        <v>12</v>
      </c>
      <c r="F639" s="6">
        <v>0.34</v>
      </c>
      <c r="N639">
        <f t="shared" si="27"/>
        <v>0.36316780400000004</v>
      </c>
      <c r="O639">
        <f>IF(AND(OR(D639="S. acutus",D639="S. californicus",D639="S. tabernaemontani"),G639=0),E639*[1]Sheet1!$D$7+[1]Sheet1!$L$7,IF(AND(OR(D639="S. acutus",D639="S. tabernaemontani"),G639&gt;0),E639*[1]Sheet1!$D$8+N639*[1]Sheet1!$E$8,IF(AND(D639="S. californicus",G639&gt;0),E639*[1]Sheet1!$D$9+N639*[1]Sheet1!$E$9,IF(D639="S. maritimus",F639*[1]Sheet1!$C$10+E639*[1]Sheet1!$D$10+G639*[1]Sheet1!$F$10+[1]Sheet1!$L$10,IF(D639="S. americanus",F639*[1]Sheet1!$C$6+E639*[1]Sheet1!$D$6+[1]Sheet1!$L$6,IF(AND(OR(D639="T. domingensis",D639="T. latifolia"),E639&gt;0),F639*[1]Sheet1!$C$4+E639*[1]Sheet1!$D$4+H639*[1]Sheet1!$J$4+I639*[1]Sheet1!$K$4+[1]Sheet1!$L$4,IF(AND(OR(D639="T. domingensis",D639="T. latifolia"),J639&gt;0),J639*[1]Sheet1!$G$5+K639*[1]Sheet1!$H$5+L639*[1]Sheet1!$I$5+[1]Sheet1!$L$5,0)))))))</f>
        <v>-3.7493369999999997</v>
      </c>
      <c r="P639" t="str">
        <f t="shared" si="28"/>
        <v xml:space="preserve"> </v>
      </c>
      <c r="S639">
        <f t="shared" si="29"/>
        <v>9.079195100000001E-2</v>
      </c>
    </row>
    <row r="640" spans="1:19">
      <c r="A640" s="7">
        <v>42503</v>
      </c>
      <c r="B640" s="6" t="s">
        <v>22</v>
      </c>
      <c r="C640" s="6">
        <v>22</v>
      </c>
      <c r="D640" s="6" t="s">
        <v>63</v>
      </c>
      <c r="E640">
        <v>45</v>
      </c>
      <c r="F640" s="6">
        <v>0.38</v>
      </c>
      <c r="N640">
        <f t="shared" si="27"/>
        <v>1.7011709849999999</v>
      </c>
      <c r="O640">
        <f>IF(AND(OR(D640="S. acutus",D640="S. californicus",D640="S. tabernaemontani"),G640=0),E640*[1]Sheet1!$D$7+[1]Sheet1!$L$7,IF(AND(OR(D640="S. acutus",D640="S. tabernaemontani"),G640&gt;0),E640*[1]Sheet1!$D$8+N640*[1]Sheet1!$E$8,IF(AND(D640="S. californicus",G640&gt;0),E640*[1]Sheet1!$D$9+N640*[1]Sheet1!$E$9,IF(D640="S. maritimus",F640*[1]Sheet1!$C$10+E640*[1]Sheet1!$D$10+G640*[1]Sheet1!$F$10+[1]Sheet1!$L$10,IF(D640="S. americanus",F640*[1]Sheet1!$C$6+E640*[1]Sheet1!$D$6+[1]Sheet1!$L$6,IF(AND(OR(D640="T. domingensis",D640="T. latifolia"),E640&gt;0),F640*[1]Sheet1!$C$4+E640*[1]Sheet1!$D$4+H640*[1]Sheet1!$J$4+I640*[1]Sheet1!$K$4+[1]Sheet1!$L$4,IF(AND(OR(D640="T. domingensis",D640="T. latifolia"),J640&gt;0),J640*[1]Sheet1!$G$5+K640*[1]Sheet1!$H$5+L640*[1]Sheet1!$I$5+[1]Sheet1!$L$5,0)))))))</f>
        <v>-1.4358719999999998</v>
      </c>
      <c r="P640" t="str">
        <f t="shared" si="28"/>
        <v xml:space="preserve"> </v>
      </c>
      <c r="S640">
        <f t="shared" si="29"/>
        <v>0.113411399</v>
      </c>
    </row>
    <row r="641" spans="1:19">
      <c r="A641" s="7">
        <v>42503</v>
      </c>
      <c r="B641" s="6" t="s">
        <v>22</v>
      </c>
      <c r="C641" s="6">
        <v>22</v>
      </c>
      <c r="D641" s="6" t="s">
        <v>63</v>
      </c>
      <c r="E641">
        <v>225</v>
      </c>
      <c r="F641" s="6">
        <v>1.44</v>
      </c>
      <c r="G641" s="6">
        <v>3</v>
      </c>
      <c r="N641">
        <f t="shared" si="27"/>
        <v>122.14501919999998</v>
      </c>
      <c r="O641">
        <f>IF(AND(OR(D641="S. acutus",D641="S. californicus",D641="S. tabernaemontani"),G641=0),E641*[1]Sheet1!$D$7+[1]Sheet1!$L$7,IF(AND(OR(D641="S. acutus",D641="S. tabernaemontani"),G641&gt;0),E641*[1]Sheet1!$D$8+N641*[1]Sheet1!$E$8,IF(AND(D641="S. californicus",G641&gt;0),E641*[1]Sheet1!$D$9+N641*[1]Sheet1!$E$9,IF(D641="S. maritimus",F641*[1]Sheet1!$C$10+E641*[1]Sheet1!$D$10+G641*[1]Sheet1!$F$10+[1]Sheet1!$L$10,IF(D641="S. americanus",F641*[1]Sheet1!$C$6+E641*[1]Sheet1!$D$6+[1]Sheet1!$L$6,IF(AND(OR(D641="T. domingensis",D641="T. latifolia"),E641&gt;0),F641*[1]Sheet1!$C$4+E641*[1]Sheet1!$D$4+H641*[1]Sheet1!$J$4+I641*[1]Sheet1!$K$4+[1]Sheet1!$L$4,IF(AND(OR(D641="T. domingensis",D641="T. latifolia"),J641&gt;0),J641*[1]Sheet1!$G$5+K641*[1]Sheet1!$H$5+L641*[1]Sheet1!$I$5+[1]Sheet1!$L$5,0)))))))</f>
        <v>12.597277048757279</v>
      </c>
      <c r="P641">
        <f t="shared" si="28"/>
        <v>12.597277048757279</v>
      </c>
      <c r="S641">
        <f t="shared" si="29"/>
        <v>1.6286002559999999</v>
      </c>
    </row>
    <row r="642" spans="1:19">
      <c r="A642" s="7">
        <v>42503</v>
      </c>
      <c r="B642" s="6" t="s">
        <v>22</v>
      </c>
      <c r="C642" s="6">
        <v>22</v>
      </c>
      <c r="D642" s="6" t="s">
        <v>63</v>
      </c>
      <c r="E642">
        <v>215</v>
      </c>
      <c r="F642" s="6">
        <v>1.6</v>
      </c>
      <c r="N642">
        <f t="shared" si="27"/>
        <v>144.09426133333335</v>
      </c>
      <c r="O642">
        <f>IF(AND(OR(D642="S. acutus",D642="S. californicus",D642="S. tabernaemontani"),G642=0),E642*[1]Sheet1!$D$7+[1]Sheet1!$L$7,IF(AND(OR(D642="S. acutus",D642="S. tabernaemontani"),G642&gt;0),E642*[1]Sheet1!$D$8+N642*[1]Sheet1!$E$8,IF(AND(D642="S. californicus",G642&gt;0),E642*[1]Sheet1!$D$9+N642*[1]Sheet1!$E$9,IF(D642="S. maritimus",F642*[1]Sheet1!$C$10+E642*[1]Sheet1!$D$10+G642*[1]Sheet1!$F$10+[1]Sheet1!$L$10,IF(D642="S. americanus",F642*[1]Sheet1!$C$6+E642*[1]Sheet1!$D$6+[1]Sheet1!$L$6,IF(AND(OR(D642="T. domingensis",D642="T. latifolia"),E642&gt;0),F642*[1]Sheet1!$C$4+E642*[1]Sheet1!$D$4+H642*[1]Sheet1!$J$4+I642*[1]Sheet1!$K$4+[1]Sheet1!$L$4,IF(AND(OR(D642="T. domingensis",D642="T. latifolia"),J642&gt;0),J642*[1]Sheet1!$G$5+K642*[1]Sheet1!$H$5+L642*[1]Sheet1!$I$5+[1]Sheet1!$L$5,0)))))))</f>
        <v>10.481978000000002</v>
      </c>
      <c r="P642">
        <f t="shared" si="28"/>
        <v>10.481978000000002</v>
      </c>
      <c r="S642">
        <f t="shared" si="29"/>
        <v>2.0106176000000002</v>
      </c>
    </row>
    <row r="643" spans="1:19">
      <c r="A643" s="7">
        <v>42503</v>
      </c>
      <c r="B643" s="6" t="s">
        <v>22</v>
      </c>
      <c r="C643" s="6">
        <v>22</v>
      </c>
      <c r="D643" s="6" t="s">
        <v>63</v>
      </c>
      <c r="E643">
        <v>210</v>
      </c>
      <c r="F643" s="6">
        <v>1.55</v>
      </c>
      <c r="G643" s="6">
        <v>3</v>
      </c>
      <c r="N643">
        <f t="shared" si="27"/>
        <v>132.0842245625</v>
      </c>
      <c r="O643">
        <f>IF(AND(OR(D643="S. acutus",D643="S. californicus",D643="S. tabernaemontani"),G643=0),E643*[1]Sheet1!$D$7+[1]Sheet1!$L$7,IF(AND(OR(D643="S. acutus",D643="S. tabernaemontani"),G643&gt;0),E643*[1]Sheet1!$D$8+N643*[1]Sheet1!$E$8,IF(AND(D643="S. californicus",G643&gt;0),E643*[1]Sheet1!$D$9+N643*[1]Sheet1!$E$9,IF(D643="S. maritimus",F643*[1]Sheet1!$C$10+E643*[1]Sheet1!$D$10+G643*[1]Sheet1!$F$10+[1]Sheet1!$L$10,IF(D643="S. americanus",F643*[1]Sheet1!$C$6+E643*[1]Sheet1!$D$6+[1]Sheet1!$L$6,IF(AND(OR(D643="T. domingensis",D643="T. latifolia"),E643&gt;0),F643*[1]Sheet1!$C$4+E643*[1]Sheet1!$D$4+H643*[1]Sheet1!$J$4+I643*[1]Sheet1!$K$4+[1]Sheet1!$L$4,IF(AND(OR(D643="T. domingensis",D643="T. latifolia"),J643&gt;0),J643*[1]Sheet1!$G$5+K643*[1]Sheet1!$H$5+L643*[1]Sheet1!$I$5+[1]Sheet1!$L$5,0)))))))</f>
        <v>12.339721906714606</v>
      </c>
      <c r="P643">
        <f t="shared" si="28"/>
        <v>12.339721906714606</v>
      </c>
      <c r="S643">
        <f t="shared" si="29"/>
        <v>1.8869174937500002</v>
      </c>
    </row>
    <row r="644" spans="1:19">
      <c r="A644" s="7">
        <v>42503</v>
      </c>
      <c r="B644" s="6" t="s">
        <v>22</v>
      </c>
      <c r="C644" s="6">
        <v>22</v>
      </c>
      <c r="D644" s="6" t="s">
        <v>63</v>
      </c>
      <c r="E644">
        <v>196</v>
      </c>
      <c r="F644" s="6">
        <v>0.95</v>
      </c>
      <c r="G644" s="6">
        <v>3</v>
      </c>
      <c r="N644">
        <f t="shared" ref="N644:N707" si="30">IF(OR(D644="S. acutus", D644="S. tabernaemontani", D644="S. californicus"),(1/3)*(3.14159)*((F644/2)^2)*E644,"NA")</f>
        <v>46.309654591666664</v>
      </c>
      <c r="O644">
        <f>IF(AND(OR(D644="S. acutus",D644="S. californicus",D644="S. tabernaemontani"),G644=0),E644*[1]Sheet1!$D$7+[1]Sheet1!$L$7,IF(AND(OR(D644="S. acutus",D644="S. tabernaemontani"),G644&gt;0),E644*[1]Sheet1!$D$8+N644*[1]Sheet1!$E$8,IF(AND(D644="S. californicus",G644&gt;0),E644*[1]Sheet1!$D$9+N644*[1]Sheet1!$E$9,IF(D644="S. maritimus",F644*[1]Sheet1!$C$10+E644*[1]Sheet1!$D$10+G644*[1]Sheet1!$F$10+[1]Sheet1!$L$10,IF(D644="S. americanus",F644*[1]Sheet1!$C$6+E644*[1]Sheet1!$D$6+[1]Sheet1!$L$6,IF(AND(OR(D644="T. domingensis",D644="T. latifolia"),E644&gt;0),F644*[1]Sheet1!$C$4+E644*[1]Sheet1!$D$4+H644*[1]Sheet1!$J$4+I644*[1]Sheet1!$K$4+[1]Sheet1!$L$4,IF(AND(OR(D644="T. domingensis",D644="T. latifolia"),J644&gt;0),J644*[1]Sheet1!$G$5+K644*[1]Sheet1!$H$5+L644*[1]Sheet1!$I$5+[1]Sheet1!$L$5,0)))))))</f>
        <v>9.0386041565407993</v>
      </c>
      <c r="P644">
        <f t="shared" ref="P644:P707" si="31">IF(O644&lt;0," ",O644)</f>
        <v>9.0386041565407993</v>
      </c>
      <c r="S644">
        <f t="shared" ref="S644:S707" si="32">3.14159*((F644/2)^2)</f>
        <v>0.70882124375</v>
      </c>
    </row>
    <row r="645" spans="1:19">
      <c r="A645" s="7">
        <v>42503</v>
      </c>
      <c r="B645" s="6" t="s">
        <v>22</v>
      </c>
      <c r="C645" s="6">
        <v>22</v>
      </c>
      <c r="D645" s="6" t="s">
        <v>63</v>
      </c>
      <c r="E645">
        <v>143</v>
      </c>
      <c r="F645" s="6">
        <v>0.55000000000000004</v>
      </c>
      <c r="N645">
        <f t="shared" si="30"/>
        <v>11.324777452083334</v>
      </c>
      <c r="O645">
        <f>IF(AND(OR(D645="S. acutus",D645="S. californicus",D645="S. tabernaemontani"),G645=0),E645*[1]Sheet1!$D$7+[1]Sheet1!$L$7,IF(AND(OR(D645="S. acutus",D645="S. tabernaemontani"),G645&gt;0),E645*[1]Sheet1!$D$8+N645*[1]Sheet1!$E$8,IF(AND(D645="S. californicus",G645&gt;0),E645*[1]Sheet1!$D$9+N645*[1]Sheet1!$E$9,IF(D645="S. maritimus",F645*[1]Sheet1!$C$10+E645*[1]Sheet1!$D$10+G645*[1]Sheet1!$F$10+[1]Sheet1!$L$10,IF(D645="S. americanus",F645*[1]Sheet1!$C$6+E645*[1]Sheet1!$D$6+[1]Sheet1!$L$6,IF(AND(OR(D645="T. domingensis",D645="T. latifolia"),E645&gt;0),F645*[1]Sheet1!$C$4+E645*[1]Sheet1!$D$4+H645*[1]Sheet1!$J$4+I645*[1]Sheet1!$K$4+[1]Sheet1!$L$4,IF(AND(OR(D645="T. domingensis",D645="T. latifolia"),J645&gt;0),J645*[1]Sheet1!$G$5+K645*[1]Sheet1!$H$5+L645*[1]Sheet1!$I$5+[1]Sheet1!$L$5,0)))))))</f>
        <v>5.434418</v>
      </c>
      <c r="P645">
        <f t="shared" si="31"/>
        <v>5.434418</v>
      </c>
      <c r="S645">
        <f t="shared" si="32"/>
        <v>0.23758274375000002</v>
      </c>
    </row>
    <row r="646" spans="1:19">
      <c r="A646" s="7">
        <v>42503</v>
      </c>
      <c r="B646" s="6" t="s">
        <v>22</v>
      </c>
      <c r="C646" s="6">
        <v>22</v>
      </c>
      <c r="D646" s="6" t="s">
        <v>63</v>
      </c>
      <c r="E646">
        <v>239</v>
      </c>
      <c r="F646" s="6">
        <v>1.2</v>
      </c>
      <c r="G646" s="6">
        <v>3</v>
      </c>
      <c r="N646">
        <f t="shared" si="30"/>
        <v>90.100801199999992</v>
      </c>
      <c r="P646">
        <f t="shared" si="31"/>
        <v>0</v>
      </c>
      <c r="S646">
        <f t="shared" si="32"/>
        <v>1.1309723999999999</v>
      </c>
    </row>
    <row r="647" spans="1:19">
      <c r="A647" s="7">
        <v>42503</v>
      </c>
      <c r="B647" s="6" t="s">
        <v>22</v>
      </c>
      <c r="C647" s="6">
        <v>22</v>
      </c>
      <c r="D647" s="6" t="s">
        <v>63</v>
      </c>
      <c r="E647">
        <v>218</v>
      </c>
      <c r="F647" s="6">
        <v>1.68</v>
      </c>
      <c r="G647" s="6">
        <v>2</v>
      </c>
      <c r="N647">
        <f t="shared" si="30"/>
        <v>161.08062902399996</v>
      </c>
      <c r="O647">
        <f>IF(AND(OR(D647="S. acutus",D647="S. californicus",D647="S. tabernaemontani"),G647=0),E647*[1]Sheet1!$D$7+[1]Sheet1!$L$7,IF(AND(OR(D647="S. acutus",D647="S. tabernaemontani"),G647&gt;0),E647*[1]Sheet1!$D$8+N647*[1]Sheet1!$E$8,IF(AND(D647="S. californicus",G647&gt;0),E647*[1]Sheet1!$D$9+N647*[1]Sheet1!$E$9,IF(D647="S. maritimus",F647*[1]Sheet1!$C$10+E647*[1]Sheet1!$D$10+G647*[1]Sheet1!$F$10+[1]Sheet1!$L$10,IF(D647="S. americanus",F647*[1]Sheet1!$C$6+E647*[1]Sheet1!$D$6+[1]Sheet1!$L$6,IF(AND(OR(D647="T. domingensis",D647="T. latifolia"),E647&gt;0),F647*[1]Sheet1!$C$4+E647*[1]Sheet1!$D$4+H647*[1]Sheet1!$J$4+I647*[1]Sheet1!$K$4+[1]Sheet1!$L$4,IF(AND(OR(D647="T. domingensis",D647="T. latifolia"),J647&gt;0),J647*[1]Sheet1!$G$5+K647*[1]Sheet1!$H$5+L647*[1]Sheet1!$I$5+[1]Sheet1!$L$5,0)))))))</f>
        <v>13.58148902713892</v>
      </c>
      <c r="P647">
        <f t="shared" si="31"/>
        <v>13.58148902713892</v>
      </c>
      <c r="S647">
        <f t="shared" si="32"/>
        <v>2.2167059039999994</v>
      </c>
    </row>
    <row r="648" spans="1:19">
      <c r="A648" s="7">
        <v>42503</v>
      </c>
      <c r="B648" s="6" t="s">
        <v>22</v>
      </c>
      <c r="C648" s="6">
        <v>22</v>
      </c>
      <c r="D648" s="6" t="s">
        <v>63</v>
      </c>
      <c r="E648">
        <v>248</v>
      </c>
      <c r="F648" s="6">
        <v>0.95</v>
      </c>
      <c r="G648" s="6">
        <v>1</v>
      </c>
      <c r="N648">
        <f t="shared" si="30"/>
        <v>58.595889483333323</v>
      </c>
      <c r="O648">
        <f>IF(AND(OR(D648="S. acutus",D648="S. californicus",D648="S. tabernaemontani"),G648=0),E648*[1]Sheet1!$D$7+[1]Sheet1!$L$7,IF(AND(OR(D648="S. acutus",D648="S. tabernaemontani"),G648&gt;0),E648*[1]Sheet1!$D$8+N648*[1]Sheet1!$E$8,IF(AND(D648="S. californicus",G648&gt;0),E648*[1]Sheet1!$D$9+N648*[1]Sheet1!$E$9,IF(D648="S. maritimus",F648*[1]Sheet1!$C$10+E648*[1]Sheet1!$D$10+G648*[1]Sheet1!$F$10+[1]Sheet1!$L$10,IF(D648="S. americanus",F648*[1]Sheet1!$C$6+E648*[1]Sheet1!$D$6+[1]Sheet1!$L$6,IF(AND(OR(D648="T. domingensis",D648="T. latifolia"),E648&gt;0),F648*[1]Sheet1!$C$4+E648*[1]Sheet1!$D$4+H648*[1]Sheet1!$J$4+I648*[1]Sheet1!$K$4+[1]Sheet1!$L$4,IF(AND(OR(D648="T. domingensis",D648="T. latifolia"),J648&gt;0),J648*[1]Sheet1!$G$5+K648*[1]Sheet1!$H$5+L648*[1]Sheet1!$I$5+[1]Sheet1!$L$5,0)))))))</f>
        <v>11.436601177663869</v>
      </c>
      <c r="P648">
        <f t="shared" si="31"/>
        <v>11.436601177663869</v>
      </c>
      <c r="S648">
        <f t="shared" si="32"/>
        <v>0.70882124375</v>
      </c>
    </row>
    <row r="649" spans="1:19">
      <c r="A649" s="7">
        <v>42503</v>
      </c>
      <c r="B649" s="6" t="s">
        <v>22</v>
      </c>
      <c r="C649" s="6">
        <v>22</v>
      </c>
      <c r="D649" s="6" t="s">
        <v>63</v>
      </c>
      <c r="E649">
        <v>44</v>
      </c>
      <c r="F649" s="6">
        <v>1.25</v>
      </c>
      <c r="G649" s="6">
        <v>1</v>
      </c>
      <c r="N649">
        <f t="shared" si="30"/>
        <v>17.99869270833333</v>
      </c>
      <c r="O649">
        <f>IF(AND(OR(D649="S. acutus",D649="S. californicus",D649="S. tabernaemontani"),G649=0),E649*[1]Sheet1!$D$7+[1]Sheet1!$L$7,IF(AND(OR(D649="S. acutus",D649="S. tabernaemontani"),G649&gt;0),E649*[1]Sheet1!$D$8+N649*[1]Sheet1!$E$8,IF(AND(D649="S. californicus",G649&gt;0),E649*[1]Sheet1!$D$9+N649*[1]Sheet1!$E$9,IF(D649="S. maritimus",F649*[1]Sheet1!$C$10+E649*[1]Sheet1!$D$10+G649*[1]Sheet1!$F$10+[1]Sheet1!$L$10,IF(D649="S. americanus",F649*[1]Sheet1!$C$6+E649*[1]Sheet1!$D$6+[1]Sheet1!$L$6,IF(AND(OR(D649="T. domingensis",D649="T. latifolia"),E649&gt;0),F649*[1]Sheet1!$C$4+E649*[1]Sheet1!$D$4+H649*[1]Sheet1!$J$4+I649*[1]Sheet1!$K$4+[1]Sheet1!$L$4,IF(AND(OR(D649="T. domingensis",D649="T. latifolia"),J649&gt;0),J649*[1]Sheet1!$G$5+K649*[1]Sheet1!$H$5+L649*[1]Sheet1!$I$5+[1]Sheet1!$L$5,0)))))))</f>
        <v>2.2738865040317706</v>
      </c>
      <c r="P649">
        <f t="shared" si="31"/>
        <v>2.2738865040317706</v>
      </c>
      <c r="S649">
        <f t="shared" si="32"/>
        <v>1.22718359375</v>
      </c>
    </row>
    <row r="650" spans="1:19">
      <c r="A650" s="7">
        <v>42503</v>
      </c>
      <c r="B650" s="6" t="s">
        <v>22</v>
      </c>
      <c r="C650" s="6">
        <v>22</v>
      </c>
      <c r="D650" s="6" t="s">
        <v>63</v>
      </c>
      <c r="E650">
        <v>97</v>
      </c>
      <c r="F650" s="6">
        <v>0.57999999999999996</v>
      </c>
      <c r="N650">
        <f t="shared" si="30"/>
        <v>8.5427162476666645</v>
      </c>
      <c r="O650">
        <f>IF(AND(OR(D650="S. acutus",D650="S. californicus",D650="S. tabernaemontani"),G650=0),E650*[1]Sheet1!$D$7+[1]Sheet1!$L$7,IF(AND(OR(D650="S. acutus",D650="S. tabernaemontani"),G650&gt;0),E650*[1]Sheet1!$D$8+N650*[1]Sheet1!$E$8,IF(AND(D650="S. californicus",G650&gt;0),E650*[1]Sheet1!$D$9+N650*[1]Sheet1!$E$9,IF(D650="S. maritimus",F650*[1]Sheet1!$C$10+E650*[1]Sheet1!$D$10+G650*[1]Sheet1!$F$10+[1]Sheet1!$L$10,IF(D650="S. americanus",F650*[1]Sheet1!$C$6+E650*[1]Sheet1!$D$6+[1]Sheet1!$L$6,IF(AND(OR(D650="T. domingensis",D650="T. latifolia"),E650&gt;0),F650*[1]Sheet1!$C$4+E650*[1]Sheet1!$D$4+H650*[1]Sheet1!$J$4+I650*[1]Sheet1!$K$4+[1]Sheet1!$L$4,IF(AND(OR(D650="T. domingensis",D650="T. latifolia"),J650&gt;0),J650*[1]Sheet1!$G$5+K650*[1]Sheet1!$H$5+L650*[1]Sheet1!$I$5+[1]Sheet1!$L$5,0)))))))</f>
        <v>2.2095880000000001</v>
      </c>
      <c r="P650">
        <f t="shared" si="31"/>
        <v>2.2095880000000001</v>
      </c>
      <c r="S650">
        <f t="shared" si="32"/>
        <v>0.26420771899999995</v>
      </c>
    </row>
    <row r="651" spans="1:19">
      <c r="A651" s="7">
        <v>42503</v>
      </c>
      <c r="B651" s="6" t="s">
        <v>22</v>
      </c>
      <c r="C651" s="6">
        <v>22</v>
      </c>
      <c r="D651" s="6" t="s">
        <v>63</v>
      </c>
      <c r="E651">
        <v>196</v>
      </c>
      <c r="F651" s="6">
        <v>0.96</v>
      </c>
      <c r="G651" s="6">
        <v>2</v>
      </c>
      <c r="N651">
        <f t="shared" si="30"/>
        <v>47.289725951999991</v>
      </c>
      <c r="O651">
        <f>IF(AND(OR(D651="S. acutus",D651="S. californicus",D651="S. tabernaemontani"),G651=0),E651*[1]Sheet1!$D$7+[1]Sheet1!$L$7,IF(AND(OR(D651="S. acutus",D651="S. tabernaemontani"),G651&gt;0),E651*[1]Sheet1!$D$8+N651*[1]Sheet1!$E$8,IF(AND(D651="S. californicus",G651&gt;0),E651*[1]Sheet1!$D$9+N651*[1]Sheet1!$E$9,IF(D651="S. maritimus",F651*[1]Sheet1!$C$10+E651*[1]Sheet1!$D$10+G651*[1]Sheet1!$F$10+[1]Sheet1!$L$10,IF(D651="S. americanus",F651*[1]Sheet1!$C$6+E651*[1]Sheet1!$D$6+[1]Sheet1!$L$6,IF(AND(OR(D651="T. domingensis",D651="T. latifolia"),E651&gt;0),F651*[1]Sheet1!$C$4+E651*[1]Sheet1!$D$4+H651*[1]Sheet1!$J$4+I651*[1]Sheet1!$K$4+[1]Sheet1!$L$4,IF(AND(OR(D651="T. domingensis",D651="T. latifolia"),J651&gt;0),J651*[1]Sheet1!$G$5+K651*[1]Sheet1!$H$5+L651*[1]Sheet1!$I$5+[1]Sheet1!$L$5,0)))))))</f>
        <v>9.0701633364077558</v>
      </c>
      <c r="P651">
        <f t="shared" si="31"/>
        <v>9.0701633364077558</v>
      </c>
      <c r="S651">
        <f t="shared" si="32"/>
        <v>0.7238223359999999</v>
      </c>
    </row>
    <row r="652" spans="1:19">
      <c r="A652" s="7">
        <v>42503</v>
      </c>
      <c r="B652" s="6" t="s">
        <v>22</v>
      </c>
      <c r="C652" s="6">
        <v>22</v>
      </c>
      <c r="D652" s="6" t="s">
        <v>63</v>
      </c>
      <c r="E652">
        <v>213</v>
      </c>
      <c r="F652" s="6">
        <v>1.45</v>
      </c>
      <c r="G652" s="6">
        <v>3</v>
      </c>
      <c r="N652">
        <f t="shared" si="30"/>
        <v>117.24217530624999</v>
      </c>
      <c r="O652">
        <f>IF(AND(OR(D652="S. acutus",D652="S. californicus",D652="S. tabernaemontani"),G652=0),E652*[1]Sheet1!$D$7+[1]Sheet1!$L$7,IF(AND(OR(D652="S. acutus",D652="S. tabernaemontani"),G652&gt;0),E652*[1]Sheet1!$D$8+N652*[1]Sheet1!$E$8,IF(AND(D652="S. californicus",G652&gt;0),E652*[1]Sheet1!$D$9+N652*[1]Sheet1!$E$9,IF(D652="S. maritimus",F652*[1]Sheet1!$C$10+E652*[1]Sheet1!$D$10+G652*[1]Sheet1!$F$10+[1]Sheet1!$L$10,IF(D652="S. americanus",F652*[1]Sheet1!$C$6+E652*[1]Sheet1!$D$6+[1]Sheet1!$L$6,IF(AND(OR(D652="T. domingensis",D652="T. latifolia"),E652&gt;0),F652*[1]Sheet1!$C$4+E652*[1]Sheet1!$D$4+H652*[1]Sheet1!$J$4+I652*[1]Sheet1!$K$4+[1]Sheet1!$L$4,IF(AND(OR(D652="T. domingensis",D652="T. latifolia"),J652&gt;0),J652*[1]Sheet1!$G$5+K652*[1]Sheet1!$H$5+L652*[1]Sheet1!$I$5+[1]Sheet1!$L$5,0)))))))</f>
        <v>11.977315862819026</v>
      </c>
      <c r="P652">
        <f t="shared" si="31"/>
        <v>11.977315862819026</v>
      </c>
      <c r="S652">
        <f t="shared" si="32"/>
        <v>1.6512982437499999</v>
      </c>
    </row>
    <row r="653" spans="1:19">
      <c r="A653" s="7">
        <v>42503</v>
      </c>
      <c r="B653" s="7" t="s">
        <v>22</v>
      </c>
      <c r="C653" s="6">
        <v>22</v>
      </c>
      <c r="D653" s="6" t="s">
        <v>63</v>
      </c>
      <c r="E653">
        <v>220</v>
      </c>
      <c r="F653" s="6">
        <v>1.52</v>
      </c>
      <c r="G653" s="6">
        <v>2</v>
      </c>
      <c r="N653">
        <f t="shared" si="30"/>
        <v>133.06937482666666</v>
      </c>
      <c r="O653">
        <f>IF(AND(OR(D653="S. acutus",D653="S. californicus",D653="S. tabernaemontani"),G653=0),E653*[1]Sheet1!$D$7+[1]Sheet1!$L$7,IF(AND(OR(D653="S. acutus",D653="S. tabernaemontani"),G653&gt;0),E653*[1]Sheet1!$D$8+N653*[1]Sheet1!$E$8,IF(AND(D653="S. californicus",G653&gt;0),E653*[1]Sheet1!$D$9+N653*[1]Sheet1!$E$9,IF(D653="S. maritimus",F653*[1]Sheet1!$C$10+E653*[1]Sheet1!$D$10+G653*[1]Sheet1!$F$10+[1]Sheet1!$L$10,IF(D653="S. americanus",F653*[1]Sheet1!$C$6+E653*[1]Sheet1!$D$6+[1]Sheet1!$L$6,IF(AND(OR(D653="T. domingensis",D653="T. latifolia"),E653&gt;0),F653*[1]Sheet1!$C$4+E653*[1]Sheet1!$D$4+H653*[1]Sheet1!$J$4+I653*[1]Sheet1!$K$4+[1]Sheet1!$L$4,IF(AND(OR(D653="T. domingensis",D653="T. latifolia"),J653&gt;0),J653*[1]Sheet1!$G$5+K653*[1]Sheet1!$H$5+L653*[1]Sheet1!$I$5+[1]Sheet1!$L$5,0)))))))</f>
        <v>12.756515631856011</v>
      </c>
      <c r="P653">
        <f t="shared" si="31"/>
        <v>12.756515631856011</v>
      </c>
      <c r="S653">
        <f t="shared" si="32"/>
        <v>1.8145823839999999</v>
      </c>
    </row>
    <row r="654" spans="1:19">
      <c r="A654" s="7">
        <v>42503</v>
      </c>
      <c r="B654" s="6" t="s">
        <v>22</v>
      </c>
      <c r="C654" s="6">
        <v>22</v>
      </c>
      <c r="D654" s="6" t="s">
        <v>63</v>
      </c>
      <c r="E654">
        <v>88</v>
      </c>
      <c r="F654" s="6">
        <v>1.46</v>
      </c>
      <c r="N654">
        <f t="shared" si="30"/>
        <v>49.108497122666655</v>
      </c>
      <c r="O654">
        <f>IF(AND(OR(D654="S. acutus",D654="S. californicus",D654="S. tabernaemontani"),G654=0),E654*[1]Sheet1!$D$7+[1]Sheet1!$L$7,IF(AND(OR(D654="S. acutus",D654="S. tabernaemontani"),G654&gt;0),E654*[1]Sheet1!$D$8+N654*[1]Sheet1!$E$8,IF(AND(D654="S. californicus",G654&gt;0),E654*[1]Sheet1!$D$9+N654*[1]Sheet1!$E$9,IF(D654="S. maritimus",F654*[1]Sheet1!$C$10+E654*[1]Sheet1!$D$10+G654*[1]Sheet1!$F$10+[1]Sheet1!$L$10,IF(D654="S. americanus",F654*[1]Sheet1!$C$6+E654*[1]Sheet1!$D$6+[1]Sheet1!$L$6,IF(AND(OR(D654="T. domingensis",D654="T. latifolia"),E654&gt;0),F654*[1]Sheet1!$C$4+E654*[1]Sheet1!$D$4+H654*[1]Sheet1!$J$4+I654*[1]Sheet1!$K$4+[1]Sheet1!$L$4,IF(AND(OR(D654="T. domingensis",D654="T. latifolia"),J654&gt;0),J654*[1]Sheet1!$G$5+K654*[1]Sheet1!$H$5+L654*[1]Sheet1!$I$5+[1]Sheet1!$L$5,0)))))))</f>
        <v>1.5786430000000005</v>
      </c>
      <c r="P654">
        <f t="shared" si="31"/>
        <v>1.5786430000000005</v>
      </c>
      <c r="S654">
        <f t="shared" si="32"/>
        <v>1.6741533109999998</v>
      </c>
    </row>
    <row r="655" spans="1:19">
      <c r="A655" s="7">
        <v>42503</v>
      </c>
      <c r="B655" s="6" t="s">
        <v>22</v>
      </c>
      <c r="C655" s="6">
        <v>22</v>
      </c>
      <c r="D655" s="6" t="s">
        <v>63</v>
      </c>
      <c r="E655">
        <v>201</v>
      </c>
      <c r="F655" s="6">
        <v>1.2</v>
      </c>
      <c r="G655" s="6">
        <v>3</v>
      </c>
      <c r="N655">
        <f t="shared" si="30"/>
        <v>75.775150799999992</v>
      </c>
      <c r="O655">
        <f>IF(AND(OR(D655="S. acutus",D655="S. californicus",D655="S. tabernaemontani"),G655=0),E655*[1]Sheet1!$D$7+[1]Sheet1!$L$7,IF(AND(OR(D655="S. acutus",D655="S. tabernaemontani"),G655&gt;0),E655*[1]Sheet1!$D$8+N655*[1]Sheet1!$E$8,IF(AND(D655="S. californicus",G655&gt;0),E655*[1]Sheet1!$D$9+N655*[1]Sheet1!$E$9,IF(D655="S. maritimus",F655*[1]Sheet1!$C$10+E655*[1]Sheet1!$D$10+G655*[1]Sheet1!$F$10+[1]Sheet1!$L$10,IF(D655="S. americanus",F655*[1]Sheet1!$C$6+E655*[1]Sheet1!$D$6+[1]Sheet1!$L$6,IF(AND(OR(D655="T. domingensis",D655="T. latifolia"),E655&gt;0),F655*[1]Sheet1!$C$4+E655*[1]Sheet1!$D$4+H655*[1]Sheet1!$J$4+I655*[1]Sheet1!$K$4+[1]Sheet1!$L$4,IF(AND(OR(D655="T. domingensis",D655="T. latifolia"),J655&gt;0),J655*[1]Sheet1!$G$5+K655*[1]Sheet1!$H$5+L655*[1]Sheet1!$I$5+[1]Sheet1!$L$5,0)))))))</f>
        <v>10.179955153395721</v>
      </c>
      <c r="P655">
        <f t="shared" si="31"/>
        <v>10.179955153395721</v>
      </c>
      <c r="S655">
        <f t="shared" si="32"/>
        <v>1.1309723999999999</v>
      </c>
    </row>
    <row r="656" spans="1:19">
      <c r="A656" s="7">
        <v>42503</v>
      </c>
      <c r="B656" s="6" t="s">
        <v>22</v>
      </c>
      <c r="C656" s="6">
        <v>22</v>
      </c>
      <c r="D656" s="6" t="s">
        <v>63</v>
      </c>
      <c r="E656">
        <v>208</v>
      </c>
      <c r="F656" s="6">
        <v>1.07</v>
      </c>
      <c r="G656" s="6">
        <v>3</v>
      </c>
      <c r="N656">
        <f t="shared" si="30"/>
        <v>62.344644110666657</v>
      </c>
      <c r="O656">
        <f>IF(AND(OR(D656="S. acutus",D656="S. californicus",D656="S. tabernaemontani"),G656=0),E656*[1]Sheet1!$D$7+[1]Sheet1!$L$7,IF(AND(OR(D656="S. acutus",D656="S. tabernaemontani"),G656&gt;0),E656*[1]Sheet1!$D$8+N656*[1]Sheet1!$E$8,IF(AND(D656="S. californicus",G656&gt;0),E656*[1]Sheet1!$D$9+N656*[1]Sheet1!$E$9,IF(D656="S. maritimus",F656*[1]Sheet1!$C$10+E656*[1]Sheet1!$D$10+G656*[1]Sheet1!$F$10+[1]Sheet1!$L$10,IF(D656="S. americanus",F656*[1]Sheet1!$C$6+E656*[1]Sheet1!$D$6+[1]Sheet1!$L$6,IF(AND(OR(D656="T. domingensis",D656="T. latifolia"),E656&gt;0),F656*[1]Sheet1!$C$4+E656*[1]Sheet1!$D$4+H656*[1]Sheet1!$J$4+I656*[1]Sheet1!$K$4+[1]Sheet1!$L$4,IF(AND(OR(D656="T. domingensis",D656="T. latifolia"),J656&gt;0),J656*[1]Sheet1!$G$5+K656*[1]Sheet1!$H$5+L656*[1]Sheet1!$I$5+[1]Sheet1!$L$5,0)))))))</f>
        <v>10.017030450543166</v>
      </c>
      <c r="P656">
        <f t="shared" si="31"/>
        <v>10.017030450543166</v>
      </c>
      <c r="S656">
        <f t="shared" si="32"/>
        <v>0.89920159774999997</v>
      </c>
    </row>
    <row r="657" spans="1:19">
      <c r="A657" s="7">
        <v>42503</v>
      </c>
      <c r="B657" s="6" t="s">
        <v>22</v>
      </c>
      <c r="C657" s="6">
        <v>22</v>
      </c>
      <c r="D657" s="6" t="s">
        <v>63</v>
      </c>
      <c r="E657">
        <v>80</v>
      </c>
      <c r="F657" s="6">
        <v>0.7</v>
      </c>
      <c r="G657" s="6">
        <v>2</v>
      </c>
      <c r="N657">
        <f t="shared" si="30"/>
        <v>10.262527333333331</v>
      </c>
      <c r="O657">
        <f>IF(AND(OR(D657="S. acutus",D657="S. californicus",D657="S. tabernaemontani"),G657=0),E657*[1]Sheet1!$D$7+[1]Sheet1!$L$7,IF(AND(OR(D657="S. acutus",D657="S. tabernaemontani"),G657&gt;0),E657*[1]Sheet1!$D$8+N657*[1]Sheet1!$E$8,IF(AND(D657="S. californicus",G657&gt;0),E657*[1]Sheet1!$D$9+N657*[1]Sheet1!$E$9,IF(D657="S. maritimus",F657*[1]Sheet1!$C$10+E657*[1]Sheet1!$D$10+G657*[1]Sheet1!$F$10+[1]Sheet1!$L$10,IF(D657="S. americanus",F657*[1]Sheet1!$C$6+E657*[1]Sheet1!$D$6+[1]Sheet1!$L$6,IF(AND(OR(D657="T. domingensis",D657="T. latifolia"),E657&gt;0),F657*[1]Sheet1!$C$4+E657*[1]Sheet1!$D$4+H657*[1]Sheet1!$J$4+I657*[1]Sheet1!$K$4+[1]Sheet1!$L$4,IF(AND(OR(D657="T. domingensis",D657="T. latifolia"),J657&gt;0),J657*[1]Sheet1!$G$5+K657*[1]Sheet1!$H$5+L657*[1]Sheet1!$I$5+[1]Sheet1!$L$5,0)))))))</f>
        <v>3.4110306164079338</v>
      </c>
      <c r="P657">
        <f t="shared" si="31"/>
        <v>3.4110306164079338</v>
      </c>
      <c r="S657">
        <f t="shared" si="32"/>
        <v>0.38484477499999992</v>
      </c>
    </row>
    <row r="658" spans="1:19">
      <c r="A658" s="7">
        <v>42503</v>
      </c>
      <c r="B658" s="6" t="s">
        <v>22</v>
      </c>
      <c r="C658" s="6">
        <v>22</v>
      </c>
      <c r="D658" s="6" t="s">
        <v>63</v>
      </c>
      <c r="E658">
        <v>187</v>
      </c>
      <c r="F658" s="6">
        <v>0.92</v>
      </c>
      <c r="G658" s="6">
        <v>1</v>
      </c>
      <c r="N658">
        <f t="shared" si="30"/>
        <v>41.436734342666668</v>
      </c>
      <c r="O658">
        <f>IF(AND(OR(D658="S. acutus",D658="S. californicus",D658="S. tabernaemontani"),G658=0),E658*[1]Sheet1!$D$7+[1]Sheet1!$L$7,IF(AND(OR(D658="S. acutus",D658="S. tabernaemontani"),G658&gt;0),E658*[1]Sheet1!$D$8+N658*[1]Sheet1!$E$8,IF(AND(D658="S. californicus",G658&gt;0),E658*[1]Sheet1!$D$9+N658*[1]Sheet1!$E$9,IF(D658="S. maritimus",F658*[1]Sheet1!$C$10+E658*[1]Sheet1!$D$10+G658*[1]Sheet1!$F$10+[1]Sheet1!$L$10,IF(D658="S. americanus",F658*[1]Sheet1!$C$6+E658*[1]Sheet1!$D$6+[1]Sheet1!$L$6,IF(AND(OR(D658="T. domingensis",D658="T. latifolia"),E658&gt;0),F658*[1]Sheet1!$C$4+E658*[1]Sheet1!$D$4+H658*[1]Sheet1!$J$4+I658*[1]Sheet1!$K$4+[1]Sheet1!$L$4,IF(AND(OR(D658="T. domingensis",D658="T. latifolia"),J658&gt;0),J658*[1]Sheet1!$G$5+K658*[1]Sheet1!$H$5+L658*[1]Sheet1!$I$5+[1]Sheet1!$L$5,0)))))))</f>
        <v>8.5351278388947751</v>
      </c>
      <c r="P658">
        <f t="shared" si="31"/>
        <v>8.5351278388947751</v>
      </c>
      <c r="S658">
        <f t="shared" si="32"/>
        <v>0.66476044400000001</v>
      </c>
    </row>
    <row r="659" spans="1:19">
      <c r="A659" s="7">
        <v>42503</v>
      </c>
      <c r="B659" s="6" t="s">
        <v>22</v>
      </c>
      <c r="C659" s="6">
        <v>22</v>
      </c>
      <c r="D659" s="6" t="s">
        <v>61</v>
      </c>
      <c r="F659" s="6">
        <v>5</v>
      </c>
      <c r="J659">
        <f>185+201+203+234+236+255+266+270+286+296+300</f>
        <v>2732</v>
      </c>
      <c r="K659">
        <v>11</v>
      </c>
      <c r="L659">
        <v>300</v>
      </c>
      <c r="N659" t="str">
        <f t="shared" si="30"/>
        <v>NA</v>
      </c>
      <c r="O659">
        <f>IF(AND(OR(D659="S. acutus",D659="S. californicus",D659="S. tabernaemontani"),G659=0),E659*[1]Sheet1!$D$7+[1]Sheet1!$L$7,IF(AND(OR(D659="S. acutus",D659="S. tabernaemontani"),G659&gt;0),E659*[1]Sheet1!$D$8+N659*[1]Sheet1!$E$8,IF(AND(D659="S. californicus",G659&gt;0),E659*[1]Sheet1!$D$9+N659*[1]Sheet1!$E$9,IF(D659="S. maritimus",F659*[1]Sheet1!$C$10+E659*[1]Sheet1!$D$10+G659*[1]Sheet1!$F$10+[1]Sheet1!$L$10,IF(D659="S. americanus",F659*[1]Sheet1!$C$6+E659*[1]Sheet1!$D$6+[1]Sheet1!$L$6,IF(AND(OR(D659="T. domingensis",D659="T. latifolia"),E659&gt;0),F659*[1]Sheet1!$C$4+E659*[1]Sheet1!$D$4+H659*[1]Sheet1!$J$4+I659*[1]Sheet1!$K$4+[1]Sheet1!$L$4,IF(AND(OR(D659="T. domingensis",D659="T. latifolia"),J659&gt;0),J659*[1]Sheet1!$G$5+K659*[1]Sheet1!$H$5+L659*[1]Sheet1!$I$5+[1]Sheet1!$L$5,0)))))))</f>
        <v>121.55626100000003</v>
      </c>
      <c r="P659">
        <f t="shared" si="31"/>
        <v>121.55626100000003</v>
      </c>
      <c r="S659">
        <f t="shared" si="32"/>
        <v>19.634937499999999</v>
      </c>
    </row>
    <row r="660" spans="1:19">
      <c r="A660" s="7">
        <v>42503</v>
      </c>
      <c r="B660" s="6" t="s">
        <v>22</v>
      </c>
      <c r="C660" s="6">
        <v>20</v>
      </c>
      <c r="D660" s="6" t="s">
        <v>61</v>
      </c>
      <c r="F660" s="6">
        <v>3</v>
      </c>
      <c r="J660">
        <f>68+127+148+167+176+179+188</f>
        <v>1053</v>
      </c>
      <c r="K660">
        <v>7</v>
      </c>
      <c r="L660">
        <v>188</v>
      </c>
      <c r="N660" t="str">
        <f t="shared" si="30"/>
        <v>NA</v>
      </c>
      <c r="O660">
        <f>IF(AND(OR(D660="S. acutus",D660="S. californicus",D660="S. tabernaemontani"),G660=0),E660*[1]Sheet1!$D$7+[1]Sheet1!$L$7,IF(AND(OR(D660="S. acutus",D660="S. tabernaemontani"),G660&gt;0),E660*[1]Sheet1!$D$8+N660*[1]Sheet1!$E$8,IF(AND(D660="S. californicus",G660&gt;0),E660*[1]Sheet1!$D$9+N660*[1]Sheet1!$E$9,IF(D660="S. maritimus",F660*[1]Sheet1!$C$10+E660*[1]Sheet1!$D$10+G660*[1]Sheet1!$F$10+[1]Sheet1!$L$10,IF(D660="S. americanus",F660*[1]Sheet1!$C$6+E660*[1]Sheet1!$D$6+[1]Sheet1!$L$6,IF(AND(OR(D660="T. domingensis",D660="T. latifolia"),E660&gt;0),F660*[1]Sheet1!$C$4+E660*[1]Sheet1!$D$4+H660*[1]Sheet1!$J$4+I660*[1]Sheet1!$K$4+[1]Sheet1!$L$4,IF(AND(OR(D660="T. domingensis",D660="T. latifolia"),J660&gt;0),J660*[1]Sheet1!$G$5+K660*[1]Sheet1!$H$5+L660*[1]Sheet1!$I$5+[1]Sheet1!$L$5,0)))))))</f>
        <v>25.970468000000011</v>
      </c>
      <c r="P660">
        <f t="shared" si="31"/>
        <v>25.970468000000011</v>
      </c>
      <c r="S660">
        <f t="shared" si="32"/>
        <v>7.0685775</v>
      </c>
    </row>
    <row r="661" spans="1:19">
      <c r="A661" s="7">
        <v>42503</v>
      </c>
      <c r="B661" s="6" t="s">
        <v>22</v>
      </c>
      <c r="C661" s="6">
        <v>20</v>
      </c>
      <c r="D661" s="6" t="s">
        <v>61</v>
      </c>
      <c r="F661" s="6">
        <v>0.71</v>
      </c>
      <c r="J661">
        <v>40</v>
      </c>
      <c r="K661">
        <v>1</v>
      </c>
      <c r="L661">
        <v>40</v>
      </c>
      <c r="N661" t="str">
        <f t="shared" si="30"/>
        <v>NA</v>
      </c>
      <c r="O661">
        <f>IF(AND(OR(D661="S. acutus",D661="S. californicus",D661="S. tabernaemontani"),G661=0),E661*[1]Sheet1!$D$7+[1]Sheet1!$L$7,IF(AND(OR(D661="S. acutus",D661="S. tabernaemontani"),G661&gt;0),E661*[1]Sheet1!$D$8+N661*[1]Sheet1!$E$8,IF(AND(D661="S. californicus",G661&gt;0),E661*[1]Sheet1!$D$9+N661*[1]Sheet1!$E$9,IF(D661="S. maritimus",F661*[1]Sheet1!$C$10+E661*[1]Sheet1!$D$10+G661*[1]Sheet1!$F$10+[1]Sheet1!$L$10,IF(D661="S. americanus",F661*[1]Sheet1!$C$6+E661*[1]Sheet1!$D$6+[1]Sheet1!$L$6,IF(AND(OR(D661="T. domingensis",D661="T. latifolia"),E661&gt;0),F661*[1]Sheet1!$C$4+E661*[1]Sheet1!$D$4+H661*[1]Sheet1!$J$4+I661*[1]Sheet1!$K$4+[1]Sheet1!$L$4,IF(AND(OR(D661="T. domingensis",D661="T. latifolia"),J661&gt;0),J661*[1]Sheet1!$G$5+K661*[1]Sheet1!$H$5+L661*[1]Sheet1!$I$5+[1]Sheet1!$L$5,0)))))))</f>
        <v>17.715030999999996</v>
      </c>
      <c r="P661">
        <f t="shared" si="31"/>
        <v>17.715030999999996</v>
      </c>
      <c r="S661">
        <f t="shared" si="32"/>
        <v>0.39591887974999995</v>
      </c>
    </row>
    <row r="662" spans="1:19">
      <c r="A662" s="7">
        <v>42503</v>
      </c>
      <c r="B662" s="6" t="s">
        <v>22</v>
      </c>
      <c r="C662" s="6">
        <v>20</v>
      </c>
      <c r="D662" s="6" t="s">
        <v>61</v>
      </c>
      <c r="F662" s="6">
        <v>0.38</v>
      </c>
      <c r="J662">
        <v>40</v>
      </c>
      <c r="K662">
        <v>1</v>
      </c>
      <c r="L662">
        <v>40</v>
      </c>
      <c r="N662" t="str">
        <f t="shared" si="30"/>
        <v>NA</v>
      </c>
      <c r="O662">
        <f>IF(AND(OR(D662="S. acutus",D662="S. californicus",D662="S. tabernaemontani"),G662=0),E662*[1]Sheet1!$D$7+[1]Sheet1!$L$7,IF(AND(OR(D662="S. acutus",D662="S. tabernaemontani"),G662&gt;0),E662*[1]Sheet1!$D$8+N662*[1]Sheet1!$E$8,IF(AND(D662="S. californicus",G662&gt;0),E662*[1]Sheet1!$D$9+N662*[1]Sheet1!$E$9,IF(D662="S. maritimus",F662*[1]Sheet1!$C$10+E662*[1]Sheet1!$D$10+G662*[1]Sheet1!$F$10+[1]Sheet1!$L$10,IF(D662="S. americanus",F662*[1]Sheet1!$C$6+E662*[1]Sheet1!$D$6+[1]Sheet1!$L$6,IF(AND(OR(D662="T. domingensis",D662="T. latifolia"),E662&gt;0),F662*[1]Sheet1!$C$4+E662*[1]Sheet1!$D$4+H662*[1]Sheet1!$J$4+I662*[1]Sheet1!$K$4+[1]Sheet1!$L$4,IF(AND(OR(D662="T. domingensis",D662="T. latifolia"),J662&gt;0),J662*[1]Sheet1!$G$5+K662*[1]Sheet1!$H$5+L662*[1]Sheet1!$I$5+[1]Sheet1!$L$5,0)))))))</f>
        <v>17.715030999999996</v>
      </c>
      <c r="P662">
        <f t="shared" si="31"/>
        <v>17.715030999999996</v>
      </c>
      <c r="S662">
        <f t="shared" si="32"/>
        <v>0.113411399</v>
      </c>
    </row>
    <row r="663" spans="1:19">
      <c r="A663" s="7">
        <v>42503</v>
      </c>
      <c r="B663" s="6" t="s">
        <v>22</v>
      </c>
      <c r="C663" s="6">
        <v>20</v>
      </c>
      <c r="D663" s="6" t="s">
        <v>61</v>
      </c>
      <c r="F663" s="6">
        <v>0.75</v>
      </c>
      <c r="J663">
        <f>85+92+148+136+173</f>
        <v>634</v>
      </c>
      <c r="K663">
        <v>5</v>
      </c>
      <c r="L663">
        <v>173</v>
      </c>
      <c r="N663" t="str">
        <f t="shared" si="30"/>
        <v>NA</v>
      </c>
      <c r="O663">
        <f>IF(AND(OR(D663="S. acutus",D663="S. californicus",D663="S. tabernaemontani"),G663=0),E663*[1]Sheet1!$D$7+[1]Sheet1!$L$7,IF(AND(OR(D663="S. acutus",D663="S. tabernaemontani"),G663&gt;0),E663*[1]Sheet1!$D$8+N663*[1]Sheet1!$E$8,IF(AND(D663="S. californicus",G663&gt;0),E663*[1]Sheet1!$D$9+N663*[1]Sheet1!$E$9,IF(D663="S. maritimus",F663*[1]Sheet1!$C$10+E663*[1]Sheet1!$D$10+G663*[1]Sheet1!$F$10+[1]Sheet1!$L$10,IF(D663="S. americanus",F663*[1]Sheet1!$C$6+E663*[1]Sheet1!$D$6+[1]Sheet1!$L$6,IF(AND(OR(D663="T. domingensis",D663="T. latifolia"),E663&gt;0),F663*[1]Sheet1!$C$4+E663*[1]Sheet1!$D$4+H663*[1]Sheet1!$J$4+I663*[1]Sheet1!$K$4+[1]Sheet1!$L$4,IF(AND(OR(D663="T. domingensis",D663="T. latifolia"),J663&gt;0),J663*[1]Sheet1!$G$5+K663*[1]Sheet1!$H$5+L663*[1]Sheet1!$I$5+[1]Sheet1!$L$5,0)))))))</f>
        <v>5.2505040000000065</v>
      </c>
      <c r="P663">
        <f t="shared" si="31"/>
        <v>5.2505040000000065</v>
      </c>
      <c r="S663">
        <f t="shared" si="32"/>
        <v>0.44178609375</v>
      </c>
    </row>
    <row r="664" spans="1:19">
      <c r="A664" s="7">
        <v>42503</v>
      </c>
      <c r="B664" s="6" t="s">
        <v>22</v>
      </c>
      <c r="C664" s="6">
        <v>20</v>
      </c>
      <c r="D664" s="6" t="s">
        <v>61</v>
      </c>
      <c r="F664" s="6">
        <v>1.08</v>
      </c>
      <c r="J664">
        <f>60+63</f>
        <v>123</v>
      </c>
      <c r="K664">
        <v>2</v>
      </c>
      <c r="L664">
        <v>63</v>
      </c>
      <c r="N664" t="str">
        <f t="shared" si="30"/>
        <v>NA</v>
      </c>
      <c r="O664">
        <f>IF(AND(OR(D664="S. acutus",D664="S. californicus",D664="S. tabernaemontani"),G664=0),E664*[1]Sheet1!$D$7+[1]Sheet1!$L$7,IF(AND(OR(D664="S. acutus",D664="S. tabernaemontani"),G664&gt;0),E664*[1]Sheet1!$D$8+N664*[1]Sheet1!$E$8,IF(AND(D664="S. californicus",G664&gt;0),E664*[1]Sheet1!$D$9+N664*[1]Sheet1!$E$9,IF(D664="S. maritimus",F664*[1]Sheet1!$C$10+E664*[1]Sheet1!$D$10+G664*[1]Sheet1!$F$10+[1]Sheet1!$L$10,IF(D664="S. americanus",F664*[1]Sheet1!$C$6+E664*[1]Sheet1!$D$6+[1]Sheet1!$L$6,IF(AND(OR(D664="T. domingensis",D664="T. latifolia"),E664&gt;0),F664*[1]Sheet1!$C$4+E664*[1]Sheet1!$D$4+H664*[1]Sheet1!$J$4+I664*[1]Sheet1!$K$4+[1]Sheet1!$L$4,IF(AND(OR(D664="T. domingensis",D664="T. latifolia"),J664&gt;0),J664*[1]Sheet1!$G$5+K664*[1]Sheet1!$H$5+L664*[1]Sheet1!$I$5+[1]Sheet1!$L$5,0)))))))</f>
        <v>11.545707999999998</v>
      </c>
      <c r="P664">
        <f t="shared" si="31"/>
        <v>11.545707999999998</v>
      </c>
      <c r="S664">
        <f t="shared" si="32"/>
        <v>0.91608764400000009</v>
      </c>
    </row>
    <row r="665" spans="1:19">
      <c r="A665" s="7">
        <v>42503</v>
      </c>
      <c r="B665" s="6" t="s">
        <v>22</v>
      </c>
      <c r="C665" s="6">
        <v>20</v>
      </c>
      <c r="D665" s="6" t="s">
        <v>61</v>
      </c>
      <c r="F665" s="6">
        <v>3.35</v>
      </c>
      <c r="J665">
        <f>67+100+131+142+152+154+169+175+97</f>
        <v>1187</v>
      </c>
      <c r="K665">
        <v>9</v>
      </c>
      <c r="L665">
        <v>169</v>
      </c>
      <c r="N665" t="str">
        <f t="shared" si="30"/>
        <v>NA</v>
      </c>
      <c r="O665">
        <f>IF(AND(OR(D665="S. acutus",D665="S. californicus",D665="S. tabernaemontani"),G665=0),E665*[1]Sheet1!$D$7+[1]Sheet1!$L$7,IF(AND(OR(D665="S. acutus",D665="S. tabernaemontani"),G665&gt;0),E665*[1]Sheet1!$D$8+N665*[1]Sheet1!$E$8,IF(AND(D665="S. californicus",G665&gt;0),E665*[1]Sheet1!$D$9+N665*[1]Sheet1!$E$9,IF(D665="S. maritimus",F665*[1]Sheet1!$C$10+E665*[1]Sheet1!$D$10+G665*[1]Sheet1!$F$10+[1]Sheet1!$L$10,IF(D665="S. americanus",F665*[1]Sheet1!$C$6+E665*[1]Sheet1!$D$6+[1]Sheet1!$L$6,IF(AND(OR(D665="T. domingensis",D665="T. latifolia"),E665&gt;0),F665*[1]Sheet1!$C$4+E665*[1]Sheet1!$D$4+H665*[1]Sheet1!$J$4+I665*[1]Sheet1!$K$4+[1]Sheet1!$L$4,IF(AND(OR(D665="T. domingensis",D665="T. latifolia"),J665&gt;0),J665*[1]Sheet1!$G$5+K665*[1]Sheet1!$H$5+L665*[1]Sheet1!$I$5+[1]Sheet1!$L$5,0)))))))</f>
        <v>30.212587000000006</v>
      </c>
      <c r="P665">
        <f t="shared" si="31"/>
        <v>30.212587000000006</v>
      </c>
      <c r="S665">
        <f t="shared" si="32"/>
        <v>8.8141234437499989</v>
      </c>
    </row>
    <row r="666" spans="1:19">
      <c r="A666" s="7">
        <v>42503</v>
      </c>
      <c r="B666" s="6" t="s">
        <v>22</v>
      </c>
      <c r="C666" s="6">
        <v>20</v>
      </c>
      <c r="D666" s="6" t="s">
        <v>61</v>
      </c>
      <c r="F666" s="6">
        <v>1.62</v>
      </c>
      <c r="J666">
        <f>50+107+143+159+180+191</f>
        <v>830</v>
      </c>
      <c r="K666">
        <v>6</v>
      </c>
      <c r="L666">
        <v>191</v>
      </c>
      <c r="N666" t="str">
        <f t="shared" si="30"/>
        <v>NA</v>
      </c>
      <c r="O666">
        <f>IF(AND(OR(D666="S. acutus",D666="S. californicus",D666="S. tabernaemontani"),G666=0),E666*[1]Sheet1!$D$7+[1]Sheet1!$L$7,IF(AND(OR(D666="S. acutus",D666="S. tabernaemontani"),G666&gt;0),E666*[1]Sheet1!$D$8+N666*[1]Sheet1!$E$8,IF(AND(D666="S. californicus",G666&gt;0),E666*[1]Sheet1!$D$9+N666*[1]Sheet1!$E$9,IF(D666="S. maritimus",F666*[1]Sheet1!$C$10+E666*[1]Sheet1!$D$10+G666*[1]Sheet1!$F$10+[1]Sheet1!$L$10,IF(D666="S. americanus",F666*[1]Sheet1!$C$6+E666*[1]Sheet1!$D$6+[1]Sheet1!$L$6,IF(AND(OR(D666="T. domingensis",D666="T. latifolia"),E666&gt;0),F666*[1]Sheet1!$C$4+E666*[1]Sheet1!$D$4+H666*[1]Sheet1!$J$4+I666*[1]Sheet1!$K$4+[1]Sheet1!$L$4,IF(AND(OR(D666="T. domingensis",D666="T. latifolia"),J666&gt;0),J666*[1]Sheet1!$G$5+K666*[1]Sheet1!$H$5+L666*[1]Sheet1!$I$5+[1]Sheet1!$L$5,0)))))))</f>
        <v>11.18172100000001</v>
      </c>
      <c r="P666">
        <f t="shared" si="31"/>
        <v>11.18172100000001</v>
      </c>
      <c r="S666">
        <f t="shared" si="32"/>
        <v>2.0611971990000004</v>
      </c>
    </row>
    <row r="667" spans="1:19">
      <c r="A667" s="7">
        <v>42503</v>
      </c>
      <c r="B667" s="6" t="s">
        <v>22</v>
      </c>
      <c r="C667" s="6">
        <v>20</v>
      </c>
      <c r="D667" s="6" t="s">
        <v>61</v>
      </c>
      <c r="F667" s="6">
        <v>0.75</v>
      </c>
      <c r="J667">
        <f>29+57+86+100</f>
        <v>272</v>
      </c>
      <c r="K667">
        <v>4</v>
      </c>
      <c r="L667">
        <v>100</v>
      </c>
      <c r="N667" t="str">
        <f t="shared" si="30"/>
        <v>NA</v>
      </c>
      <c r="O667">
        <f>IF(AND(OR(D667="S. acutus",D667="S. californicus",D667="S. tabernaemontani"),G667=0),E667*[1]Sheet1!$D$7+[1]Sheet1!$L$7,IF(AND(OR(D667="S. acutus",D667="S. tabernaemontani"),G667&gt;0),E667*[1]Sheet1!$D$8+N667*[1]Sheet1!$E$8,IF(AND(D667="S. californicus",G667&gt;0),E667*[1]Sheet1!$D$9+N667*[1]Sheet1!$E$9,IF(D667="S. maritimus",F667*[1]Sheet1!$C$10+E667*[1]Sheet1!$D$10+G667*[1]Sheet1!$F$10+[1]Sheet1!$L$10,IF(D667="S. americanus",F667*[1]Sheet1!$C$6+E667*[1]Sheet1!$D$6+[1]Sheet1!$L$6,IF(AND(OR(D667="T. domingensis",D667="T. latifolia"),E667&gt;0),F667*[1]Sheet1!$C$4+E667*[1]Sheet1!$D$4+H667*[1]Sheet1!$J$4+I667*[1]Sheet1!$K$4+[1]Sheet1!$L$4,IF(AND(OR(D667="T. domingensis",D667="T. latifolia"),J667&gt;0),J667*[1]Sheet1!$G$5+K667*[1]Sheet1!$H$5+L667*[1]Sheet1!$I$5+[1]Sheet1!$L$5,0)))))))</f>
        <v>0.32443200000000161</v>
      </c>
      <c r="P667">
        <f t="shared" si="31"/>
        <v>0.32443200000000161</v>
      </c>
      <c r="S667">
        <f t="shared" si="32"/>
        <v>0.44178609375</v>
      </c>
    </row>
    <row r="668" spans="1:19">
      <c r="A668" s="7">
        <v>42503</v>
      </c>
      <c r="B668" s="6" t="s">
        <v>22</v>
      </c>
      <c r="C668" s="6">
        <v>20</v>
      </c>
      <c r="D668" s="6" t="s">
        <v>61</v>
      </c>
      <c r="F668" s="6">
        <v>1.1200000000000001</v>
      </c>
      <c r="J668">
        <f>91+138+148</f>
        <v>377</v>
      </c>
      <c r="K668">
        <v>3</v>
      </c>
      <c r="L668">
        <v>148</v>
      </c>
      <c r="N668" t="str">
        <f t="shared" si="30"/>
        <v>NA</v>
      </c>
      <c r="O668">
        <f>IF(AND(OR(D668="S. acutus",D668="S. californicus",D668="S. tabernaemontani"),G668=0),E668*[1]Sheet1!$D$7+[1]Sheet1!$L$7,IF(AND(OR(D668="S. acutus",D668="S. tabernaemontani"),G668&gt;0),E668*[1]Sheet1!$D$8+N668*[1]Sheet1!$E$8,IF(AND(D668="S. californicus",G668&gt;0),E668*[1]Sheet1!$D$9+N668*[1]Sheet1!$E$9,IF(D668="S. maritimus",F668*[1]Sheet1!$C$10+E668*[1]Sheet1!$D$10+G668*[1]Sheet1!$F$10+[1]Sheet1!$L$10,IF(D668="S. americanus",F668*[1]Sheet1!$C$6+E668*[1]Sheet1!$D$6+[1]Sheet1!$L$6,IF(AND(OR(D668="T. domingensis",D668="T. latifolia"),E668&gt;0),F668*[1]Sheet1!$C$4+E668*[1]Sheet1!$D$4+H668*[1]Sheet1!$J$4+I668*[1]Sheet1!$K$4+[1]Sheet1!$L$4,IF(AND(OR(D668="T. domingensis",D668="T. latifolia"),J668&gt;0),J668*[1]Sheet1!$G$5+K668*[1]Sheet1!$H$5+L668*[1]Sheet1!$I$5+[1]Sheet1!$L$5,0)))))))</f>
        <v>2.7312999999999974</v>
      </c>
      <c r="P668">
        <f t="shared" si="31"/>
        <v>2.7312999999999974</v>
      </c>
      <c r="S668">
        <f t="shared" si="32"/>
        <v>0.98520262400000014</v>
      </c>
    </row>
    <row r="669" spans="1:19">
      <c r="A669" s="7">
        <v>42503</v>
      </c>
      <c r="B669" s="6" t="s">
        <v>23</v>
      </c>
      <c r="C669" s="6">
        <v>37</v>
      </c>
      <c r="D669" s="6" t="s">
        <v>61</v>
      </c>
      <c r="F669" s="6">
        <v>2.73</v>
      </c>
      <c r="J669">
        <f>75+145+172+210+244+270+286</f>
        <v>1402</v>
      </c>
      <c r="K669">
        <v>7</v>
      </c>
      <c r="L669">
        <v>286</v>
      </c>
      <c r="N669" t="str">
        <f t="shared" si="30"/>
        <v>NA</v>
      </c>
      <c r="O669">
        <f>IF(AND(OR(D669="S. acutus",D669="S. californicus",D669="S. tabernaemontani"),G669=0),E669*[1]Sheet1!$D$7+[1]Sheet1!$L$7,IF(AND(OR(D669="S. acutus",D669="S. tabernaemontani"),G669&gt;0),E669*[1]Sheet1!$D$8+N669*[1]Sheet1!$E$8,IF(AND(D669="S. californicus",G669&gt;0),E669*[1]Sheet1!$D$9+N669*[1]Sheet1!$E$9,IF(D669="S. maritimus",F669*[1]Sheet1!$C$10+E669*[1]Sheet1!$D$10+G669*[1]Sheet1!$F$10+[1]Sheet1!$L$10,IF(D669="S. americanus",F669*[1]Sheet1!$C$6+E669*[1]Sheet1!$D$6+[1]Sheet1!$L$6,IF(AND(OR(D669="T. domingensis",D669="T. latifolia"),E669&gt;0),F669*[1]Sheet1!$C$4+E669*[1]Sheet1!$D$4+H669*[1]Sheet1!$J$4+I669*[1]Sheet1!$K$4+[1]Sheet1!$L$4,IF(AND(OR(D669="T. domingensis",D669="T. latifolia"),J669&gt;0),J669*[1]Sheet1!$G$5+K669*[1]Sheet1!$H$5+L669*[1]Sheet1!$I$5+[1]Sheet1!$L$5,0)))))))</f>
        <v>29.168953000000009</v>
      </c>
      <c r="P669">
        <f t="shared" si="31"/>
        <v>29.168953000000009</v>
      </c>
      <c r="S669">
        <f t="shared" si="32"/>
        <v>5.8534890277499994</v>
      </c>
    </row>
    <row r="670" spans="1:19">
      <c r="A670" s="7">
        <v>42503</v>
      </c>
      <c r="B670" s="6" t="s">
        <v>23</v>
      </c>
      <c r="C670" s="6">
        <v>37</v>
      </c>
      <c r="D670" s="6" t="s">
        <v>61</v>
      </c>
      <c r="F670" s="6">
        <v>2.15</v>
      </c>
      <c r="J670">
        <f>61+117+150+204+210+245</f>
        <v>987</v>
      </c>
      <c r="K670">
        <v>6</v>
      </c>
      <c r="L670">
        <v>245</v>
      </c>
      <c r="N670" t="str">
        <f t="shared" si="30"/>
        <v>NA</v>
      </c>
      <c r="O670">
        <f>IF(AND(OR(D670="S. acutus",D670="S. californicus",D670="S. tabernaemontani"),G670=0),E670*[1]Sheet1!$D$7+[1]Sheet1!$L$7,IF(AND(OR(D670="S. acutus",D670="S. tabernaemontani"),G670&gt;0),E670*[1]Sheet1!$D$8+N670*[1]Sheet1!$E$8,IF(AND(D670="S. californicus",G670&gt;0),E670*[1]Sheet1!$D$9+N670*[1]Sheet1!$E$9,IF(D670="S. maritimus",F670*[1]Sheet1!$C$10+E670*[1]Sheet1!$D$10+G670*[1]Sheet1!$F$10+[1]Sheet1!$L$10,IF(D670="S. americanus",F670*[1]Sheet1!$C$6+E670*[1]Sheet1!$D$6+[1]Sheet1!$L$6,IF(AND(OR(D670="T. domingensis",D670="T. latifolia"),E670&gt;0),F670*[1]Sheet1!$C$4+E670*[1]Sheet1!$D$4+H670*[1]Sheet1!$J$4+I670*[1]Sheet1!$K$4+[1]Sheet1!$L$4,IF(AND(OR(D670="T. domingensis",D670="T. latifolia"),J670&gt;0),J670*[1]Sheet1!$G$5+K670*[1]Sheet1!$H$5+L670*[1]Sheet1!$I$5+[1]Sheet1!$L$5,0)))))))</f>
        <v>9.6340259999999986</v>
      </c>
      <c r="P670">
        <f t="shared" si="31"/>
        <v>9.6340259999999986</v>
      </c>
      <c r="S670">
        <f t="shared" si="32"/>
        <v>3.6304999437499994</v>
      </c>
    </row>
    <row r="671" spans="1:19">
      <c r="A671" s="7">
        <v>42503</v>
      </c>
      <c r="B671" s="6" t="s">
        <v>23</v>
      </c>
      <c r="C671" s="6">
        <v>37</v>
      </c>
      <c r="D671" s="6" t="s">
        <v>61</v>
      </c>
      <c r="F671" s="6">
        <v>3.03</v>
      </c>
      <c r="J671">
        <f>88+141+210+260+279</f>
        <v>978</v>
      </c>
      <c r="K671">
        <v>5</v>
      </c>
      <c r="L671">
        <v>279</v>
      </c>
      <c r="N671" t="str">
        <f t="shared" si="30"/>
        <v>NA</v>
      </c>
      <c r="O671">
        <f>IF(AND(OR(D671="S. acutus",D671="S. californicus",D671="S. tabernaemontani"),G671=0),E671*[1]Sheet1!$D$7+[1]Sheet1!$L$7,IF(AND(OR(D671="S. acutus",D671="S. tabernaemontani"),G671&gt;0),E671*[1]Sheet1!$D$8+N671*[1]Sheet1!$E$8,IF(AND(D671="S. californicus",G671&gt;0),E671*[1]Sheet1!$D$9+N671*[1]Sheet1!$E$9,IF(D671="S. maritimus",F671*[1]Sheet1!$C$10+E671*[1]Sheet1!$D$10+G671*[1]Sheet1!$F$10+[1]Sheet1!$L$10,IF(D671="S. americanus",F671*[1]Sheet1!$C$6+E671*[1]Sheet1!$D$6+[1]Sheet1!$L$6,IF(AND(OR(D671="T. domingensis",D671="T. latifolia"),E671&gt;0),F671*[1]Sheet1!$C$4+E671*[1]Sheet1!$D$4+H671*[1]Sheet1!$J$4+I671*[1]Sheet1!$K$4+[1]Sheet1!$L$4,IF(AND(OR(D671="T. domingensis",D671="T. latifolia"),J671&gt;0),J671*[1]Sheet1!$G$5+K671*[1]Sheet1!$H$5+L671*[1]Sheet1!$I$5+[1]Sheet1!$L$5,0)))))))</f>
        <v>5.5702540000000056</v>
      </c>
      <c r="P671">
        <f t="shared" si="31"/>
        <v>5.5702540000000056</v>
      </c>
      <c r="S671">
        <f t="shared" si="32"/>
        <v>7.2106559077499996</v>
      </c>
    </row>
    <row r="672" spans="1:19">
      <c r="A672" s="7">
        <v>42503</v>
      </c>
      <c r="B672" s="6" t="s">
        <v>23</v>
      </c>
      <c r="C672" s="6">
        <v>37</v>
      </c>
      <c r="D672" s="6" t="s">
        <v>61</v>
      </c>
      <c r="F672" s="6">
        <v>1.32</v>
      </c>
      <c r="J672">
        <f>36+83+119+160+157</f>
        <v>555</v>
      </c>
      <c r="K672">
        <v>5</v>
      </c>
      <c r="L672">
        <v>160</v>
      </c>
      <c r="N672" t="str">
        <f t="shared" si="30"/>
        <v>NA</v>
      </c>
      <c r="O672">
        <f>IF(AND(OR(D672="S. acutus",D672="S. californicus",D672="S. tabernaemontani"),G672=0),E672*[1]Sheet1!$D$7+[1]Sheet1!$L$7,IF(AND(OR(D672="S. acutus",D672="S. tabernaemontani"),G672&gt;0),E672*[1]Sheet1!$D$8+N672*[1]Sheet1!$E$8,IF(AND(D672="S. californicus",G672&gt;0),E672*[1]Sheet1!$D$9+N672*[1]Sheet1!$E$9,IF(D672="S. maritimus",F672*[1]Sheet1!$C$10+E672*[1]Sheet1!$D$10+G672*[1]Sheet1!$F$10+[1]Sheet1!$L$10,IF(D672="S. americanus",F672*[1]Sheet1!$C$6+E672*[1]Sheet1!$D$6+[1]Sheet1!$L$6,IF(AND(OR(D672="T. domingensis",D672="T. latifolia"),E672&gt;0),F672*[1]Sheet1!$C$4+E672*[1]Sheet1!$D$4+H672*[1]Sheet1!$J$4+I672*[1]Sheet1!$K$4+[1]Sheet1!$L$4,IF(AND(OR(D672="T. domingensis",D672="T. latifolia"),J672&gt;0),J672*[1]Sheet1!$G$5+K672*[1]Sheet1!$H$5+L672*[1]Sheet1!$I$5+[1]Sheet1!$L$5,0)))))))</f>
        <v>1.7600440000000006</v>
      </c>
      <c r="P672">
        <f t="shared" si="31"/>
        <v>1.7600440000000006</v>
      </c>
      <c r="S672">
        <f t="shared" si="32"/>
        <v>1.368476604</v>
      </c>
    </row>
    <row r="673" spans="1:19">
      <c r="A673" s="7">
        <v>42503</v>
      </c>
      <c r="B673" s="6" t="s">
        <v>23</v>
      </c>
      <c r="C673" s="6">
        <v>37</v>
      </c>
      <c r="D673" s="6" t="s">
        <v>61</v>
      </c>
      <c r="F673" s="6">
        <v>2.16</v>
      </c>
      <c r="J673">
        <f>153+189+203+256+259+296+317+333</f>
        <v>2006</v>
      </c>
      <c r="K673">
        <v>8</v>
      </c>
      <c r="L673">
        <v>333</v>
      </c>
      <c r="N673" t="str">
        <f t="shared" si="30"/>
        <v>NA</v>
      </c>
      <c r="O673">
        <f>IF(AND(OR(D673="S. acutus",D673="S. californicus",D673="S. tabernaemontani"),G673=0),E673*[1]Sheet1!$D$7+[1]Sheet1!$L$7,IF(AND(OR(D673="S. acutus",D673="S. tabernaemontani"),G673&gt;0),E673*[1]Sheet1!$D$8+N673*[1]Sheet1!$E$8,IF(AND(D673="S. californicus",G673&gt;0),E673*[1]Sheet1!$D$9+N673*[1]Sheet1!$E$9,IF(D673="S. maritimus",F673*[1]Sheet1!$C$10+E673*[1]Sheet1!$D$10+G673*[1]Sheet1!$F$10+[1]Sheet1!$L$10,IF(D673="S. americanus",F673*[1]Sheet1!$C$6+E673*[1]Sheet1!$D$6+[1]Sheet1!$L$6,IF(AND(OR(D673="T. domingensis",D673="T. latifolia"),E673&gt;0),F673*[1]Sheet1!$C$4+E673*[1]Sheet1!$D$4+H673*[1]Sheet1!$J$4+I673*[1]Sheet1!$K$4+[1]Sheet1!$L$4,IF(AND(OR(D673="T. domingensis",D673="T. latifolia"),J673&gt;0),J673*[1]Sheet1!$G$5+K673*[1]Sheet1!$H$5+L673*[1]Sheet1!$I$5+[1]Sheet1!$L$5,0)))))))</f>
        <v>64.616105000000005</v>
      </c>
      <c r="P673">
        <f t="shared" si="31"/>
        <v>64.616105000000005</v>
      </c>
      <c r="S673">
        <f t="shared" si="32"/>
        <v>3.6643505760000004</v>
      </c>
    </row>
    <row r="674" spans="1:19">
      <c r="A674" s="7">
        <v>42503</v>
      </c>
      <c r="B674" s="6" t="s">
        <v>23</v>
      </c>
      <c r="C674" s="6">
        <v>37</v>
      </c>
      <c r="D674" s="6" t="s">
        <v>61</v>
      </c>
      <c r="F674" s="6">
        <v>6.34</v>
      </c>
      <c r="J674">
        <f>217+233+258+290+317+328+343+364+365+378</f>
        <v>3093</v>
      </c>
      <c r="K674">
        <v>10</v>
      </c>
      <c r="L674">
        <v>378</v>
      </c>
      <c r="N674" t="str">
        <f t="shared" si="30"/>
        <v>NA</v>
      </c>
      <c r="O674">
        <f>IF(AND(OR(D674="S. acutus",D674="S. californicus",D674="S. tabernaemontani"),G674=0),E674*[1]Sheet1!$D$7+[1]Sheet1!$L$7,IF(AND(OR(D674="S. acutus",D674="S. tabernaemontani"),G674&gt;0),E674*[1]Sheet1!$D$8+N674*[1]Sheet1!$E$8,IF(AND(D674="S. californicus",G674&gt;0),E674*[1]Sheet1!$D$9+N674*[1]Sheet1!$E$9,IF(D674="S. maritimus",F674*[1]Sheet1!$C$10+E674*[1]Sheet1!$D$10+G674*[1]Sheet1!$F$10+[1]Sheet1!$L$10,IF(D674="S. americanus",F674*[1]Sheet1!$C$6+E674*[1]Sheet1!$D$6+[1]Sheet1!$L$6,IF(AND(OR(D674="T. domingensis",D674="T. latifolia"),E674&gt;0),F674*[1]Sheet1!$C$4+E674*[1]Sheet1!$D$4+H674*[1]Sheet1!$J$4+I674*[1]Sheet1!$K$4+[1]Sheet1!$L$4,IF(AND(OR(D674="T. domingensis",D674="T. latifolia"),J674&gt;0),J674*[1]Sheet1!$G$5+K674*[1]Sheet1!$H$5+L674*[1]Sheet1!$I$5+[1]Sheet1!$L$5,0)))))))</f>
        <v>138.92705900000001</v>
      </c>
      <c r="P674">
        <f t="shared" si="31"/>
        <v>138.92705900000001</v>
      </c>
      <c r="S674">
        <f t="shared" si="32"/>
        <v>31.569523750999998</v>
      </c>
    </row>
    <row r="675" spans="1:19">
      <c r="A675" s="7">
        <v>42503</v>
      </c>
      <c r="B675" s="6" t="s">
        <v>23</v>
      </c>
      <c r="C675" s="6">
        <v>37</v>
      </c>
      <c r="D675" s="6" t="s">
        <v>61</v>
      </c>
      <c r="F675" s="6">
        <v>4.7699999999999996</v>
      </c>
      <c r="J675">
        <f>96+169+231+276+300+233+254+256</f>
        <v>1815</v>
      </c>
      <c r="K675">
        <v>8</v>
      </c>
      <c r="L675">
        <v>300</v>
      </c>
      <c r="N675" t="str">
        <f t="shared" si="30"/>
        <v>NA</v>
      </c>
      <c r="O675">
        <f>IF(AND(OR(D675="S. acutus",D675="S. californicus",D675="S. tabernaemontani"),G675=0),E675*[1]Sheet1!$D$7+[1]Sheet1!$L$7,IF(AND(OR(D675="S. acutus",D675="S. tabernaemontani"),G675&gt;0),E675*[1]Sheet1!$D$8+N675*[1]Sheet1!$E$8,IF(AND(D675="S. californicus",G675&gt;0),E675*[1]Sheet1!$D$9+N675*[1]Sheet1!$E$9,IF(D675="S. maritimus",F675*[1]Sheet1!$C$10+E675*[1]Sheet1!$D$10+G675*[1]Sheet1!$F$10+[1]Sheet1!$L$10,IF(D675="S. americanus",F675*[1]Sheet1!$C$6+E675*[1]Sheet1!$D$6+[1]Sheet1!$L$6,IF(AND(OR(D675="T. domingensis",D675="T. latifolia"),E675&gt;0),F675*[1]Sheet1!$C$4+E675*[1]Sheet1!$D$4+H675*[1]Sheet1!$J$4+I675*[1]Sheet1!$K$4+[1]Sheet1!$L$4,IF(AND(OR(D675="T. domingensis",D675="T. latifolia"),J675&gt;0),J675*[1]Sheet1!$G$5+K675*[1]Sheet1!$H$5+L675*[1]Sheet1!$I$5+[1]Sheet1!$L$5,0)))))))</f>
        <v>56.649985000000008</v>
      </c>
      <c r="P675">
        <f t="shared" si="31"/>
        <v>56.649985000000008</v>
      </c>
      <c r="S675">
        <f t="shared" si="32"/>
        <v>17.870070777749998</v>
      </c>
    </row>
    <row r="676" spans="1:19">
      <c r="A676" s="7">
        <v>42503</v>
      </c>
      <c r="B676" s="6" t="s">
        <v>23</v>
      </c>
      <c r="C676" s="6">
        <v>37</v>
      </c>
      <c r="D676" s="6" t="s">
        <v>61</v>
      </c>
      <c r="F676" s="6">
        <v>5.01</v>
      </c>
      <c r="J676">
        <f>158+167+182+266+273+363+369+400</f>
        <v>2178</v>
      </c>
      <c r="K676">
        <v>8</v>
      </c>
      <c r="L676">
        <v>400</v>
      </c>
      <c r="N676" t="str">
        <f t="shared" si="30"/>
        <v>NA</v>
      </c>
      <c r="O676">
        <f>IF(AND(OR(D676="S. acutus",D676="S. californicus",D676="S. tabernaemontani"),G676=0),E676*[1]Sheet1!$D$7+[1]Sheet1!$L$7,IF(AND(OR(D676="S. acutus",D676="S. tabernaemontani"),G676&gt;0),E676*[1]Sheet1!$D$8+N676*[1]Sheet1!$E$8,IF(AND(D676="S. californicus",G676&gt;0),E676*[1]Sheet1!$D$9+N676*[1]Sheet1!$E$9,IF(D676="S. maritimus",F676*[1]Sheet1!$C$10+E676*[1]Sheet1!$D$10+G676*[1]Sheet1!$F$10+[1]Sheet1!$L$10,IF(D676="S. americanus",F676*[1]Sheet1!$C$6+E676*[1]Sheet1!$D$6+[1]Sheet1!$L$6,IF(AND(OR(D676="T. domingensis",D676="T. latifolia"),E676&gt;0),F676*[1]Sheet1!$C$4+E676*[1]Sheet1!$D$4+H676*[1]Sheet1!$J$4+I676*[1]Sheet1!$K$4+[1]Sheet1!$L$4,IF(AND(OR(D676="T. domingensis",D676="T. latifolia"),J676&gt;0),J676*[1]Sheet1!$G$5+K676*[1]Sheet1!$H$5+L676*[1]Sheet1!$I$5+[1]Sheet1!$L$5,0)))))))</f>
        <v>60.558550000000032</v>
      </c>
      <c r="P676">
        <f t="shared" si="31"/>
        <v>60.558550000000032</v>
      </c>
      <c r="S676">
        <f t="shared" si="32"/>
        <v>19.713555789749996</v>
      </c>
    </row>
    <row r="677" spans="1:19">
      <c r="A677" s="7">
        <v>42503</v>
      </c>
      <c r="B677" s="6" t="s">
        <v>23</v>
      </c>
      <c r="C677" s="6">
        <v>37</v>
      </c>
      <c r="D677" s="6" t="s">
        <v>61</v>
      </c>
      <c r="F677" s="6">
        <v>5.29</v>
      </c>
      <c r="J677">
        <f>142+208+264+317+348+356+360+358+388</f>
        <v>2741</v>
      </c>
      <c r="K677">
        <v>9</v>
      </c>
      <c r="L677">
        <v>388</v>
      </c>
      <c r="N677" t="str">
        <f t="shared" si="30"/>
        <v>NA</v>
      </c>
      <c r="O677">
        <f>IF(AND(OR(D677="S. acutus",D677="S. californicus",D677="S. tabernaemontani"),G677=0),E677*[1]Sheet1!$D$7+[1]Sheet1!$L$7,IF(AND(OR(D677="S. acutus",D677="S. tabernaemontani"),G677&gt;0),E677*[1]Sheet1!$D$8+N677*[1]Sheet1!$E$8,IF(AND(D677="S. californicus",G677&gt;0),E677*[1]Sheet1!$D$9+N677*[1]Sheet1!$E$9,IF(D677="S. maritimus",F677*[1]Sheet1!$C$10+E677*[1]Sheet1!$D$10+G677*[1]Sheet1!$F$10+[1]Sheet1!$L$10,IF(D677="S. americanus",F677*[1]Sheet1!$C$6+E677*[1]Sheet1!$D$6+[1]Sheet1!$L$6,IF(AND(OR(D677="T. domingensis",D677="T. latifolia"),E677&gt;0),F677*[1]Sheet1!$C$4+E677*[1]Sheet1!$D$4+H677*[1]Sheet1!$J$4+I677*[1]Sheet1!$K$4+[1]Sheet1!$L$4,IF(AND(OR(D677="T. domingensis",D677="T. latifolia"),J677&gt;0),J677*[1]Sheet1!$G$5+K677*[1]Sheet1!$H$5+L677*[1]Sheet1!$I$5+[1]Sheet1!$L$5,0)))))))</f>
        <v>109.935202</v>
      </c>
      <c r="P677">
        <f t="shared" si="31"/>
        <v>109.935202</v>
      </c>
      <c r="S677">
        <f t="shared" si="32"/>
        <v>21.97864217975</v>
      </c>
    </row>
    <row r="678" spans="1:19">
      <c r="A678" s="7">
        <v>42503</v>
      </c>
      <c r="B678" s="6" t="s">
        <v>23</v>
      </c>
      <c r="C678" s="6">
        <v>37</v>
      </c>
      <c r="D678" s="6" t="s">
        <v>61</v>
      </c>
      <c r="F678" s="6">
        <v>4.37</v>
      </c>
      <c r="J678">
        <f>201+172+232+293+279+329+363+372+405</f>
        <v>2646</v>
      </c>
      <c r="K678">
        <v>9</v>
      </c>
      <c r="L678">
        <v>405</v>
      </c>
      <c r="N678" t="str">
        <f t="shared" si="30"/>
        <v>NA</v>
      </c>
      <c r="O678">
        <f>IF(AND(OR(D678="S. acutus",D678="S. californicus",D678="S. tabernaemontani"),G678=0),E678*[1]Sheet1!$D$7+[1]Sheet1!$L$7,IF(AND(OR(D678="S. acutus",D678="S. tabernaemontani"),G678&gt;0),E678*[1]Sheet1!$D$8+N678*[1]Sheet1!$E$8,IF(AND(D678="S. californicus",G678&gt;0),E678*[1]Sheet1!$D$9+N678*[1]Sheet1!$E$9,IF(D678="S. maritimus",F678*[1]Sheet1!$C$10+E678*[1]Sheet1!$D$10+G678*[1]Sheet1!$F$10+[1]Sheet1!$L$10,IF(D678="S. americanus",F678*[1]Sheet1!$C$6+E678*[1]Sheet1!$D$6+[1]Sheet1!$L$6,IF(AND(OR(D678="T. domingensis",D678="T. latifolia"),E678&gt;0),F678*[1]Sheet1!$C$4+E678*[1]Sheet1!$D$4+H678*[1]Sheet1!$J$4+I678*[1]Sheet1!$K$4+[1]Sheet1!$L$4,IF(AND(OR(D678="T. domingensis",D678="T. latifolia"),J678&gt;0),J678*[1]Sheet1!$G$5+K678*[1]Sheet1!$H$5+L678*[1]Sheet1!$I$5+[1]Sheet1!$L$5,0)))))))</f>
        <v>95.907312000000019</v>
      </c>
      <c r="P678">
        <f t="shared" si="31"/>
        <v>95.907312000000019</v>
      </c>
      <c r="S678">
        <f t="shared" si="32"/>
        <v>14.998657517750001</v>
      </c>
    </row>
    <row r="679" spans="1:19">
      <c r="A679" s="7">
        <v>42503</v>
      </c>
      <c r="B679" s="6" t="s">
        <v>23</v>
      </c>
      <c r="C679" s="6">
        <v>37</v>
      </c>
      <c r="D679" s="6" t="s">
        <v>61</v>
      </c>
      <c r="F679" s="6">
        <v>2.84</v>
      </c>
      <c r="J679">
        <f>186+222+278+318+317</f>
        <v>1321</v>
      </c>
      <c r="K679">
        <v>5</v>
      </c>
      <c r="L679">
        <v>318</v>
      </c>
      <c r="N679" t="str">
        <f t="shared" si="30"/>
        <v>NA</v>
      </c>
      <c r="O679">
        <f>IF(AND(OR(D679="S. acutus",D679="S. californicus",D679="S. tabernaemontani"),G679=0),E679*[1]Sheet1!$D$7+[1]Sheet1!$L$7,IF(AND(OR(D679="S. acutus",D679="S. tabernaemontani"),G679&gt;0),E679*[1]Sheet1!$D$8+N679*[1]Sheet1!$E$8,IF(AND(D679="S. californicus",G679&gt;0),E679*[1]Sheet1!$D$9+N679*[1]Sheet1!$E$9,IF(D679="S. maritimus",F679*[1]Sheet1!$C$10+E679*[1]Sheet1!$D$10+G679*[1]Sheet1!$F$10+[1]Sheet1!$L$10,IF(D679="S. americanus",F679*[1]Sheet1!$C$6+E679*[1]Sheet1!$D$6+[1]Sheet1!$L$6,IF(AND(OR(D679="T. domingensis",D679="T. latifolia"),E679&gt;0),F679*[1]Sheet1!$C$4+E679*[1]Sheet1!$D$4+H679*[1]Sheet1!$J$4+I679*[1]Sheet1!$K$4+[1]Sheet1!$L$4,IF(AND(OR(D679="T. domingensis",D679="T. latifolia"),J679&gt;0),J679*[1]Sheet1!$G$5+K679*[1]Sheet1!$H$5+L679*[1]Sheet1!$I$5+[1]Sheet1!$L$5,0)))))))</f>
        <v>25.979664000000021</v>
      </c>
      <c r="P679">
        <f t="shared" si="31"/>
        <v>25.979664000000021</v>
      </c>
      <c r="S679">
        <f t="shared" si="32"/>
        <v>6.3347020759999992</v>
      </c>
    </row>
    <row r="680" spans="1:19">
      <c r="A680" s="7">
        <v>42503</v>
      </c>
      <c r="B680" s="6" t="s">
        <v>23</v>
      </c>
      <c r="C680" s="6">
        <v>32</v>
      </c>
      <c r="D680" s="6" t="s">
        <v>61</v>
      </c>
      <c r="F680" s="6">
        <v>2.2400000000000002</v>
      </c>
      <c r="J680">
        <f>24+32+54+92+117</f>
        <v>319</v>
      </c>
      <c r="K680">
        <v>5</v>
      </c>
      <c r="L680">
        <v>117</v>
      </c>
      <c r="N680" t="str">
        <f t="shared" si="30"/>
        <v>NA</v>
      </c>
      <c r="O680">
        <f>IF(AND(OR(D680="S. acutus",D680="S. californicus",D680="S. tabernaemontani"),G680=0),E680*[1]Sheet1!$D$7+[1]Sheet1!$L$7,IF(AND(OR(D680="S. acutus",D680="S. tabernaemontani"),G680&gt;0),E680*[1]Sheet1!$D$8+N680*[1]Sheet1!$E$8,IF(AND(D680="S. californicus",G680&gt;0),E680*[1]Sheet1!$D$9+N680*[1]Sheet1!$E$9,IF(D680="S. maritimus",F680*[1]Sheet1!$C$10+E680*[1]Sheet1!$D$10+G680*[1]Sheet1!$F$10+[1]Sheet1!$L$10,IF(D680="S. americanus",F680*[1]Sheet1!$C$6+E680*[1]Sheet1!$D$6+[1]Sheet1!$L$6,IF(AND(OR(D680="T. domingensis",D680="T. latifolia"),E680&gt;0),F680*[1]Sheet1!$C$4+E680*[1]Sheet1!$D$4+H680*[1]Sheet1!$J$4+I680*[1]Sheet1!$K$4+[1]Sheet1!$L$4,IF(AND(OR(D680="T. domingensis",D680="T. latifolia"),J680&gt;0),J680*[1]Sheet1!$G$5+K680*[1]Sheet1!$H$5+L680*[1]Sheet1!$I$5+[1]Sheet1!$L$5,0)))))))</f>
        <v>-7.4126009999999951</v>
      </c>
      <c r="P680" t="str">
        <f t="shared" si="31"/>
        <v xml:space="preserve"> </v>
      </c>
      <c r="S680">
        <f t="shared" si="32"/>
        <v>3.9408104960000006</v>
      </c>
    </row>
    <row r="681" spans="1:19">
      <c r="A681" s="7">
        <v>42503</v>
      </c>
      <c r="B681" s="6" t="s">
        <v>23</v>
      </c>
      <c r="C681" s="6">
        <v>32</v>
      </c>
      <c r="D681" s="6" t="s">
        <v>61</v>
      </c>
      <c r="F681" s="6">
        <v>2.2400000000000002</v>
      </c>
      <c r="J681">
        <f>131+163+193+197+199+246+226+238+253</f>
        <v>1846</v>
      </c>
      <c r="K681">
        <v>9</v>
      </c>
      <c r="L681">
        <v>253</v>
      </c>
      <c r="N681" t="str">
        <f t="shared" si="30"/>
        <v>NA</v>
      </c>
      <c r="O681">
        <f>IF(AND(OR(D681="S. acutus",D681="S. californicus",D681="S. tabernaemontani"),G681=0),E681*[1]Sheet1!$D$7+[1]Sheet1!$L$7,IF(AND(OR(D681="S. acutus",D681="S. tabernaemontani"),G681&gt;0),E681*[1]Sheet1!$D$8+N681*[1]Sheet1!$E$8,IF(AND(D681="S. californicus",G681&gt;0),E681*[1]Sheet1!$D$9+N681*[1]Sheet1!$E$9,IF(D681="S. maritimus",F681*[1]Sheet1!$C$10+E681*[1]Sheet1!$D$10+G681*[1]Sheet1!$F$10+[1]Sheet1!$L$10,IF(D681="S. americanus",F681*[1]Sheet1!$C$6+E681*[1]Sheet1!$D$6+[1]Sheet1!$L$6,IF(AND(OR(D681="T. domingensis",D681="T. latifolia"),E681&gt;0),F681*[1]Sheet1!$C$4+E681*[1]Sheet1!$D$4+H681*[1]Sheet1!$J$4+I681*[1]Sheet1!$K$4+[1]Sheet1!$L$4,IF(AND(OR(D681="T. domingensis",D681="T. latifolia"),J681&gt;0),J681*[1]Sheet1!$G$5+K681*[1]Sheet1!$H$5+L681*[1]Sheet1!$I$5+[1]Sheet1!$L$5,0)))))))</f>
        <v>66.692552000000006</v>
      </c>
      <c r="P681">
        <f t="shared" si="31"/>
        <v>66.692552000000006</v>
      </c>
      <c r="S681">
        <f t="shared" si="32"/>
        <v>3.9408104960000006</v>
      </c>
    </row>
    <row r="682" spans="1:19">
      <c r="A682" s="7">
        <v>42503</v>
      </c>
      <c r="B682" s="6" t="s">
        <v>23</v>
      </c>
      <c r="C682" s="6">
        <v>32</v>
      </c>
      <c r="D682" s="6" t="s">
        <v>61</v>
      </c>
      <c r="E682">
        <v>235</v>
      </c>
      <c r="F682" s="6">
        <v>2.37</v>
      </c>
      <c r="H682" s="6">
        <v>25</v>
      </c>
      <c r="I682">
        <v>0.9</v>
      </c>
      <c r="N682" t="str">
        <f t="shared" si="30"/>
        <v>NA</v>
      </c>
      <c r="O682">
        <f>IF(AND(OR(D682="S. acutus",D682="S. californicus",D682="S. tabernaemontani"),G682=0),E682*[1]Sheet1!$D$7+[1]Sheet1!$L$7,IF(AND(OR(D682="S. acutus",D682="S. tabernaemontani"),G682&gt;0),E682*[1]Sheet1!$D$8+N682*[1]Sheet1!$E$8,IF(AND(D682="S. californicus",G682&gt;0),E682*[1]Sheet1!$D$9+N682*[1]Sheet1!$E$9,IF(D682="S. maritimus",F682*[1]Sheet1!$C$10+E682*[1]Sheet1!$D$10+G682*[1]Sheet1!$F$10+[1]Sheet1!$L$10,IF(D682="S. americanus",F682*[1]Sheet1!$C$6+E682*[1]Sheet1!$D$6+[1]Sheet1!$L$6,IF(AND(OR(D682="T. domingensis",D682="T. latifolia"),E682&gt;0),F682*[1]Sheet1!$C$4+E682*[1]Sheet1!$D$4+H682*[1]Sheet1!$J$4+I682*[1]Sheet1!$K$4+[1]Sheet1!$L$4,IF(AND(OR(D682="T. domingensis",D682="T. latifolia"),J682&gt;0),J682*[1]Sheet1!$G$5+K682*[1]Sheet1!$H$5+L682*[1]Sheet1!$I$5+[1]Sheet1!$L$5,0)))))))</f>
        <v>57.861249489999977</v>
      </c>
      <c r="P682">
        <f t="shared" si="31"/>
        <v>57.861249489999977</v>
      </c>
      <c r="S682">
        <f t="shared" si="32"/>
        <v>4.4114992177500003</v>
      </c>
    </row>
    <row r="683" spans="1:19">
      <c r="A683" s="7">
        <v>42503</v>
      </c>
      <c r="B683" s="6" t="s">
        <v>23</v>
      </c>
      <c r="C683" s="6">
        <v>32</v>
      </c>
      <c r="D683" s="6" t="s">
        <v>61</v>
      </c>
      <c r="E683">
        <v>235</v>
      </c>
      <c r="F683" s="6">
        <v>2.2000000000000002</v>
      </c>
      <c r="H683" s="6">
        <v>18</v>
      </c>
      <c r="I683">
        <v>0.65</v>
      </c>
      <c r="N683" t="str">
        <f t="shared" si="30"/>
        <v>NA</v>
      </c>
      <c r="O683">
        <f>IF(AND(OR(D683="S. acutus",D683="S. californicus",D683="S. tabernaemontani"),G683=0),E683*[1]Sheet1!$D$7+[1]Sheet1!$L$7,IF(AND(OR(D683="S. acutus",D683="S. tabernaemontani"),G683&gt;0),E683*[1]Sheet1!$D$8+N683*[1]Sheet1!$E$8,IF(AND(D683="S. californicus",G683&gt;0),E683*[1]Sheet1!$D$9+N683*[1]Sheet1!$E$9,IF(D683="S. maritimus",F683*[1]Sheet1!$C$10+E683*[1]Sheet1!$D$10+G683*[1]Sheet1!$F$10+[1]Sheet1!$L$10,IF(D683="S. americanus",F683*[1]Sheet1!$C$6+E683*[1]Sheet1!$D$6+[1]Sheet1!$L$6,IF(AND(OR(D683="T. domingensis",D683="T. latifolia"),E683&gt;0),F683*[1]Sheet1!$C$4+E683*[1]Sheet1!$D$4+H683*[1]Sheet1!$J$4+I683*[1]Sheet1!$K$4+[1]Sheet1!$L$4,IF(AND(OR(D683="T. domingensis",D683="T. latifolia"),J683&gt;0),J683*[1]Sheet1!$G$5+K683*[1]Sheet1!$H$5+L683*[1]Sheet1!$I$5+[1]Sheet1!$L$5,0)))))))</f>
        <v>43.706079200000005</v>
      </c>
      <c r="P683">
        <f t="shared" si="31"/>
        <v>43.706079200000005</v>
      </c>
      <c r="S683">
        <f t="shared" si="32"/>
        <v>3.8013239000000003</v>
      </c>
    </row>
    <row r="684" spans="1:19">
      <c r="A684" s="7">
        <v>42503</v>
      </c>
      <c r="B684" s="6" t="s">
        <v>23</v>
      </c>
      <c r="C684" s="6">
        <v>32</v>
      </c>
      <c r="D684" s="6" t="s">
        <v>61</v>
      </c>
      <c r="F684" s="6">
        <v>2.3199999999999998</v>
      </c>
      <c r="J684">
        <f>109+144+183+221+231</f>
        <v>888</v>
      </c>
      <c r="K684">
        <v>5</v>
      </c>
      <c r="L684">
        <v>231</v>
      </c>
      <c r="N684" t="str">
        <f t="shared" si="30"/>
        <v>NA</v>
      </c>
      <c r="O684">
        <f>IF(AND(OR(D684="S. acutus",D684="S. californicus",D684="S. tabernaemontani"),G684=0),E684*[1]Sheet1!$D$7+[1]Sheet1!$L$7,IF(AND(OR(D684="S. acutus",D684="S. tabernaemontani"),G684&gt;0),E684*[1]Sheet1!$D$8+N684*[1]Sheet1!$E$8,IF(AND(D684="S. californicus",G684&gt;0),E684*[1]Sheet1!$D$9+N684*[1]Sheet1!$E$9,IF(D684="S. maritimus",F684*[1]Sheet1!$C$10+E684*[1]Sheet1!$D$10+G684*[1]Sheet1!$F$10+[1]Sheet1!$L$10,IF(D684="S. americanus",F684*[1]Sheet1!$C$6+E684*[1]Sheet1!$D$6+[1]Sheet1!$L$6,IF(AND(OR(D684="T. domingensis",D684="T. latifolia"),E684&gt;0),F684*[1]Sheet1!$C$4+E684*[1]Sheet1!$D$4+H684*[1]Sheet1!$J$4+I684*[1]Sheet1!$K$4+[1]Sheet1!$L$4,IF(AND(OR(D684="T. domingensis",D684="T. latifolia"),J684&gt;0),J684*[1]Sheet1!$G$5+K684*[1]Sheet1!$H$5+L684*[1]Sheet1!$I$5+[1]Sheet1!$L$5,0)))))))</f>
        <v>11.592064000000008</v>
      </c>
      <c r="P684">
        <f t="shared" si="31"/>
        <v>11.592064000000008</v>
      </c>
      <c r="S684">
        <f t="shared" si="32"/>
        <v>4.2273235039999992</v>
      </c>
    </row>
    <row r="685" spans="1:19">
      <c r="A685" s="7">
        <v>42503</v>
      </c>
      <c r="B685" s="7" t="s">
        <v>23</v>
      </c>
      <c r="C685" s="6">
        <v>32</v>
      </c>
      <c r="D685" s="6" t="s">
        <v>61</v>
      </c>
      <c r="E685">
        <v>249</v>
      </c>
      <c r="F685" s="6">
        <v>2.86</v>
      </c>
      <c r="H685" s="6">
        <v>32</v>
      </c>
      <c r="I685">
        <v>1.1000000000000001</v>
      </c>
      <c r="N685" t="str">
        <f t="shared" si="30"/>
        <v>NA</v>
      </c>
      <c r="O685">
        <f>IF(AND(OR(D685="S. acutus",D685="S. californicus",D685="S. tabernaemontani"),G685=0),E685*[1]Sheet1!$D$7+[1]Sheet1!$L$7,IF(AND(OR(D685="S. acutus",D685="S. tabernaemontani"),G685&gt;0),E685*[1]Sheet1!$D$8+N685*[1]Sheet1!$E$8,IF(AND(D685="S. californicus",G685&gt;0),E685*[1]Sheet1!$D$9+N685*[1]Sheet1!$E$9,IF(D685="S. maritimus",F685*[1]Sheet1!$C$10+E685*[1]Sheet1!$D$10+G685*[1]Sheet1!$F$10+[1]Sheet1!$L$10,IF(D685="S. americanus",F685*[1]Sheet1!$C$6+E685*[1]Sheet1!$D$6+[1]Sheet1!$L$6,IF(AND(OR(D685="T. domingensis",D685="T. latifolia"),E685&gt;0),F685*[1]Sheet1!$C$4+E685*[1]Sheet1!$D$4+H685*[1]Sheet1!$J$4+I685*[1]Sheet1!$K$4+[1]Sheet1!$L$4,IF(AND(OR(D685="T. domingensis",D685="T. latifolia"),J685&gt;0),J685*[1]Sheet1!$G$5+K685*[1]Sheet1!$H$5+L685*[1]Sheet1!$I$5+[1]Sheet1!$L$5,0)))))))</f>
        <v>81.56118361999998</v>
      </c>
      <c r="P685">
        <f t="shared" si="31"/>
        <v>81.56118361999998</v>
      </c>
      <c r="S685">
        <f t="shared" si="32"/>
        <v>6.4242373909999992</v>
      </c>
    </row>
    <row r="686" spans="1:19">
      <c r="A686" s="7">
        <v>42503</v>
      </c>
      <c r="B686" s="6" t="s">
        <v>23</v>
      </c>
      <c r="C686" s="6">
        <v>32</v>
      </c>
      <c r="D686" s="6" t="s">
        <v>61</v>
      </c>
      <c r="F686" s="6">
        <v>3.37</v>
      </c>
      <c r="J686">
        <f>85+139+163+193+204+213</f>
        <v>997</v>
      </c>
      <c r="K686">
        <v>6</v>
      </c>
      <c r="L686">
        <v>213</v>
      </c>
      <c r="N686" t="str">
        <f t="shared" si="30"/>
        <v>NA</v>
      </c>
      <c r="O686">
        <f>IF(AND(OR(D686="S. acutus",D686="S. californicus",D686="S. tabernaemontani"),G686=0),E686*[1]Sheet1!$D$7+[1]Sheet1!$L$7,IF(AND(OR(D686="S. acutus",D686="S. tabernaemontani"),G686&gt;0),E686*[1]Sheet1!$D$8+N686*[1]Sheet1!$E$8,IF(AND(D686="S. californicus",G686&gt;0),E686*[1]Sheet1!$D$9+N686*[1]Sheet1!$E$9,IF(D686="S. maritimus",F686*[1]Sheet1!$C$10+E686*[1]Sheet1!$D$10+G686*[1]Sheet1!$F$10+[1]Sheet1!$L$10,IF(D686="S. americanus",F686*[1]Sheet1!$C$6+E686*[1]Sheet1!$D$6+[1]Sheet1!$L$6,IF(AND(OR(D686="T. domingensis",D686="T. latifolia"),E686&gt;0),F686*[1]Sheet1!$C$4+E686*[1]Sheet1!$D$4+H686*[1]Sheet1!$J$4+I686*[1]Sheet1!$K$4+[1]Sheet1!$L$4,IF(AND(OR(D686="T. domingensis",D686="T. latifolia"),J686&gt;0),J686*[1]Sheet1!$G$5+K686*[1]Sheet1!$H$5+L686*[1]Sheet1!$I$5+[1]Sheet1!$L$5,0)))))))</f>
        <v>20.211416000000007</v>
      </c>
      <c r="P686">
        <f t="shared" si="31"/>
        <v>20.211416000000007</v>
      </c>
      <c r="S686">
        <f t="shared" si="32"/>
        <v>8.9196808677500012</v>
      </c>
    </row>
    <row r="687" spans="1:19">
      <c r="A687" s="7">
        <v>42503</v>
      </c>
      <c r="B687" s="6" t="s">
        <v>23</v>
      </c>
      <c r="C687" s="6">
        <v>32</v>
      </c>
      <c r="D687" s="6" t="s">
        <v>61</v>
      </c>
      <c r="E687">
        <v>227</v>
      </c>
      <c r="F687" s="6">
        <v>2.16</v>
      </c>
      <c r="H687" s="6">
        <v>21</v>
      </c>
      <c r="I687">
        <v>1.8</v>
      </c>
      <c r="N687" t="str">
        <f t="shared" si="30"/>
        <v>NA</v>
      </c>
      <c r="O687">
        <f>IF(AND(OR(D687="S. acutus",D687="S. californicus",D687="S. tabernaemontani"),G687=0),E687*[1]Sheet1!$D$7+[1]Sheet1!$L$7,IF(AND(OR(D687="S. acutus",D687="S. tabernaemontani"),G687&gt;0),E687*[1]Sheet1!$D$8+N687*[1]Sheet1!$E$8,IF(AND(D687="S. californicus",G687&gt;0),E687*[1]Sheet1!$D$9+N687*[1]Sheet1!$E$9,IF(D687="S. maritimus",F687*[1]Sheet1!$C$10+E687*[1]Sheet1!$D$10+G687*[1]Sheet1!$F$10+[1]Sheet1!$L$10,IF(D687="S. americanus",F687*[1]Sheet1!$C$6+E687*[1]Sheet1!$D$6+[1]Sheet1!$L$6,IF(AND(OR(D687="T. domingensis",D687="T. latifolia"),E687&gt;0),F687*[1]Sheet1!$C$4+E687*[1]Sheet1!$D$4+H687*[1]Sheet1!$J$4+I687*[1]Sheet1!$K$4+[1]Sheet1!$L$4,IF(AND(OR(D687="T. domingensis",D687="T. latifolia"),J687&gt;0),J687*[1]Sheet1!$G$5+K687*[1]Sheet1!$H$5+L687*[1]Sheet1!$I$5+[1]Sheet1!$L$5,0)))))))</f>
        <v>63.39210072000003</v>
      </c>
      <c r="P687">
        <f t="shared" si="31"/>
        <v>63.39210072000003</v>
      </c>
      <c r="S687">
        <f t="shared" si="32"/>
        <v>3.6643505760000004</v>
      </c>
    </row>
    <row r="688" spans="1:19">
      <c r="A688" s="7">
        <v>42503</v>
      </c>
      <c r="B688" s="6" t="s">
        <v>23</v>
      </c>
      <c r="C688" s="6">
        <v>32</v>
      </c>
      <c r="D688" s="6" t="s">
        <v>61</v>
      </c>
      <c r="F688" s="6">
        <v>2.38</v>
      </c>
      <c r="J688">
        <f>145+190+221+242+269+272</f>
        <v>1339</v>
      </c>
      <c r="K688">
        <v>6</v>
      </c>
      <c r="L688">
        <v>272</v>
      </c>
      <c r="N688" t="str">
        <f t="shared" si="30"/>
        <v>NA</v>
      </c>
      <c r="O688">
        <f>IF(AND(OR(D688="S. acutus",D688="S. californicus",D688="S. tabernaemontani"),G688=0),E688*[1]Sheet1!$D$7+[1]Sheet1!$L$7,IF(AND(OR(D688="S. acutus",D688="S. tabernaemontani"),G688&gt;0),E688*[1]Sheet1!$D$8+N688*[1]Sheet1!$E$8,IF(AND(D688="S. californicus",G688&gt;0),E688*[1]Sheet1!$D$9+N688*[1]Sheet1!$E$9,IF(D688="S. maritimus",F688*[1]Sheet1!$C$10+E688*[1]Sheet1!$D$10+G688*[1]Sheet1!$F$10+[1]Sheet1!$L$10,IF(D688="S. americanus",F688*[1]Sheet1!$C$6+E688*[1]Sheet1!$D$6+[1]Sheet1!$L$6,IF(AND(OR(D688="T. domingensis",D688="T. latifolia"),E688&gt;0),F688*[1]Sheet1!$C$4+E688*[1]Sheet1!$D$4+H688*[1]Sheet1!$J$4+I688*[1]Sheet1!$K$4+[1]Sheet1!$L$4,IF(AND(OR(D688="T. domingensis",D688="T. latifolia"),J688&gt;0),J688*[1]Sheet1!$G$5+K688*[1]Sheet1!$H$5+L688*[1]Sheet1!$I$5+[1]Sheet1!$L$5,0)))))))</f>
        <v>34.502171000000011</v>
      </c>
      <c r="P688">
        <f t="shared" si="31"/>
        <v>34.502171000000011</v>
      </c>
      <c r="S688">
        <f t="shared" si="32"/>
        <v>4.4488055989999999</v>
      </c>
    </row>
    <row r="689" spans="1:19">
      <c r="A689" s="7">
        <v>42503</v>
      </c>
      <c r="B689" s="6" t="s">
        <v>23</v>
      </c>
      <c r="C689" s="6">
        <v>32</v>
      </c>
      <c r="D689" s="6" t="s">
        <v>61</v>
      </c>
      <c r="E689">
        <v>255</v>
      </c>
      <c r="F689" s="6">
        <v>2.34</v>
      </c>
      <c r="H689" s="6">
        <v>25</v>
      </c>
      <c r="I689">
        <v>0.85</v>
      </c>
      <c r="N689" t="str">
        <f t="shared" si="30"/>
        <v>NA</v>
      </c>
      <c r="O689">
        <f>IF(AND(OR(D689="S. acutus",D689="S. californicus",D689="S. tabernaemontani"),G689=0),E689*[1]Sheet1!$D$7+[1]Sheet1!$L$7,IF(AND(OR(D689="S. acutus",D689="S. tabernaemontani"),G689&gt;0),E689*[1]Sheet1!$D$8+N689*[1]Sheet1!$E$8,IF(AND(D689="S. californicus",G689&gt;0),E689*[1]Sheet1!$D$9+N689*[1]Sheet1!$E$9,IF(D689="S. maritimus",F689*[1]Sheet1!$C$10+E689*[1]Sheet1!$D$10+G689*[1]Sheet1!$F$10+[1]Sheet1!$L$10,IF(D689="S. americanus",F689*[1]Sheet1!$C$6+E689*[1]Sheet1!$D$6+[1]Sheet1!$L$6,IF(AND(OR(D689="T. domingensis",D689="T. latifolia"),E689&gt;0),F689*[1]Sheet1!$C$4+E689*[1]Sheet1!$D$4+H689*[1]Sheet1!$J$4+I689*[1]Sheet1!$K$4+[1]Sheet1!$L$4,IF(AND(OR(D689="T. domingensis",D689="T. latifolia"),J689&gt;0),J689*[1]Sheet1!$G$5+K689*[1]Sheet1!$H$5+L689*[1]Sheet1!$I$5+[1]Sheet1!$L$5,0)))))))</f>
        <v>62.487262579999992</v>
      </c>
      <c r="P689">
        <f t="shared" si="31"/>
        <v>62.487262579999992</v>
      </c>
      <c r="S689">
        <f t="shared" si="32"/>
        <v>4.3005225509999994</v>
      </c>
    </row>
    <row r="690" spans="1:19">
      <c r="A690" s="7">
        <v>42503</v>
      </c>
      <c r="B690" s="6" t="s">
        <v>23</v>
      </c>
      <c r="C690" s="6">
        <v>32</v>
      </c>
      <c r="D690" s="6" t="s">
        <v>61</v>
      </c>
      <c r="F690" s="6">
        <v>0.8</v>
      </c>
      <c r="J690">
        <f>122+178+193+208</f>
        <v>701</v>
      </c>
      <c r="K690">
        <v>4</v>
      </c>
      <c r="L690">
        <v>208</v>
      </c>
      <c r="N690" t="str">
        <f t="shared" si="30"/>
        <v>NA</v>
      </c>
      <c r="O690">
        <f>IF(AND(OR(D690="S. acutus",D690="S. californicus",D690="S. tabernaemontani"),G690=0),E690*[1]Sheet1!$D$7+[1]Sheet1!$L$7,IF(AND(OR(D690="S. acutus",D690="S. tabernaemontani"),G690&gt;0),E690*[1]Sheet1!$D$8+N690*[1]Sheet1!$E$8,IF(AND(D690="S. californicus",G690&gt;0),E690*[1]Sheet1!$D$9+N690*[1]Sheet1!$E$9,IF(D690="S. maritimus",F690*[1]Sheet1!$C$10+E690*[1]Sheet1!$D$10+G690*[1]Sheet1!$F$10+[1]Sheet1!$L$10,IF(D690="S. americanus",F690*[1]Sheet1!$C$6+E690*[1]Sheet1!$D$6+[1]Sheet1!$L$6,IF(AND(OR(D690="T. domingensis",D690="T. latifolia"),E690&gt;0),F690*[1]Sheet1!$C$4+E690*[1]Sheet1!$D$4+H690*[1]Sheet1!$J$4+I690*[1]Sheet1!$K$4+[1]Sheet1!$L$4,IF(AND(OR(D690="T. domingensis",D690="T. latifolia"),J690&gt;0),J690*[1]Sheet1!$G$5+K690*[1]Sheet1!$H$5+L690*[1]Sheet1!$I$5+[1]Sheet1!$L$5,0)))))))</f>
        <v>8.0108670000000117</v>
      </c>
      <c r="P690">
        <f t="shared" si="31"/>
        <v>8.0108670000000117</v>
      </c>
      <c r="S690">
        <f t="shared" si="32"/>
        <v>0.50265440000000006</v>
      </c>
    </row>
    <row r="691" spans="1:19">
      <c r="A691" s="7">
        <v>42503</v>
      </c>
      <c r="B691" s="6" t="s">
        <v>23</v>
      </c>
      <c r="C691" s="6">
        <v>32</v>
      </c>
      <c r="D691" s="6" t="s">
        <v>61</v>
      </c>
      <c r="F691" s="6">
        <v>0.73</v>
      </c>
      <c r="J691">
        <f>105+128+162</f>
        <v>395</v>
      </c>
      <c r="K691">
        <v>3</v>
      </c>
      <c r="L691">
        <v>162</v>
      </c>
      <c r="N691" t="str">
        <f t="shared" si="30"/>
        <v>NA</v>
      </c>
      <c r="O691">
        <f>IF(AND(OR(D691="S. acutus",D691="S. californicus",D691="S. tabernaemontani"),G691=0),E691*[1]Sheet1!$D$7+[1]Sheet1!$L$7,IF(AND(OR(D691="S. acutus",D691="S. tabernaemontani"),G691&gt;0),E691*[1]Sheet1!$D$8+N691*[1]Sheet1!$E$8,IF(AND(D691="S. californicus",G691&gt;0),E691*[1]Sheet1!$D$9+N691*[1]Sheet1!$E$9,IF(D691="S. maritimus",F691*[1]Sheet1!$C$10+E691*[1]Sheet1!$D$10+G691*[1]Sheet1!$F$10+[1]Sheet1!$L$10,IF(D691="S. americanus",F691*[1]Sheet1!$C$6+E691*[1]Sheet1!$D$6+[1]Sheet1!$L$6,IF(AND(OR(D691="T. domingensis",D691="T. latifolia"),E691&gt;0),F691*[1]Sheet1!$C$4+E691*[1]Sheet1!$D$4+H691*[1]Sheet1!$J$4+I691*[1]Sheet1!$K$4+[1]Sheet1!$L$4,IF(AND(OR(D691="T. domingensis",D691="T. latifolia"),J691&gt;0),J691*[1]Sheet1!$G$5+K691*[1]Sheet1!$H$5+L691*[1]Sheet1!$I$5+[1]Sheet1!$L$5,0)))))))</f>
        <v>0.20145999999999731</v>
      </c>
      <c r="P691">
        <f t="shared" si="31"/>
        <v>0.20145999999999731</v>
      </c>
      <c r="S691">
        <f t="shared" si="32"/>
        <v>0.41853832774999994</v>
      </c>
    </row>
    <row r="692" spans="1:19">
      <c r="A692" s="7">
        <v>42503</v>
      </c>
      <c r="B692" s="6" t="s">
        <v>23</v>
      </c>
      <c r="C692" s="6">
        <v>32</v>
      </c>
      <c r="D692" s="6" t="s">
        <v>61</v>
      </c>
      <c r="F692" s="6">
        <v>1.41</v>
      </c>
      <c r="J692">
        <f>237+202</f>
        <v>439</v>
      </c>
      <c r="K692">
        <v>2</v>
      </c>
      <c r="L692">
        <v>237</v>
      </c>
      <c r="N692" t="str">
        <f t="shared" si="30"/>
        <v>NA</v>
      </c>
      <c r="O692">
        <f>IF(AND(OR(D692="S. acutus",D692="S. californicus",D692="S. tabernaemontani"),G692=0),E692*[1]Sheet1!$D$7+[1]Sheet1!$L$7,IF(AND(OR(D692="S. acutus",D692="S. tabernaemontani"),G692&gt;0),E692*[1]Sheet1!$D$8+N692*[1]Sheet1!$E$8,IF(AND(D692="S. californicus",G692&gt;0),E692*[1]Sheet1!$D$9+N692*[1]Sheet1!$E$9,IF(D692="S. maritimus",F692*[1]Sheet1!$C$10+E692*[1]Sheet1!$D$10+G692*[1]Sheet1!$F$10+[1]Sheet1!$L$10,IF(D692="S. americanus",F692*[1]Sheet1!$C$6+E692*[1]Sheet1!$D$6+[1]Sheet1!$L$6,IF(AND(OR(D692="T. domingensis",D692="T. latifolia"),E692&gt;0),F692*[1]Sheet1!$C$4+E692*[1]Sheet1!$D$4+H692*[1]Sheet1!$J$4+I692*[1]Sheet1!$K$4+[1]Sheet1!$L$4,IF(AND(OR(D692="T. domingensis",D692="T. latifolia"),J692&gt;0),J692*[1]Sheet1!$G$5+K692*[1]Sheet1!$H$5+L692*[1]Sheet1!$I$5+[1]Sheet1!$L$5,0)))))))</f>
        <v>-11.244342000000003</v>
      </c>
      <c r="P692" t="str">
        <f t="shared" si="31"/>
        <v xml:space="preserve"> </v>
      </c>
      <c r="S692">
        <f t="shared" si="32"/>
        <v>1.5614487697499997</v>
      </c>
    </row>
    <row r="693" spans="1:19">
      <c r="A693" s="7">
        <v>42503</v>
      </c>
      <c r="B693" s="6" t="s">
        <v>23</v>
      </c>
      <c r="C693" s="6">
        <v>32</v>
      </c>
      <c r="D693" s="6" t="s">
        <v>61</v>
      </c>
      <c r="E693">
        <v>271</v>
      </c>
      <c r="F693" s="6">
        <v>2.9</v>
      </c>
      <c r="H693" s="6">
        <v>28</v>
      </c>
      <c r="I693">
        <v>1</v>
      </c>
      <c r="N693" t="str">
        <f t="shared" si="30"/>
        <v>NA</v>
      </c>
      <c r="O693">
        <f>IF(AND(OR(D693="S. acutus",D693="S. californicus",D693="S. tabernaemontani"),G693=0),E693*[1]Sheet1!$D$7+[1]Sheet1!$L$7,IF(AND(OR(D693="S. acutus",D693="S. tabernaemontani"),G693&gt;0),E693*[1]Sheet1!$D$8+N693*[1]Sheet1!$E$8,IF(AND(D693="S. californicus",G693&gt;0),E693*[1]Sheet1!$D$9+N693*[1]Sheet1!$E$9,IF(D693="S. maritimus",F693*[1]Sheet1!$C$10+E693*[1]Sheet1!$D$10+G693*[1]Sheet1!$F$10+[1]Sheet1!$L$10,IF(D693="S. americanus",F693*[1]Sheet1!$C$6+E693*[1]Sheet1!$D$6+[1]Sheet1!$L$6,IF(AND(OR(D693="T. domingensis",D693="T. latifolia"),E693&gt;0),F693*[1]Sheet1!$C$4+E693*[1]Sheet1!$D$4+H693*[1]Sheet1!$J$4+I693*[1]Sheet1!$K$4+[1]Sheet1!$L$4,IF(AND(OR(D693="T. domingensis",D693="T. latifolia"),J693&gt;0),J693*[1]Sheet1!$G$5+K693*[1]Sheet1!$H$5+L693*[1]Sheet1!$I$5+[1]Sheet1!$L$5,0)))))))</f>
        <v>83.548707100000001</v>
      </c>
      <c r="P693">
        <f t="shared" si="31"/>
        <v>83.548707100000001</v>
      </c>
      <c r="S693">
        <f t="shared" si="32"/>
        <v>6.6051929749999996</v>
      </c>
    </row>
    <row r="694" spans="1:19">
      <c r="A694" s="7">
        <v>42503</v>
      </c>
      <c r="B694" s="6" t="s">
        <v>23</v>
      </c>
      <c r="C694" s="6">
        <v>32</v>
      </c>
      <c r="D694" s="6" t="s">
        <v>61</v>
      </c>
      <c r="E694">
        <v>260</v>
      </c>
      <c r="F694" s="6">
        <v>3.09</v>
      </c>
      <c r="H694" s="6">
        <v>29</v>
      </c>
      <c r="I694">
        <v>1.95</v>
      </c>
      <c r="N694" t="str">
        <f t="shared" si="30"/>
        <v>NA</v>
      </c>
      <c r="O694">
        <f>IF(AND(OR(D694="S. acutus",D694="S. californicus",D694="S. tabernaemontani"),G694=0),E694*[1]Sheet1!$D$7+[1]Sheet1!$L$7,IF(AND(OR(D694="S. acutus",D694="S. tabernaemontani"),G694&gt;0),E694*[1]Sheet1!$D$8+N694*[1]Sheet1!$E$8,IF(AND(D694="S. californicus",G694&gt;0),E694*[1]Sheet1!$D$9+N694*[1]Sheet1!$E$9,IF(D694="S. maritimus",F694*[1]Sheet1!$C$10+E694*[1]Sheet1!$D$10+G694*[1]Sheet1!$F$10+[1]Sheet1!$L$10,IF(D694="S. americanus",F694*[1]Sheet1!$C$6+E694*[1]Sheet1!$D$6+[1]Sheet1!$L$6,IF(AND(OR(D694="T. domingensis",D694="T. latifolia"),E694&gt;0),F694*[1]Sheet1!$C$4+E694*[1]Sheet1!$D$4+H694*[1]Sheet1!$J$4+I694*[1]Sheet1!$K$4+[1]Sheet1!$L$4,IF(AND(OR(D694="T. domingensis",D694="T. latifolia"),J694&gt;0),J694*[1]Sheet1!$G$5+K694*[1]Sheet1!$H$5+L694*[1]Sheet1!$I$5+[1]Sheet1!$L$5,0)))))))</f>
        <v>101.39800392999999</v>
      </c>
      <c r="P694">
        <f t="shared" si="31"/>
        <v>101.39800392999999</v>
      </c>
      <c r="S694">
        <f t="shared" si="32"/>
        <v>7.49905386975</v>
      </c>
    </row>
    <row r="695" spans="1:19">
      <c r="A695" s="7">
        <v>42503</v>
      </c>
      <c r="B695" s="6" t="s">
        <v>23</v>
      </c>
      <c r="C695" s="6">
        <v>32</v>
      </c>
      <c r="D695" s="6" t="s">
        <v>61</v>
      </c>
      <c r="F695" s="6">
        <v>1.6</v>
      </c>
      <c r="J695">
        <f>126+174+207+245+264+291</f>
        <v>1307</v>
      </c>
      <c r="K695">
        <v>6</v>
      </c>
      <c r="L695">
        <v>291</v>
      </c>
      <c r="N695" t="str">
        <f t="shared" si="30"/>
        <v>NA</v>
      </c>
      <c r="O695">
        <f>IF(AND(OR(D695="S. acutus",D695="S. californicus",D695="S. tabernaemontani"),G695=0),E695*[1]Sheet1!$D$7+[1]Sheet1!$L$7,IF(AND(OR(D695="S. acutus",D695="S. tabernaemontani"),G695&gt;0),E695*[1]Sheet1!$D$8+N695*[1]Sheet1!$E$8,IF(AND(D695="S. californicus",G695&gt;0),E695*[1]Sheet1!$D$9+N695*[1]Sheet1!$E$9,IF(D695="S. maritimus",F695*[1]Sheet1!$C$10+E695*[1]Sheet1!$D$10+G695*[1]Sheet1!$F$10+[1]Sheet1!$L$10,IF(D695="S. americanus",F695*[1]Sheet1!$C$6+E695*[1]Sheet1!$D$6+[1]Sheet1!$L$6,IF(AND(OR(D695="T. domingensis",D695="T. latifolia"),E695&gt;0),F695*[1]Sheet1!$C$4+E695*[1]Sheet1!$D$4+H695*[1]Sheet1!$J$4+I695*[1]Sheet1!$K$4+[1]Sheet1!$L$4,IF(AND(OR(D695="T. domingensis",D695="T. latifolia"),J695&gt;0),J695*[1]Sheet1!$G$5+K695*[1]Sheet1!$H$5+L695*[1]Sheet1!$I$5+[1]Sheet1!$L$5,0)))))))</f>
        <v>25.778355999999995</v>
      </c>
      <c r="P695">
        <f t="shared" si="31"/>
        <v>25.778355999999995</v>
      </c>
      <c r="S695">
        <f t="shared" si="32"/>
        <v>2.0106176000000002</v>
      </c>
    </row>
    <row r="696" spans="1:19">
      <c r="A696" s="7">
        <v>42503</v>
      </c>
      <c r="B696" s="6" t="s">
        <v>23</v>
      </c>
      <c r="C696" s="6">
        <v>32</v>
      </c>
      <c r="D696" s="6" t="s">
        <v>61</v>
      </c>
      <c r="E696">
        <v>250</v>
      </c>
      <c r="F696" s="6">
        <v>2.98</v>
      </c>
      <c r="H696" s="6">
        <v>30</v>
      </c>
      <c r="I696">
        <v>1</v>
      </c>
      <c r="N696" t="str">
        <f t="shared" si="30"/>
        <v>NA</v>
      </c>
      <c r="O696">
        <f>IF(AND(OR(D696="S. acutus",D696="S. californicus",D696="S. tabernaemontani"),G696=0),E696*[1]Sheet1!$D$7+[1]Sheet1!$L$7,IF(AND(OR(D696="S. acutus",D696="S. tabernaemontani"),G696&gt;0),E696*[1]Sheet1!$D$8+N696*[1]Sheet1!$E$8,IF(AND(D696="S. californicus",G696&gt;0),E696*[1]Sheet1!$D$9+N696*[1]Sheet1!$E$9,IF(D696="S. maritimus",F696*[1]Sheet1!$C$10+E696*[1]Sheet1!$D$10+G696*[1]Sheet1!$F$10+[1]Sheet1!$L$10,IF(D696="S. americanus",F696*[1]Sheet1!$C$6+E696*[1]Sheet1!$D$6+[1]Sheet1!$L$6,IF(AND(OR(D696="T. domingensis",D696="T. latifolia"),E696&gt;0),F696*[1]Sheet1!$C$4+E696*[1]Sheet1!$D$4+H696*[1]Sheet1!$J$4+I696*[1]Sheet1!$K$4+[1]Sheet1!$L$4,IF(AND(OR(D696="T. domingensis",D696="T. latifolia"),J696&gt;0),J696*[1]Sheet1!$G$5+K696*[1]Sheet1!$H$5+L696*[1]Sheet1!$I$5+[1]Sheet1!$L$5,0)))))))</f>
        <v>80.568624660000012</v>
      </c>
      <c r="P696">
        <f t="shared" si="31"/>
        <v>80.568624660000012</v>
      </c>
      <c r="S696">
        <f t="shared" si="32"/>
        <v>6.9746439589999998</v>
      </c>
    </row>
    <row r="697" spans="1:19">
      <c r="A697" s="7">
        <v>42503</v>
      </c>
      <c r="B697" s="6" t="s">
        <v>23</v>
      </c>
      <c r="C697" s="6">
        <v>32</v>
      </c>
      <c r="D697" s="6" t="s">
        <v>61</v>
      </c>
      <c r="E697">
        <v>256</v>
      </c>
      <c r="F697" s="6">
        <v>2.66</v>
      </c>
      <c r="H697" s="6">
        <v>30</v>
      </c>
      <c r="I697">
        <v>1.2</v>
      </c>
      <c r="N697" t="str">
        <f t="shared" si="30"/>
        <v>NA</v>
      </c>
      <c r="O697">
        <f>IF(AND(OR(D697="S. acutus",D697="S. californicus",D697="S. tabernaemontani"),G697=0),E697*[1]Sheet1!$D$7+[1]Sheet1!$L$7,IF(AND(OR(D697="S. acutus",D697="S. tabernaemontani"),G697&gt;0),E697*[1]Sheet1!$D$8+N697*[1]Sheet1!$E$8,IF(AND(D697="S. californicus",G697&gt;0),E697*[1]Sheet1!$D$9+N697*[1]Sheet1!$E$9,IF(D697="S. maritimus",F697*[1]Sheet1!$C$10+E697*[1]Sheet1!$D$10+G697*[1]Sheet1!$F$10+[1]Sheet1!$L$10,IF(D697="S. americanus",F697*[1]Sheet1!$C$6+E697*[1]Sheet1!$D$6+[1]Sheet1!$L$6,IF(AND(OR(D697="T. domingensis",D697="T. latifolia"),E697&gt;0),F697*[1]Sheet1!$C$4+E697*[1]Sheet1!$D$4+H697*[1]Sheet1!$J$4+I697*[1]Sheet1!$K$4+[1]Sheet1!$L$4,IF(AND(OR(D697="T. domingensis",D697="T. latifolia"),J697&gt;0),J697*[1]Sheet1!$G$5+K697*[1]Sheet1!$H$5+L697*[1]Sheet1!$I$5+[1]Sheet1!$L$5,0)))))))</f>
        <v>79.722886020000004</v>
      </c>
      <c r="P697">
        <f t="shared" si="31"/>
        <v>79.722886020000004</v>
      </c>
      <c r="S697">
        <f t="shared" si="32"/>
        <v>5.5571585510000006</v>
      </c>
    </row>
    <row r="698" spans="1:19">
      <c r="A698" s="7">
        <v>42503</v>
      </c>
      <c r="B698" s="6" t="s">
        <v>23</v>
      </c>
      <c r="C698" s="6">
        <v>32</v>
      </c>
      <c r="D698" s="6" t="s">
        <v>61</v>
      </c>
      <c r="E698">
        <v>268</v>
      </c>
      <c r="F698" s="6">
        <v>1.59</v>
      </c>
      <c r="H698" s="6">
        <v>28</v>
      </c>
      <c r="I698">
        <v>1.05</v>
      </c>
      <c r="N698" t="str">
        <f t="shared" si="30"/>
        <v>NA</v>
      </c>
      <c r="O698">
        <f>IF(AND(OR(D698="S. acutus",D698="S. californicus",D698="S. tabernaemontani"),G698=0),E698*[1]Sheet1!$D$7+[1]Sheet1!$L$7,IF(AND(OR(D698="S. acutus",D698="S. tabernaemontani"),G698&gt;0),E698*[1]Sheet1!$D$8+N698*[1]Sheet1!$E$8,IF(AND(D698="S. californicus",G698&gt;0),E698*[1]Sheet1!$D$9+N698*[1]Sheet1!$E$9,IF(D698="S. maritimus",F698*[1]Sheet1!$C$10+E698*[1]Sheet1!$D$10+G698*[1]Sheet1!$F$10+[1]Sheet1!$L$10,IF(D698="S. americanus",F698*[1]Sheet1!$C$6+E698*[1]Sheet1!$D$6+[1]Sheet1!$L$6,IF(AND(OR(D698="T. domingensis",D698="T. latifolia"),E698&gt;0),F698*[1]Sheet1!$C$4+E698*[1]Sheet1!$D$4+H698*[1]Sheet1!$J$4+I698*[1]Sheet1!$K$4+[1]Sheet1!$L$4,IF(AND(OR(D698="T. domingensis",D698="T. latifolia"),J698&gt;0),J698*[1]Sheet1!$G$5+K698*[1]Sheet1!$H$5+L698*[1]Sheet1!$I$5+[1]Sheet1!$L$5,0)))))))</f>
        <v>58.276282629999997</v>
      </c>
      <c r="P698">
        <f t="shared" si="31"/>
        <v>58.276282629999997</v>
      </c>
      <c r="S698">
        <f t="shared" si="32"/>
        <v>1.9855634197500001</v>
      </c>
    </row>
    <row r="699" spans="1:19">
      <c r="A699" s="7">
        <v>42503</v>
      </c>
      <c r="B699" s="6" t="s">
        <v>23</v>
      </c>
      <c r="C699" s="6">
        <v>32</v>
      </c>
      <c r="D699" s="6" t="s">
        <v>61</v>
      </c>
      <c r="E699">
        <v>233</v>
      </c>
      <c r="F699" s="6">
        <v>2.29</v>
      </c>
      <c r="H699" s="6">
        <v>19</v>
      </c>
      <c r="I699">
        <v>0.7</v>
      </c>
      <c r="N699" t="str">
        <f t="shared" si="30"/>
        <v>NA</v>
      </c>
      <c r="O699">
        <f>IF(AND(OR(D699="S. acutus",D699="S. californicus",D699="S. tabernaemontani"),G699=0),E699*[1]Sheet1!$D$7+[1]Sheet1!$L$7,IF(AND(OR(D699="S. acutus",D699="S. tabernaemontani"),G699&gt;0),E699*[1]Sheet1!$D$8+N699*[1]Sheet1!$E$8,IF(AND(D699="S. californicus",G699&gt;0),E699*[1]Sheet1!$D$9+N699*[1]Sheet1!$E$9,IF(D699="S. maritimus",F699*[1]Sheet1!$C$10+E699*[1]Sheet1!$D$10+G699*[1]Sheet1!$F$10+[1]Sheet1!$L$10,IF(D699="S. americanus",F699*[1]Sheet1!$C$6+E699*[1]Sheet1!$D$6+[1]Sheet1!$L$6,IF(AND(OR(D699="T. domingensis",D699="T. latifolia"),E699&gt;0),F699*[1]Sheet1!$C$4+E699*[1]Sheet1!$D$4+H699*[1]Sheet1!$J$4+I699*[1]Sheet1!$K$4+[1]Sheet1!$L$4,IF(AND(OR(D699="T. domingensis",D699="T. latifolia"),J699&gt;0),J699*[1]Sheet1!$G$5+K699*[1]Sheet1!$H$5+L699*[1]Sheet1!$I$5+[1]Sheet1!$L$5,0)))))))</f>
        <v>46.635984929999978</v>
      </c>
      <c r="P699">
        <f t="shared" si="31"/>
        <v>46.635984929999978</v>
      </c>
      <c r="S699">
        <f t="shared" si="32"/>
        <v>4.1187030297499998</v>
      </c>
    </row>
    <row r="700" spans="1:19">
      <c r="A700" s="7">
        <v>42503</v>
      </c>
      <c r="B700" s="6" t="s">
        <v>23</v>
      </c>
      <c r="C700" s="6">
        <v>28</v>
      </c>
      <c r="D700" s="6" t="s">
        <v>61</v>
      </c>
      <c r="E700">
        <v>264</v>
      </c>
      <c r="F700" s="6">
        <v>2.2599999999999998</v>
      </c>
      <c r="H700" s="6">
        <v>31</v>
      </c>
      <c r="I700">
        <v>0.99</v>
      </c>
      <c r="N700" t="str">
        <f t="shared" si="30"/>
        <v>NA</v>
      </c>
      <c r="O700">
        <f>IF(AND(OR(D700="S. acutus",D700="S. californicus",D700="S. tabernaemontani"),G700=0),E700*[1]Sheet1!$D$7+[1]Sheet1!$L$7,IF(AND(OR(D700="S. acutus",D700="S. tabernaemontani"),G700&gt;0),E700*[1]Sheet1!$D$8+N700*[1]Sheet1!$E$8,IF(AND(D700="S. californicus",G700&gt;0),E700*[1]Sheet1!$D$9+N700*[1]Sheet1!$E$9,IF(D700="S. maritimus",F700*[1]Sheet1!$C$10+E700*[1]Sheet1!$D$10+G700*[1]Sheet1!$F$10+[1]Sheet1!$L$10,IF(D700="S. americanus",F700*[1]Sheet1!$C$6+E700*[1]Sheet1!$D$6+[1]Sheet1!$L$6,IF(AND(OR(D700="T. domingensis",D700="T. latifolia"),E700&gt;0),F700*[1]Sheet1!$C$4+E700*[1]Sheet1!$D$4+H700*[1]Sheet1!$J$4+I700*[1]Sheet1!$K$4+[1]Sheet1!$L$4,IF(AND(OR(D700="T. domingensis",D700="T. latifolia"),J700&gt;0),J700*[1]Sheet1!$G$5+K700*[1]Sheet1!$H$5+L700*[1]Sheet1!$I$5+[1]Sheet1!$L$5,0)))))))</f>
        <v>71.709097340000028</v>
      </c>
      <c r="P700">
        <f t="shared" si="31"/>
        <v>71.709097340000028</v>
      </c>
      <c r="S700">
        <f t="shared" si="32"/>
        <v>4.0114962709999986</v>
      </c>
    </row>
    <row r="701" spans="1:19">
      <c r="A701" s="7">
        <v>42503</v>
      </c>
      <c r="B701" s="6" t="s">
        <v>23</v>
      </c>
      <c r="C701" s="6">
        <v>28</v>
      </c>
      <c r="D701" s="6" t="s">
        <v>61</v>
      </c>
      <c r="F701" s="6">
        <v>1.54</v>
      </c>
      <c r="J701">
        <f>147+281+298+212+217+223</f>
        <v>1378</v>
      </c>
      <c r="K701">
        <v>6</v>
      </c>
      <c r="L701">
        <v>298</v>
      </c>
      <c r="N701" t="str">
        <f t="shared" si="30"/>
        <v>NA</v>
      </c>
      <c r="O701">
        <f>IF(AND(OR(D701="S. acutus",D701="S. californicus",D701="S. tabernaemontani"),G701=0),E701*[1]Sheet1!$D$7+[1]Sheet1!$L$7,IF(AND(OR(D701="S. acutus",D701="S. tabernaemontani"),G701&gt;0),E701*[1]Sheet1!$D$8+N701*[1]Sheet1!$E$8,IF(AND(D701="S. californicus",G701&gt;0),E701*[1]Sheet1!$D$9+N701*[1]Sheet1!$E$9,IF(D701="S. maritimus",F701*[1]Sheet1!$C$10+E701*[1]Sheet1!$D$10+G701*[1]Sheet1!$F$10+[1]Sheet1!$L$10,IF(D701="S. americanus",F701*[1]Sheet1!$C$6+E701*[1]Sheet1!$D$6+[1]Sheet1!$L$6,IF(AND(OR(D701="T. domingensis",D701="T. latifolia"),E701&gt;0),F701*[1]Sheet1!$C$4+E701*[1]Sheet1!$D$4+H701*[1]Sheet1!$J$4+I701*[1]Sheet1!$K$4+[1]Sheet1!$L$4,IF(AND(OR(D701="T. domingensis",D701="T. latifolia"),J701&gt;0),J701*[1]Sheet1!$G$5+K701*[1]Sheet1!$H$5+L701*[1]Sheet1!$I$5+[1]Sheet1!$L$5,0)))))))</f>
        <v>30.326246000000005</v>
      </c>
      <c r="P701">
        <f t="shared" si="31"/>
        <v>30.326246000000005</v>
      </c>
      <c r="S701">
        <f t="shared" si="32"/>
        <v>1.8626487109999998</v>
      </c>
    </row>
    <row r="702" spans="1:19">
      <c r="A702" s="7">
        <v>42503</v>
      </c>
      <c r="B702" s="6" t="s">
        <v>23</v>
      </c>
      <c r="C702" s="6">
        <v>28</v>
      </c>
      <c r="D702" s="6" t="s">
        <v>61</v>
      </c>
      <c r="E702">
        <v>251</v>
      </c>
      <c r="F702" s="6">
        <v>3.11</v>
      </c>
      <c r="H702" s="6">
        <v>26</v>
      </c>
      <c r="I702">
        <v>0.71</v>
      </c>
      <c r="N702" t="str">
        <f t="shared" si="30"/>
        <v>NA</v>
      </c>
      <c r="O702">
        <f>IF(AND(OR(D702="S. acutus",D702="S. californicus",D702="S. tabernaemontani"),G702=0),E702*[1]Sheet1!$D$7+[1]Sheet1!$L$7,IF(AND(OR(D702="S. acutus",D702="S. tabernaemontani"),G702&gt;0),E702*[1]Sheet1!$D$8+N702*[1]Sheet1!$E$8,IF(AND(D702="S. californicus",G702&gt;0),E702*[1]Sheet1!$D$9+N702*[1]Sheet1!$E$9,IF(D702="S. maritimus",F702*[1]Sheet1!$C$10+E702*[1]Sheet1!$D$10+G702*[1]Sheet1!$F$10+[1]Sheet1!$L$10,IF(D702="S. americanus",F702*[1]Sheet1!$C$6+E702*[1]Sheet1!$D$6+[1]Sheet1!$L$6,IF(AND(OR(D702="T. domingensis",D702="T. latifolia"),E702&gt;0),F702*[1]Sheet1!$C$4+E702*[1]Sheet1!$D$4+H702*[1]Sheet1!$J$4+I702*[1]Sheet1!$K$4+[1]Sheet1!$L$4,IF(AND(OR(D702="T. domingensis",D702="T. latifolia"),J702&gt;0),J702*[1]Sheet1!$G$5+K702*[1]Sheet1!$H$5+L702*[1]Sheet1!$I$5+[1]Sheet1!$L$5,0)))))))</f>
        <v>74.587885949999986</v>
      </c>
      <c r="P702">
        <f t="shared" si="31"/>
        <v>74.587885949999986</v>
      </c>
      <c r="S702">
        <f t="shared" si="32"/>
        <v>7.5964431597499988</v>
      </c>
    </row>
    <row r="703" spans="1:19">
      <c r="A703" s="7">
        <v>42503</v>
      </c>
      <c r="B703" s="6" t="s">
        <v>23</v>
      </c>
      <c r="C703" s="6">
        <v>28</v>
      </c>
      <c r="D703" s="6" t="s">
        <v>61</v>
      </c>
      <c r="E703">
        <v>158</v>
      </c>
      <c r="F703" s="6">
        <v>2.4500000000000002</v>
      </c>
      <c r="H703" s="6">
        <v>27</v>
      </c>
      <c r="I703">
        <v>1.84</v>
      </c>
      <c r="N703" t="str">
        <f t="shared" si="30"/>
        <v>NA</v>
      </c>
      <c r="O703">
        <f>IF(AND(OR(D703="S. acutus",D703="S. californicus",D703="S. tabernaemontani"),G703=0),E703*[1]Sheet1!$D$7+[1]Sheet1!$L$7,IF(AND(OR(D703="S. acutus",D703="S. tabernaemontani"),G703&gt;0),E703*[1]Sheet1!$D$8+N703*[1]Sheet1!$E$8,IF(AND(D703="S. californicus",G703&gt;0),E703*[1]Sheet1!$D$9+N703*[1]Sheet1!$E$9,IF(D703="S. maritimus",F703*[1]Sheet1!$C$10+E703*[1]Sheet1!$D$10+G703*[1]Sheet1!$F$10+[1]Sheet1!$L$10,IF(D703="S. americanus",F703*[1]Sheet1!$C$6+E703*[1]Sheet1!$D$6+[1]Sheet1!$L$6,IF(AND(OR(D703="T. domingensis",D703="T. latifolia"),E703&gt;0),F703*[1]Sheet1!$C$4+E703*[1]Sheet1!$D$4+H703*[1]Sheet1!$J$4+I703*[1]Sheet1!$K$4+[1]Sheet1!$L$4,IF(AND(OR(D703="T. domingensis",D703="T. latifolia"),J703&gt;0),J703*[1]Sheet1!$G$5+K703*[1]Sheet1!$H$5+L703*[1]Sheet1!$I$5+[1]Sheet1!$L$5,0)))))))</f>
        <v>54.290723370000023</v>
      </c>
      <c r="P703">
        <f t="shared" si="31"/>
        <v>54.290723370000023</v>
      </c>
      <c r="S703">
        <f t="shared" si="32"/>
        <v>4.7143484937500011</v>
      </c>
    </row>
    <row r="704" spans="1:19">
      <c r="A704" s="7">
        <v>42503</v>
      </c>
      <c r="B704" s="6" t="s">
        <v>23</v>
      </c>
      <c r="C704" s="6">
        <v>28</v>
      </c>
      <c r="D704" s="6" t="s">
        <v>61</v>
      </c>
      <c r="E704">
        <v>225</v>
      </c>
      <c r="F704" s="6">
        <v>1.85</v>
      </c>
      <c r="H704" s="6">
        <v>20</v>
      </c>
      <c r="I704">
        <v>1.01</v>
      </c>
      <c r="N704" t="str">
        <f t="shared" si="30"/>
        <v>NA</v>
      </c>
      <c r="O704">
        <f>IF(AND(OR(D704="S. acutus",D704="S. californicus",D704="S. tabernaemontani"),G704=0),E704*[1]Sheet1!$D$7+[1]Sheet1!$L$7,IF(AND(OR(D704="S. acutus",D704="S. tabernaemontani"),G704&gt;0),E704*[1]Sheet1!$D$8+N704*[1]Sheet1!$E$8,IF(AND(D704="S. californicus",G704&gt;0),E704*[1]Sheet1!$D$9+N704*[1]Sheet1!$E$9,IF(D704="S. maritimus",F704*[1]Sheet1!$C$10+E704*[1]Sheet1!$D$10+G704*[1]Sheet1!$F$10+[1]Sheet1!$L$10,IF(D704="S. americanus",F704*[1]Sheet1!$C$6+E704*[1]Sheet1!$D$6+[1]Sheet1!$L$6,IF(AND(OR(D704="T. domingensis",D704="T. latifolia"),E704&gt;0),F704*[1]Sheet1!$C$4+E704*[1]Sheet1!$D$4+H704*[1]Sheet1!$J$4+I704*[1]Sheet1!$K$4+[1]Sheet1!$L$4,IF(AND(OR(D704="T. domingensis",D704="T. latifolia"),J704&gt;0),J704*[1]Sheet1!$G$5+K704*[1]Sheet1!$H$5+L704*[1]Sheet1!$I$5+[1]Sheet1!$L$5,0)))))))</f>
        <v>42.076844529999988</v>
      </c>
      <c r="P704">
        <f t="shared" si="31"/>
        <v>42.076844529999988</v>
      </c>
      <c r="S704">
        <f t="shared" si="32"/>
        <v>2.6880229437500001</v>
      </c>
    </row>
    <row r="705" spans="1:19">
      <c r="A705" s="7">
        <v>42503</v>
      </c>
      <c r="B705" s="6" t="s">
        <v>23</v>
      </c>
      <c r="C705" s="6">
        <v>28</v>
      </c>
      <c r="D705" s="6" t="s">
        <v>61</v>
      </c>
      <c r="E705">
        <v>253</v>
      </c>
      <c r="F705" s="6">
        <v>3.53</v>
      </c>
      <c r="H705" s="6">
        <v>32</v>
      </c>
      <c r="I705">
        <v>0.89</v>
      </c>
      <c r="N705" t="str">
        <f t="shared" si="30"/>
        <v>NA</v>
      </c>
      <c r="O705">
        <f>IF(AND(OR(D705="S. acutus",D705="S. californicus",D705="S. tabernaemontani"),G705=0),E705*[1]Sheet1!$D$7+[1]Sheet1!$L$7,IF(AND(OR(D705="S. acutus",D705="S. tabernaemontani"),G705&gt;0),E705*[1]Sheet1!$D$8+N705*[1]Sheet1!$E$8,IF(AND(D705="S. californicus",G705&gt;0),E705*[1]Sheet1!$D$9+N705*[1]Sheet1!$E$9,IF(D705="S. maritimus",F705*[1]Sheet1!$C$10+E705*[1]Sheet1!$D$10+G705*[1]Sheet1!$F$10+[1]Sheet1!$L$10,IF(D705="S. americanus",F705*[1]Sheet1!$C$6+E705*[1]Sheet1!$D$6+[1]Sheet1!$L$6,IF(AND(OR(D705="T. domingensis",D705="T. latifolia"),E705&gt;0),F705*[1]Sheet1!$C$4+E705*[1]Sheet1!$D$4+H705*[1]Sheet1!$J$4+I705*[1]Sheet1!$K$4+[1]Sheet1!$L$4,IF(AND(OR(D705="T. domingensis",D705="T. latifolia"),J705&gt;0),J705*[1]Sheet1!$G$5+K705*[1]Sheet1!$H$5+L705*[1]Sheet1!$I$5+[1]Sheet1!$L$5,0)))))))</f>
        <v>92.013064130000032</v>
      </c>
      <c r="P705">
        <f t="shared" si="31"/>
        <v>92.013064130000032</v>
      </c>
      <c r="S705">
        <f t="shared" si="32"/>
        <v>9.786759707749999</v>
      </c>
    </row>
    <row r="706" spans="1:19">
      <c r="A706" s="7">
        <v>42503</v>
      </c>
      <c r="B706" s="6" t="s">
        <v>23</v>
      </c>
      <c r="C706" s="6">
        <v>28</v>
      </c>
      <c r="D706" s="6" t="s">
        <v>61</v>
      </c>
      <c r="E706">
        <v>238</v>
      </c>
      <c r="F706" s="6">
        <v>3.1</v>
      </c>
      <c r="H706" s="6">
        <v>24</v>
      </c>
      <c r="I706">
        <v>0.87</v>
      </c>
      <c r="N706" t="str">
        <f t="shared" si="30"/>
        <v>NA</v>
      </c>
      <c r="O706">
        <f>IF(AND(OR(D706="S. acutus",D706="S. californicus",D706="S. tabernaemontani"),G706=0),E706*[1]Sheet1!$D$7+[1]Sheet1!$L$7,IF(AND(OR(D706="S. acutus",D706="S. tabernaemontani"),G706&gt;0),E706*[1]Sheet1!$D$8+N706*[1]Sheet1!$E$8,IF(AND(D706="S. californicus",G706&gt;0),E706*[1]Sheet1!$D$9+N706*[1]Sheet1!$E$9,IF(D706="S. maritimus",F706*[1]Sheet1!$C$10+E706*[1]Sheet1!$D$10+G706*[1]Sheet1!$F$10+[1]Sheet1!$L$10,IF(D706="S. americanus",F706*[1]Sheet1!$C$6+E706*[1]Sheet1!$D$6+[1]Sheet1!$L$6,IF(AND(OR(D706="T. domingensis",D706="T. latifolia"),E706&gt;0),F706*[1]Sheet1!$C$4+E706*[1]Sheet1!$D$4+H706*[1]Sheet1!$J$4+I706*[1]Sheet1!$K$4+[1]Sheet1!$L$4,IF(AND(OR(D706="T. domingensis",D706="T. latifolia"),J706&gt;0),J706*[1]Sheet1!$G$5+K706*[1]Sheet1!$H$5+L706*[1]Sheet1!$I$5+[1]Sheet1!$L$5,0)))))))</f>
        <v>71.380414059999993</v>
      </c>
      <c r="P706">
        <f t="shared" si="31"/>
        <v>71.380414059999993</v>
      </c>
      <c r="S706">
        <f t="shared" si="32"/>
        <v>7.5476699750000007</v>
      </c>
    </row>
    <row r="707" spans="1:19">
      <c r="A707" s="7">
        <v>42503</v>
      </c>
      <c r="B707" s="6" t="s">
        <v>23</v>
      </c>
      <c r="C707" s="6">
        <v>28</v>
      </c>
      <c r="D707" s="6" t="s">
        <v>61</v>
      </c>
      <c r="F707" s="6">
        <v>1.29</v>
      </c>
      <c r="J707">
        <f>111+147+206+221+239</f>
        <v>924</v>
      </c>
      <c r="K707">
        <v>5</v>
      </c>
      <c r="L707">
        <v>239</v>
      </c>
      <c r="N707" t="str">
        <f t="shared" si="30"/>
        <v>NA</v>
      </c>
      <c r="O707">
        <f>IF(AND(OR(D707="S. acutus",D707="S. californicus",D707="S. tabernaemontani"),G707=0),E707*[1]Sheet1!$D$7+[1]Sheet1!$L$7,IF(AND(OR(D707="S. acutus",D707="S. tabernaemontani"),G707&gt;0),E707*[1]Sheet1!$D$8+N707*[1]Sheet1!$E$8,IF(AND(D707="S. californicus",G707&gt;0),E707*[1]Sheet1!$D$9+N707*[1]Sheet1!$E$9,IF(D707="S. maritimus",F707*[1]Sheet1!$C$10+E707*[1]Sheet1!$D$10+G707*[1]Sheet1!$F$10+[1]Sheet1!$L$10,IF(D707="S. americanus",F707*[1]Sheet1!$C$6+E707*[1]Sheet1!$D$6+[1]Sheet1!$L$6,IF(AND(OR(D707="T. domingensis",D707="T. latifolia"),E707&gt;0),F707*[1]Sheet1!$C$4+E707*[1]Sheet1!$D$4+H707*[1]Sheet1!$J$4+I707*[1]Sheet1!$K$4+[1]Sheet1!$L$4,IF(AND(OR(D707="T. domingensis",D707="T. latifolia"),J707&gt;0),J707*[1]Sheet1!$G$5+K707*[1]Sheet1!$H$5+L707*[1]Sheet1!$I$5+[1]Sheet1!$L$5,0)))))))</f>
        <v>12.55728400000001</v>
      </c>
      <c r="P707">
        <f t="shared" si="31"/>
        <v>12.55728400000001</v>
      </c>
      <c r="S707">
        <f t="shared" si="32"/>
        <v>1.3069799797500001</v>
      </c>
    </row>
    <row r="708" spans="1:19">
      <c r="A708" s="7">
        <v>42503</v>
      </c>
      <c r="B708" s="6" t="s">
        <v>23</v>
      </c>
      <c r="C708" s="6">
        <v>28</v>
      </c>
      <c r="D708" s="6" t="s">
        <v>61</v>
      </c>
      <c r="F708" s="6">
        <v>2.36</v>
      </c>
      <c r="J708">
        <f>78+167+210+253+252+276</f>
        <v>1236</v>
      </c>
      <c r="K708">
        <v>6</v>
      </c>
      <c r="L708">
        <v>276</v>
      </c>
      <c r="N708" t="str">
        <f t="shared" ref="N708:N771" si="33">IF(OR(D708="S. acutus", D708="S. tabernaemontani", D708="S. californicus"),(1/3)*(3.14159)*((F708/2)^2)*E708,"NA")</f>
        <v>NA</v>
      </c>
      <c r="O708">
        <f>IF(AND(OR(D708="S. acutus",D708="S. californicus",D708="S. tabernaemontani"),G708=0),E708*[1]Sheet1!$D$7+[1]Sheet1!$L$7,IF(AND(OR(D708="S. acutus",D708="S. tabernaemontani"),G708&gt;0),E708*[1]Sheet1!$D$8+N708*[1]Sheet1!$E$8,IF(AND(D708="S. californicus",G708&gt;0),E708*[1]Sheet1!$D$9+N708*[1]Sheet1!$E$9,IF(D708="S. maritimus",F708*[1]Sheet1!$C$10+E708*[1]Sheet1!$D$10+G708*[1]Sheet1!$F$10+[1]Sheet1!$L$10,IF(D708="S. americanus",F708*[1]Sheet1!$C$6+E708*[1]Sheet1!$D$6+[1]Sheet1!$L$6,IF(AND(OR(D708="T. domingensis",D708="T. latifolia"),E708&gt;0),F708*[1]Sheet1!$C$4+E708*[1]Sheet1!$D$4+H708*[1]Sheet1!$J$4+I708*[1]Sheet1!$K$4+[1]Sheet1!$L$4,IF(AND(OR(D708="T. domingensis",D708="T. latifolia"),J708&gt;0),J708*[1]Sheet1!$G$5+K708*[1]Sheet1!$H$5+L708*[1]Sheet1!$I$5+[1]Sheet1!$L$5,0)))))))</f>
        <v>23.640425999999998</v>
      </c>
      <c r="P708">
        <f t="shared" ref="P708:P771" si="34">IF(O708&lt;0," ",O708)</f>
        <v>23.640425999999998</v>
      </c>
      <c r="S708">
        <f t="shared" ref="S708:S771" si="35">3.14159*((F708/2)^2)</f>
        <v>4.374349915999999</v>
      </c>
    </row>
    <row r="709" spans="1:19">
      <c r="A709" s="7">
        <v>42503</v>
      </c>
      <c r="B709" s="6" t="s">
        <v>23</v>
      </c>
      <c r="C709" s="6">
        <v>28</v>
      </c>
      <c r="D709" s="6" t="s">
        <v>61</v>
      </c>
      <c r="F709" s="6">
        <v>1.51</v>
      </c>
      <c r="J709">
        <f>268+216+252+263+289</f>
        <v>1288</v>
      </c>
      <c r="K709">
        <v>5</v>
      </c>
      <c r="L709">
        <v>289</v>
      </c>
      <c r="N709" t="str">
        <f t="shared" si="33"/>
        <v>NA</v>
      </c>
      <c r="O709">
        <f>IF(AND(OR(D709="S. acutus",D709="S. californicus",D709="S. tabernaemontani"),G709=0),E709*[1]Sheet1!$D$7+[1]Sheet1!$L$7,IF(AND(OR(D709="S. acutus",D709="S. tabernaemontani"),G709&gt;0),E709*[1]Sheet1!$D$8+N709*[1]Sheet1!$E$8,IF(AND(D709="S. californicus",G709&gt;0),E709*[1]Sheet1!$D$9+N709*[1]Sheet1!$E$9,IF(D709="S. maritimus",F709*[1]Sheet1!$C$10+E709*[1]Sheet1!$D$10+G709*[1]Sheet1!$F$10+[1]Sheet1!$L$10,IF(D709="S. americanus",F709*[1]Sheet1!$C$6+E709*[1]Sheet1!$D$6+[1]Sheet1!$L$6,IF(AND(OR(D709="T. domingensis",D709="T. latifolia"),E709&gt;0),F709*[1]Sheet1!$C$4+E709*[1]Sheet1!$D$4+H709*[1]Sheet1!$J$4+I709*[1]Sheet1!$K$4+[1]Sheet1!$L$4,IF(AND(OR(D709="T. domingensis",D709="T. latifolia"),J709&gt;0),J709*[1]Sheet1!$G$5+K709*[1]Sheet1!$H$5+L709*[1]Sheet1!$I$5+[1]Sheet1!$L$5,0)))))))</f>
        <v>31.621854000000006</v>
      </c>
      <c r="P709">
        <f t="shared" si="34"/>
        <v>31.621854000000006</v>
      </c>
      <c r="S709">
        <f t="shared" si="35"/>
        <v>1.7907848397499999</v>
      </c>
    </row>
    <row r="710" spans="1:19">
      <c r="A710" s="7">
        <v>42503</v>
      </c>
      <c r="B710" s="6" t="s">
        <v>23</v>
      </c>
      <c r="C710" s="6">
        <v>28</v>
      </c>
      <c r="D710" s="6" t="s">
        <v>61</v>
      </c>
      <c r="F710" s="6">
        <v>1.31</v>
      </c>
      <c r="J710">
        <f>131+265+272+208+207</f>
        <v>1083</v>
      </c>
      <c r="K710">
        <v>5</v>
      </c>
      <c r="L710">
        <v>272</v>
      </c>
      <c r="N710" t="str">
        <f t="shared" si="33"/>
        <v>NA</v>
      </c>
      <c r="O710">
        <f>IF(AND(OR(D710="S. acutus",D710="S. californicus",D710="S. tabernaemontani"),G710=0),E710*[1]Sheet1!$D$7+[1]Sheet1!$L$7,IF(AND(OR(D710="S. acutus",D710="S. tabernaemontani"),G710&gt;0),E710*[1]Sheet1!$D$8+N710*[1]Sheet1!$E$8,IF(AND(D710="S. californicus",G710&gt;0),E710*[1]Sheet1!$D$9+N710*[1]Sheet1!$E$9,IF(D710="S. maritimus",F710*[1]Sheet1!$C$10+E710*[1]Sheet1!$D$10+G710*[1]Sheet1!$F$10+[1]Sheet1!$L$10,IF(D710="S. americanus",F710*[1]Sheet1!$C$6+E710*[1]Sheet1!$D$6+[1]Sheet1!$L$6,IF(AND(OR(D710="T. domingensis",D710="T. latifolia"),E710&gt;0),F710*[1]Sheet1!$C$4+E710*[1]Sheet1!$D$4+H710*[1]Sheet1!$J$4+I710*[1]Sheet1!$K$4+[1]Sheet1!$L$4,IF(AND(OR(D710="T. domingensis",D710="T. latifolia"),J710&gt;0),J710*[1]Sheet1!$G$5+K710*[1]Sheet1!$H$5+L710*[1]Sheet1!$I$5+[1]Sheet1!$L$5,0)))))))</f>
        <v>17.523244000000012</v>
      </c>
      <c r="P710">
        <f t="shared" si="34"/>
        <v>17.523244000000012</v>
      </c>
      <c r="S710">
        <f t="shared" si="35"/>
        <v>1.34782064975</v>
      </c>
    </row>
    <row r="711" spans="1:19">
      <c r="A711" s="7">
        <v>42503</v>
      </c>
      <c r="B711" s="6" t="s">
        <v>23</v>
      </c>
      <c r="C711" s="6">
        <v>28</v>
      </c>
      <c r="D711" s="6" t="s">
        <v>61</v>
      </c>
      <c r="F711" s="6">
        <v>2.93</v>
      </c>
      <c r="J711">
        <f>106+190+229+250+280+288+289</f>
        <v>1632</v>
      </c>
      <c r="K711">
        <v>7</v>
      </c>
      <c r="L711">
        <v>289</v>
      </c>
      <c r="N711" t="str">
        <f t="shared" si="33"/>
        <v>NA</v>
      </c>
      <c r="O711">
        <f>IF(AND(OR(D711="S. acutus",D711="S. californicus",D711="S. tabernaemontani"),G711=0),E711*[1]Sheet1!$D$7+[1]Sheet1!$L$7,IF(AND(OR(D711="S. acutus",D711="S. tabernaemontani"),G711&gt;0),E711*[1]Sheet1!$D$8+N711*[1]Sheet1!$E$8,IF(AND(D711="S. californicus",G711&gt;0),E711*[1]Sheet1!$D$9+N711*[1]Sheet1!$E$9,IF(D711="S. maritimus",F711*[1]Sheet1!$C$10+E711*[1]Sheet1!$D$10+G711*[1]Sheet1!$F$10+[1]Sheet1!$L$10,IF(D711="S. americanus",F711*[1]Sheet1!$C$6+E711*[1]Sheet1!$D$6+[1]Sheet1!$L$6,IF(AND(OR(D711="T. domingensis",D711="T. latifolia"),E711&gt;0),F711*[1]Sheet1!$C$4+E711*[1]Sheet1!$D$4+H711*[1]Sheet1!$J$4+I711*[1]Sheet1!$K$4+[1]Sheet1!$L$4,IF(AND(OR(D711="T. domingensis",D711="T. latifolia"),J711&gt;0),J711*[1]Sheet1!$G$5+K711*[1]Sheet1!$H$5+L711*[1]Sheet1!$I$5+[1]Sheet1!$L$5,0)))))))</f>
        <v>49.828868000000007</v>
      </c>
      <c r="P711">
        <f t="shared" si="34"/>
        <v>49.828868000000007</v>
      </c>
      <c r="S711">
        <f t="shared" si="35"/>
        <v>6.7425589977500007</v>
      </c>
    </row>
    <row r="712" spans="1:19">
      <c r="A712" s="7">
        <v>42503</v>
      </c>
      <c r="B712" s="6" t="s">
        <v>23</v>
      </c>
      <c r="C712" s="6">
        <v>28</v>
      </c>
      <c r="D712" s="6" t="s">
        <v>61</v>
      </c>
      <c r="E712">
        <v>239</v>
      </c>
      <c r="F712" s="6">
        <v>1.98</v>
      </c>
      <c r="H712" s="6">
        <v>20</v>
      </c>
      <c r="I712">
        <v>0.6</v>
      </c>
      <c r="N712" t="str">
        <f t="shared" si="33"/>
        <v>NA</v>
      </c>
      <c r="O712">
        <f>IF(AND(OR(D712="S. acutus",D712="S. californicus",D712="S. tabernaemontani"),G712=0),E712*[1]Sheet1!$D$7+[1]Sheet1!$L$7,IF(AND(OR(D712="S. acutus",D712="S. tabernaemontani"),G712&gt;0),E712*[1]Sheet1!$D$8+N712*[1]Sheet1!$E$8,IF(AND(D712="S. californicus",G712&gt;0),E712*[1]Sheet1!$D$9+N712*[1]Sheet1!$E$9,IF(D712="S. maritimus",F712*[1]Sheet1!$C$10+E712*[1]Sheet1!$D$10+G712*[1]Sheet1!$F$10+[1]Sheet1!$L$10,IF(D712="S. americanus",F712*[1]Sheet1!$C$6+E712*[1]Sheet1!$D$6+[1]Sheet1!$L$6,IF(AND(OR(D712="T. domingensis",D712="T. latifolia"),E712&gt;0),F712*[1]Sheet1!$C$4+E712*[1]Sheet1!$D$4+H712*[1]Sheet1!$J$4+I712*[1]Sheet1!$K$4+[1]Sheet1!$L$4,IF(AND(OR(D712="T. domingensis",D712="T. latifolia"),J712&gt;0),J712*[1]Sheet1!$G$5+K712*[1]Sheet1!$H$5+L712*[1]Sheet1!$I$5+[1]Sheet1!$L$5,0)))))))</f>
        <v>41.670416260000025</v>
      </c>
      <c r="P712">
        <f t="shared" si="34"/>
        <v>41.670416260000025</v>
      </c>
      <c r="S712">
        <f t="shared" si="35"/>
        <v>3.079072359</v>
      </c>
    </row>
    <row r="713" spans="1:19">
      <c r="A713" s="7">
        <v>42503</v>
      </c>
      <c r="B713" s="6" t="s">
        <v>23</v>
      </c>
      <c r="C713" s="6">
        <v>28</v>
      </c>
      <c r="D713" s="6" t="s">
        <v>61</v>
      </c>
      <c r="F713" s="6">
        <v>1.1399999999999999</v>
      </c>
      <c r="J713">
        <f>89+133+180+224</f>
        <v>626</v>
      </c>
      <c r="K713">
        <v>4</v>
      </c>
      <c r="L713">
        <v>224</v>
      </c>
      <c r="N713" t="str">
        <f t="shared" si="33"/>
        <v>NA</v>
      </c>
      <c r="O713">
        <f>IF(AND(OR(D713="S. acutus",D713="S. californicus",D713="S. tabernaemontani"),G713=0),E713*[1]Sheet1!$D$7+[1]Sheet1!$L$7,IF(AND(OR(D713="S. acutus",D713="S. tabernaemontani"),G713&gt;0),E713*[1]Sheet1!$D$8+N713*[1]Sheet1!$E$8,IF(AND(D713="S. californicus",G713&gt;0),E713*[1]Sheet1!$D$9+N713*[1]Sheet1!$E$9,IF(D713="S. maritimus",F713*[1]Sheet1!$C$10+E713*[1]Sheet1!$D$10+G713*[1]Sheet1!$F$10+[1]Sheet1!$L$10,IF(D713="S. americanus",F713*[1]Sheet1!$C$6+E713*[1]Sheet1!$D$6+[1]Sheet1!$L$6,IF(AND(OR(D713="T. domingensis",D713="T. latifolia"),E713&gt;0),F713*[1]Sheet1!$C$4+E713*[1]Sheet1!$D$4+H713*[1]Sheet1!$J$4+I713*[1]Sheet1!$K$4+[1]Sheet1!$L$4,IF(AND(OR(D713="T. domingensis",D713="T. latifolia"),J713&gt;0),J713*[1]Sheet1!$G$5+K713*[1]Sheet1!$H$5+L713*[1]Sheet1!$I$5+[1]Sheet1!$L$5,0)))))))</f>
        <v>-3.840678000000004</v>
      </c>
      <c r="P713" t="str">
        <f t="shared" si="34"/>
        <v xml:space="preserve"> </v>
      </c>
      <c r="S713">
        <f t="shared" si="35"/>
        <v>1.0207025909999998</v>
      </c>
    </row>
    <row r="714" spans="1:19">
      <c r="A714" s="7">
        <v>42503</v>
      </c>
      <c r="B714" s="6" t="s">
        <v>23</v>
      </c>
      <c r="C714" s="6">
        <v>28</v>
      </c>
      <c r="D714" s="6" t="s">
        <v>61</v>
      </c>
      <c r="F714" s="6">
        <v>2.98</v>
      </c>
      <c r="J714">
        <f>169+200+251+263+282+298</f>
        <v>1463</v>
      </c>
      <c r="K714">
        <v>6</v>
      </c>
      <c r="L714">
        <v>298</v>
      </c>
      <c r="N714" t="str">
        <f t="shared" si="33"/>
        <v>NA</v>
      </c>
      <c r="O714">
        <f>IF(AND(OR(D714="S. acutus",D714="S. californicus",D714="S. tabernaemontani"),G714=0),E714*[1]Sheet1!$D$7+[1]Sheet1!$L$7,IF(AND(OR(D714="S. acutus",D714="S. tabernaemontani"),G714&gt;0),E714*[1]Sheet1!$D$8+N714*[1]Sheet1!$E$8,IF(AND(D714="S. californicus",G714&gt;0),E714*[1]Sheet1!$D$9+N714*[1]Sheet1!$E$9,IF(D714="S. maritimus",F714*[1]Sheet1!$C$10+E714*[1]Sheet1!$D$10+G714*[1]Sheet1!$F$10+[1]Sheet1!$L$10,IF(D714="S. americanus",F714*[1]Sheet1!$C$6+E714*[1]Sheet1!$D$6+[1]Sheet1!$L$6,IF(AND(OR(D714="T. domingensis",D714="T. latifolia"),E714&gt;0),F714*[1]Sheet1!$C$4+E714*[1]Sheet1!$D$4+H714*[1]Sheet1!$J$4+I714*[1]Sheet1!$K$4+[1]Sheet1!$L$4,IF(AND(OR(D714="T. domingensis",D714="T. latifolia"),J714&gt;0),J714*[1]Sheet1!$G$5+K714*[1]Sheet1!$H$5+L714*[1]Sheet1!$I$5+[1]Sheet1!$L$5,0)))))))</f>
        <v>38.295421000000012</v>
      </c>
      <c r="P714">
        <f t="shared" si="34"/>
        <v>38.295421000000012</v>
      </c>
      <c r="S714">
        <f t="shared" si="35"/>
        <v>6.9746439589999998</v>
      </c>
    </row>
    <row r="715" spans="1:19">
      <c r="A715" s="7">
        <v>42503</v>
      </c>
      <c r="B715" s="6" t="s">
        <v>23</v>
      </c>
      <c r="C715" s="6">
        <v>28</v>
      </c>
      <c r="D715" s="6" t="s">
        <v>61</v>
      </c>
      <c r="F715" s="6">
        <v>2</v>
      </c>
      <c r="J715">
        <f>144+192+242+247+272</f>
        <v>1097</v>
      </c>
      <c r="K715">
        <v>5</v>
      </c>
      <c r="L715">
        <v>272</v>
      </c>
      <c r="N715" t="str">
        <f t="shared" si="33"/>
        <v>NA</v>
      </c>
      <c r="O715">
        <f>IF(AND(OR(D715="S. acutus",D715="S. californicus",D715="S. tabernaemontani"),G715=0),E715*[1]Sheet1!$D$7+[1]Sheet1!$L$7,IF(AND(OR(D715="S. acutus",D715="S. tabernaemontani"),G715&gt;0),E715*[1]Sheet1!$D$8+N715*[1]Sheet1!$E$8,IF(AND(D715="S. californicus",G715&gt;0),E715*[1]Sheet1!$D$9+N715*[1]Sheet1!$E$9,IF(D715="S. maritimus",F715*[1]Sheet1!$C$10+E715*[1]Sheet1!$D$10+G715*[1]Sheet1!$F$10+[1]Sheet1!$L$10,IF(D715="S. americanus",F715*[1]Sheet1!$C$6+E715*[1]Sheet1!$D$6+[1]Sheet1!$L$6,IF(AND(OR(D715="T. domingensis",D715="T. latifolia"),E715&gt;0),F715*[1]Sheet1!$C$4+E715*[1]Sheet1!$D$4+H715*[1]Sheet1!$J$4+I715*[1]Sheet1!$K$4+[1]Sheet1!$L$4,IF(AND(OR(D715="T. domingensis",D715="T. latifolia"),J715&gt;0),J715*[1]Sheet1!$G$5+K715*[1]Sheet1!$H$5+L715*[1]Sheet1!$I$5+[1]Sheet1!$L$5,0)))))))</f>
        <v>18.835814000000006</v>
      </c>
      <c r="P715">
        <f t="shared" si="34"/>
        <v>18.835814000000006</v>
      </c>
      <c r="S715">
        <f t="shared" si="35"/>
        <v>3.1415899999999999</v>
      </c>
    </row>
    <row r="716" spans="1:19">
      <c r="A716" s="7">
        <v>42503</v>
      </c>
      <c r="B716" s="6" t="s">
        <v>23</v>
      </c>
      <c r="C716" s="6">
        <v>28</v>
      </c>
      <c r="D716" s="6" t="s">
        <v>61</v>
      </c>
      <c r="E716">
        <v>256</v>
      </c>
      <c r="F716" s="6">
        <v>2.98</v>
      </c>
      <c r="H716" s="6">
        <v>22</v>
      </c>
      <c r="I716">
        <v>0.57999999999999996</v>
      </c>
      <c r="N716" t="str">
        <f t="shared" si="33"/>
        <v>NA</v>
      </c>
      <c r="O716">
        <f>IF(AND(OR(D716="S. acutus",D716="S. californicus",D716="S. tabernaemontani"),G716=0),E716*[1]Sheet1!$D$7+[1]Sheet1!$L$7,IF(AND(OR(D716="S. acutus",D716="S. tabernaemontani"),G716&gt;0),E716*[1]Sheet1!$D$8+N716*[1]Sheet1!$E$8,IF(AND(D716="S. californicus",G716&gt;0),E716*[1]Sheet1!$D$9+N716*[1]Sheet1!$E$9,IF(D716="S. maritimus",F716*[1]Sheet1!$C$10+E716*[1]Sheet1!$D$10+G716*[1]Sheet1!$F$10+[1]Sheet1!$L$10,IF(D716="S. americanus",F716*[1]Sheet1!$C$6+E716*[1]Sheet1!$D$6+[1]Sheet1!$L$6,IF(AND(OR(D716="T. domingensis",D716="T. latifolia"),E716&gt;0),F716*[1]Sheet1!$C$4+E716*[1]Sheet1!$D$4+H716*[1]Sheet1!$J$4+I716*[1]Sheet1!$K$4+[1]Sheet1!$L$4,IF(AND(OR(D716="T. domingensis",D716="T. latifolia"),J716&gt;0),J716*[1]Sheet1!$G$5+K716*[1]Sheet1!$H$5+L716*[1]Sheet1!$I$5+[1]Sheet1!$L$5,0)))))))</f>
        <v>67.610396900000012</v>
      </c>
      <c r="P716">
        <f t="shared" si="34"/>
        <v>67.610396900000012</v>
      </c>
      <c r="S716">
        <f t="shared" si="35"/>
        <v>6.9746439589999998</v>
      </c>
    </row>
    <row r="717" spans="1:19">
      <c r="A717" s="7">
        <v>42503</v>
      </c>
      <c r="B717" s="6" t="s">
        <v>23</v>
      </c>
      <c r="C717" s="6">
        <v>28</v>
      </c>
      <c r="D717" s="6" t="s">
        <v>61</v>
      </c>
      <c r="F717" s="6">
        <v>1.98</v>
      </c>
      <c r="J717">
        <f>175+207+206+221+216+251+259+278+293</f>
        <v>2106</v>
      </c>
      <c r="K717">
        <v>9</v>
      </c>
      <c r="L717">
        <v>293</v>
      </c>
      <c r="N717" t="str">
        <f t="shared" si="33"/>
        <v>NA</v>
      </c>
      <c r="O717">
        <f>IF(AND(OR(D717="S. acutus",D717="S. californicus",D717="S. tabernaemontani"),G717=0),E717*[1]Sheet1!$D$7+[1]Sheet1!$L$7,IF(AND(OR(D717="S. acutus",D717="S. tabernaemontani"),G717&gt;0),E717*[1]Sheet1!$D$8+N717*[1]Sheet1!$E$8,IF(AND(D717="S. californicus",G717&gt;0),E717*[1]Sheet1!$D$9+N717*[1]Sheet1!$E$9,IF(D717="S. maritimus",F717*[1]Sheet1!$C$10+E717*[1]Sheet1!$D$10+G717*[1]Sheet1!$F$10+[1]Sheet1!$L$10,IF(D717="S. americanus",F717*[1]Sheet1!$C$6+E717*[1]Sheet1!$D$6+[1]Sheet1!$L$6,IF(AND(OR(D717="T. domingensis",D717="T. latifolia"),E717&gt;0),F717*[1]Sheet1!$C$4+E717*[1]Sheet1!$D$4+H717*[1]Sheet1!$J$4+I717*[1]Sheet1!$K$4+[1]Sheet1!$L$4,IF(AND(OR(D717="T. domingensis",D717="T. latifolia"),J717&gt;0),J717*[1]Sheet1!$G$5+K717*[1]Sheet1!$H$5+L717*[1]Sheet1!$I$5+[1]Sheet1!$L$5,0)))))))</f>
        <v>79.019052000000016</v>
      </c>
      <c r="P717">
        <f t="shared" si="34"/>
        <v>79.019052000000016</v>
      </c>
      <c r="S717">
        <f t="shared" si="35"/>
        <v>3.079072359</v>
      </c>
    </row>
    <row r="718" spans="1:19">
      <c r="A718" s="7">
        <v>42503</v>
      </c>
      <c r="B718" s="6" t="s">
        <v>23</v>
      </c>
      <c r="C718" s="6">
        <v>28</v>
      </c>
      <c r="D718" s="6" t="s">
        <v>61</v>
      </c>
      <c r="E718">
        <v>254</v>
      </c>
      <c r="F718" s="6">
        <v>2.92</v>
      </c>
      <c r="H718" s="6">
        <v>25</v>
      </c>
      <c r="I718">
        <v>0.73</v>
      </c>
      <c r="N718" t="str">
        <f t="shared" si="33"/>
        <v>NA</v>
      </c>
      <c r="O718">
        <f>IF(AND(OR(D718="S. acutus",D718="S. californicus",D718="S. tabernaemontani"),G718=0),E718*[1]Sheet1!$D$7+[1]Sheet1!$L$7,IF(AND(OR(D718="S. acutus",D718="S. tabernaemontani"),G718&gt;0),E718*[1]Sheet1!$D$8+N718*[1]Sheet1!$E$8,IF(AND(D718="S. californicus",G718&gt;0),E718*[1]Sheet1!$D$9+N718*[1]Sheet1!$E$9,IF(D718="S. maritimus",F718*[1]Sheet1!$C$10+E718*[1]Sheet1!$D$10+G718*[1]Sheet1!$F$10+[1]Sheet1!$L$10,IF(D718="S. americanus",F718*[1]Sheet1!$C$6+E718*[1]Sheet1!$D$6+[1]Sheet1!$L$6,IF(AND(OR(D718="T. domingensis",D718="T. latifolia"),E718&gt;0),F718*[1]Sheet1!$C$4+E718*[1]Sheet1!$D$4+H718*[1]Sheet1!$J$4+I718*[1]Sheet1!$K$4+[1]Sheet1!$L$4,IF(AND(OR(D718="T. domingensis",D718="T. latifolia"),J718&gt;0),J718*[1]Sheet1!$G$5+K718*[1]Sheet1!$H$5+L718*[1]Sheet1!$I$5+[1]Sheet1!$L$5,0)))))))</f>
        <v>71.258855280000034</v>
      </c>
      <c r="P718">
        <f t="shared" si="34"/>
        <v>71.258855280000034</v>
      </c>
      <c r="S718">
        <f t="shared" si="35"/>
        <v>6.696613243999999</v>
      </c>
    </row>
    <row r="719" spans="1:19">
      <c r="A719" s="7">
        <v>42503</v>
      </c>
      <c r="B719" s="6" t="s">
        <v>23</v>
      </c>
      <c r="C719" s="6">
        <v>28</v>
      </c>
      <c r="D719" s="6" t="s">
        <v>61</v>
      </c>
      <c r="E719">
        <v>248</v>
      </c>
      <c r="F719" s="6">
        <v>2.4500000000000002</v>
      </c>
      <c r="H719" s="6">
        <v>25</v>
      </c>
      <c r="I719">
        <v>0.8</v>
      </c>
      <c r="N719" t="str">
        <f t="shared" si="33"/>
        <v>NA</v>
      </c>
      <c r="O719">
        <f>IF(AND(OR(D719="S. acutus",D719="S. californicus",D719="S. tabernaemontani"),G719=0),E719*[1]Sheet1!$D$7+[1]Sheet1!$L$7,IF(AND(OR(D719="S. acutus",D719="S. tabernaemontani"),G719&gt;0),E719*[1]Sheet1!$D$8+N719*[1]Sheet1!$E$8,IF(AND(D719="S. californicus",G719&gt;0),E719*[1]Sheet1!$D$9+N719*[1]Sheet1!$E$9,IF(D719="S. maritimus",F719*[1]Sheet1!$C$10+E719*[1]Sheet1!$D$10+G719*[1]Sheet1!$F$10+[1]Sheet1!$L$10,IF(D719="S. americanus",F719*[1]Sheet1!$C$6+E719*[1]Sheet1!$D$6+[1]Sheet1!$L$6,IF(AND(OR(D719="T. domingensis",D719="T. latifolia"),E719&gt;0),F719*[1]Sheet1!$C$4+E719*[1]Sheet1!$D$4+H719*[1]Sheet1!$J$4+I719*[1]Sheet1!$K$4+[1]Sheet1!$L$4,IF(AND(OR(D719="T. domingensis",D719="T. latifolia"),J719&gt;0),J719*[1]Sheet1!$G$5+K719*[1]Sheet1!$H$5+L719*[1]Sheet1!$I$5+[1]Sheet1!$L$5,0)))))))</f>
        <v>61.605224649999997</v>
      </c>
      <c r="P719">
        <f t="shared" si="34"/>
        <v>61.605224649999997</v>
      </c>
      <c r="S719">
        <f t="shared" si="35"/>
        <v>4.7143484937500011</v>
      </c>
    </row>
    <row r="720" spans="1:19">
      <c r="A720" s="7">
        <v>42503</v>
      </c>
      <c r="B720" s="6" t="s">
        <v>23</v>
      </c>
      <c r="C720" s="6">
        <v>21</v>
      </c>
      <c r="D720" s="6" t="s">
        <v>61</v>
      </c>
      <c r="F720" s="6">
        <v>1.74</v>
      </c>
      <c r="J720">
        <f>81+56+108+122+160+171</f>
        <v>698</v>
      </c>
      <c r="K720">
        <v>6</v>
      </c>
      <c r="L720">
        <v>171</v>
      </c>
      <c r="N720" t="str">
        <f t="shared" si="33"/>
        <v>NA</v>
      </c>
      <c r="O720">
        <f>IF(AND(OR(D720="S. acutus",D720="S. californicus",D720="S. tabernaemontani"),G720=0),E720*[1]Sheet1!$D$7+[1]Sheet1!$L$7,IF(AND(OR(D720="S. acutus",D720="S. tabernaemontani"),G720&gt;0),E720*[1]Sheet1!$D$8+N720*[1]Sheet1!$E$8,IF(AND(D720="S. californicus",G720&gt;0),E720*[1]Sheet1!$D$9+N720*[1]Sheet1!$E$9,IF(D720="S. maritimus",F720*[1]Sheet1!$C$10+E720*[1]Sheet1!$D$10+G720*[1]Sheet1!$F$10+[1]Sheet1!$L$10,IF(D720="S. americanus",F720*[1]Sheet1!$C$6+E720*[1]Sheet1!$D$6+[1]Sheet1!$L$6,IF(AND(OR(D720="T. domingensis",D720="T. latifolia"),E720&gt;0),F720*[1]Sheet1!$C$4+E720*[1]Sheet1!$D$4+H720*[1]Sheet1!$J$4+I720*[1]Sheet1!$K$4+[1]Sheet1!$L$4,IF(AND(OR(D720="T. domingensis",D720="T. latifolia"),J720&gt;0),J720*[1]Sheet1!$G$5+K720*[1]Sheet1!$H$5+L720*[1]Sheet1!$I$5+[1]Sheet1!$L$5,0)))))))</f>
        <v>4.830960999999995</v>
      </c>
      <c r="P720">
        <f t="shared" si="34"/>
        <v>4.830960999999995</v>
      </c>
      <c r="S720">
        <f t="shared" si="35"/>
        <v>2.3778694709999999</v>
      </c>
    </row>
    <row r="721" spans="1:19">
      <c r="A721" s="7">
        <v>42503</v>
      </c>
      <c r="B721" s="6" t="s">
        <v>23</v>
      </c>
      <c r="C721" s="6">
        <v>21</v>
      </c>
      <c r="D721" s="6" t="s">
        <v>61</v>
      </c>
      <c r="F721" s="6">
        <v>3.64</v>
      </c>
      <c r="J721">
        <f>95+186+201+244</f>
        <v>726</v>
      </c>
      <c r="K721">
        <v>4</v>
      </c>
      <c r="L721">
        <v>244</v>
      </c>
      <c r="N721" t="str">
        <f t="shared" si="33"/>
        <v>NA</v>
      </c>
      <c r="O721">
        <f>IF(AND(OR(D721="S. acutus",D721="S. californicus",D721="S. tabernaemontani"),G721=0),E721*[1]Sheet1!$D$7+[1]Sheet1!$L$7,IF(AND(OR(D721="S. acutus",D721="S. tabernaemontani"),G721&gt;0),E721*[1]Sheet1!$D$8+N721*[1]Sheet1!$E$8,IF(AND(D721="S. californicus",G721&gt;0),E721*[1]Sheet1!$D$9+N721*[1]Sheet1!$E$9,IF(D721="S. maritimus",F721*[1]Sheet1!$C$10+E721*[1]Sheet1!$D$10+G721*[1]Sheet1!$F$10+[1]Sheet1!$L$10,IF(D721="S. americanus",F721*[1]Sheet1!$C$6+E721*[1]Sheet1!$D$6+[1]Sheet1!$L$6,IF(AND(OR(D721="T. domingensis",D721="T. latifolia"),E721&gt;0),F721*[1]Sheet1!$C$4+E721*[1]Sheet1!$D$4+H721*[1]Sheet1!$J$4+I721*[1]Sheet1!$K$4+[1]Sheet1!$L$4,IF(AND(OR(D721="T. domingensis",D721="T. latifolia"),J721&gt;0),J721*[1]Sheet1!$G$5+K721*[1]Sheet1!$H$5+L721*[1]Sheet1!$I$5+[1]Sheet1!$L$5,0)))))))</f>
        <v>-0.4900779999999898</v>
      </c>
      <c r="P721" t="str">
        <f t="shared" si="34"/>
        <v xml:space="preserve"> </v>
      </c>
      <c r="S721">
        <f t="shared" si="35"/>
        <v>10.406202716000001</v>
      </c>
    </row>
    <row r="722" spans="1:19">
      <c r="A722" s="7">
        <v>42503</v>
      </c>
      <c r="B722" s="6" t="s">
        <v>23</v>
      </c>
      <c r="C722" s="6">
        <v>21</v>
      </c>
      <c r="D722" s="6" t="s">
        <v>61</v>
      </c>
      <c r="F722" s="6">
        <v>2.76</v>
      </c>
      <c r="J722">
        <f>92+92+130+142+174+178+212+215</f>
        <v>1235</v>
      </c>
      <c r="K722">
        <v>8</v>
      </c>
      <c r="L722">
        <v>215</v>
      </c>
      <c r="N722" t="str">
        <f t="shared" si="33"/>
        <v>NA</v>
      </c>
      <c r="O722">
        <f>IF(AND(OR(D722="S. acutus",D722="S. californicus",D722="S. tabernaemontani"),G722=0),E722*[1]Sheet1!$D$7+[1]Sheet1!$L$7,IF(AND(OR(D722="S. acutus",D722="S. tabernaemontani"),G722&gt;0),E722*[1]Sheet1!$D$8+N722*[1]Sheet1!$E$8,IF(AND(D722="S. californicus",G722&gt;0),E722*[1]Sheet1!$D$9+N722*[1]Sheet1!$E$9,IF(D722="S. maritimus",F722*[1]Sheet1!$C$10+E722*[1]Sheet1!$D$10+G722*[1]Sheet1!$F$10+[1]Sheet1!$L$10,IF(D722="S. americanus",F722*[1]Sheet1!$C$6+E722*[1]Sheet1!$D$6+[1]Sheet1!$L$6,IF(AND(OR(D722="T. domingensis",D722="T. latifolia"),E722&gt;0),F722*[1]Sheet1!$C$4+E722*[1]Sheet1!$D$4+H722*[1]Sheet1!$J$4+I722*[1]Sheet1!$K$4+[1]Sheet1!$L$4,IF(AND(OR(D722="T. domingensis",D722="T. latifolia"),J722&gt;0),J722*[1]Sheet1!$G$5+K722*[1]Sheet1!$H$5+L722*[1]Sheet1!$I$5+[1]Sheet1!$L$5,0)))))))</f>
        <v>27.877910000000014</v>
      </c>
      <c r="P722">
        <f t="shared" si="34"/>
        <v>27.877910000000014</v>
      </c>
      <c r="S722">
        <f t="shared" si="35"/>
        <v>5.9828439959999988</v>
      </c>
    </row>
    <row r="723" spans="1:19">
      <c r="A723" s="7">
        <v>42503</v>
      </c>
      <c r="B723" s="6" t="s">
        <v>23</v>
      </c>
      <c r="C723" s="6">
        <v>21</v>
      </c>
      <c r="D723" s="6" t="s">
        <v>61</v>
      </c>
      <c r="F723" s="6">
        <v>3.04</v>
      </c>
      <c r="J723">
        <f>95+186+201+244</f>
        <v>726</v>
      </c>
      <c r="K723">
        <v>4</v>
      </c>
      <c r="L723">
        <v>244</v>
      </c>
      <c r="N723" t="str">
        <f t="shared" si="33"/>
        <v>NA</v>
      </c>
      <c r="O723">
        <f>IF(AND(OR(D723="S. acutus",D723="S. californicus",D723="S. tabernaemontani"),G723=0),E723*[1]Sheet1!$D$7+[1]Sheet1!$L$7,IF(AND(OR(D723="S. acutus",D723="S. tabernaemontani"),G723&gt;0),E723*[1]Sheet1!$D$8+N723*[1]Sheet1!$E$8,IF(AND(D723="S. californicus",G723&gt;0),E723*[1]Sheet1!$D$9+N723*[1]Sheet1!$E$9,IF(D723="S. maritimus",F723*[1]Sheet1!$C$10+E723*[1]Sheet1!$D$10+G723*[1]Sheet1!$F$10+[1]Sheet1!$L$10,IF(D723="S. americanus",F723*[1]Sheet1!$C$6+E723*[1]Sheet1!$D$6+[1]Sheet1!$L$6,IF(AND(OR(D723="T. domingensis",D723="T. latifolia"),E723&gt;0),F723*[1]Sheet1!$C$4+E723*[1]Sheet1!$D$4+H723*[1]Sheet1!$J$4+I723*[1]Sheet1!$K$4+[1]Sheet1!$L$4,IF(AND(OR(D723="T. domingensis",D723="T. latifolia"),J723&gt;0),J723*[1]Sheet1!$G$5+K723*[1]Sheet1!$H$5+L723*[1]Sheet1!$I$5+[1]Sheet1!$L$5,0)))))))</f>
        <v>-0.4900779999999898</v>
      </c>
      <c r="P723" t="str">
        <f t="shared" si="34"/>
        <v xml:space="preserve"> </v>
      </c>
      <c r="S723">
        <f t="shared" si="35"/>
        <v>7.2583295359999997</v>
      </c>
    </row>
    <row r="724" spans="1:19">
      <c r="A724" s="7">
        <v>42503</v>
      </c>
      <c r="B724" s="6" t="s">
        <v>23</v>
      </c>
      <c r="C724" s="6">
        <v>21</v>
      </c>
      <c r="D724" s="6" t="s">
        <v>61</v>
      </c>
      <c r="F724" s="6">
        <v>2.83</v>
      </c>
      <c r="J724">
        <f>125+195+232+233</f>
        <v>785</v>
      </c>
      <c r="K724">
        <v>4</v>
      </c>
      <c r="L724">
        <v>233</v>
      </c>
      <c r="N724" t="str">
        <f t="shared" si="33"/>
        <v>NA</v>
      </c>
      <c r="O724">
        <f>IF(AND(OR(D724="S. acutus",D724="S. californicus",D724="S. tabernaemontani"),G724=0),E724*[1]Sheet1!$D$7+[1]Sheet1!$L$7,IF(AND(OR(D724="S. acutus",D724="S. tabernaemontani"),G724&gt;0),E724*[1]Sheet1!$D$8+N724*[1]Sheet1!$E$8,IF(AND(D724="S. californicus",G724&gt;0),E724*[1]Sheet1!$D$9+N724*[1]Sheet1!$E$9,IF(D724="S. maritimus",F724*[1]Sheet1!$C$10+E724*[1]Sheet1!$D$10+G724*[1]Sheet1!$F$10+[1]Sheet1!$L$10,IF(D724="S. americanus",F724*[1]Sheet1!$C$6+E724*[1]Sheet1!$D$6+[1]Sheet1!$L$6,IF(AND(OR(D724="T. domingensis",D724="T. latifolia"),E724&gt;0),F724*[1]Sheet1!$C$4+E724*[1]Sheet1!$D$4+H724*[1]Sheet1!$J$4+I724*[1]Sheet1!$K$4+[1]Sheet1!$L$4,IF(AND(OR(D724="T. domingensis",D724="T. latifolia"),J724&gt;0),J724*[1]Sheet1!$G$5+K724*[1]Sheet1!$H$5+L724*[1]Sheet1!$I$5+[1]Sheet1!$L$5,0)))))))</f>
        <v>8.3551620000000142</v>
      </c>
      <c r="P724">
        <f t="shared" si="34"/>
        <v>8.3551620000000142</v>
      </c>
      <c r="S724">
        <f t="shared" si="35"/>
        <v>6.2901700377500003</v>
      </c>
    </row>
    <row r="725" spans="1:19">
      <c r="A725" s="7">
        <v>42503</v>
      </c>
      <c r="B725" s="6" t="s">
        <v>23</v>
      </c>
      <c r="C725" s="6">
        <v>2</v>
      </c>
      <c r="D725" s="6" t="s">
        <v>63</v>
      </c>
      <c r="E725">
        <v>187</v>
      </c>
      <c r="F725" s="6">
        <v>1.45</v>
      </c>
      <c r="N725">
        <f t="shared" si="33"/>
        <v>102.93092386041666</v>
      </c>
      <c r="O725">
        <f>IF(AND(OR(D725="S. acutus",D725="S. californicus",D725="S. tabernaemontani"),G725=0),E725*[1]Sheet1!$D$7+[1]Sheet1!$L$7,IF(AND(OR(D725="S. acutus",D725="S. tabernaemontani"),G725&gt;0),E725*[1]Sheet1!$D$8+N725*[1]Sheet1!$E$8,IF(AND(D725="S. californicus",G725&gt;0),E725*[1]Sheet1!$D$9+N725*[1]Sheet1!$E$9,IF(D725="S. maritimus",F725*[1]Sheet1!$C$10+E725*[1]Sheet1!$D$10+G725*[1]Sheet1!$F$10+[1]Sheet1!$L$10,IF(D725="S. americanus",F725*[1]Sheet1!$C$6+E725*[1]Sheet1!$D$6+[1]Sheet1!$L$6,IF(AND(OR(D725="T. domingensis",D725="T. latifolia"),E725&gt;0),F725*[1]Sheet1!$C$4+E725*[1]Sheet1!$D$4+H725*[1]Sheet1!$J$4+I725*[1]Sheet1!$K$4+[1]Sheet1!$L$4,IF(AND(OR(D725="T. domingensis",D725="T. latifolia"),J725&gt;0),J725*[1]Sheet1!$G$5+K725*[1]Sheet1!$H$5+L725*[1]Sheet1!$I$5+[1]Sheet1!$L$5,0)))))))</f>
        <v>8.5190380000000019</v>
      </c>
      <c r="P725">
        <f t="shared" si="34"/>
        <v>8.5190380000000019</v>
      </c>
      <c r="S725">
        <f t="shared" si="35"/>
        <v>1.6512982437499999</v>
      </c>
    </row>
    <row r="726" spans="1:19">
      <c r="A726" s="7">
        <v>42503</v>
      </c>
      <c r="B726" s="6" t="s">
        <v>23</v>
      </c>
      <c r="C726" s="6">
        <v>2</v>
      </c>
      <c r="D726" s="6" t="s">
        <v>63</v>
      </c>
      <c r="E726">
        <v>216</v>
      </c>
      <c r="F726" s="6">
        <v>1.7</v>
      </c>
      <c r="G726" s="6">
        <v>3</v>
      </c>
      <c r="N726">
        <f t="shared" si="33"/>
        <v>163.42551179999995</v>
      </c>
      <c r="O726">
        <f>IF(AND(OR(D726="S. acutus",D726="S. californicus",D726="S. tabernaemontani"),G726=0),E726*[1]Sheet1!$D$7+[1]Sheet1!$L$7,IF(AND(OR(D726="S. acutus",D726="S. tabernaemontani"),G726&gt;0),E726*[1]Sheet1!$D$8+N726*[1]Sheet1!$E$8,IF(AND(D726="S. californicus",G726&gt;0),E726*[1]Sheet1!$D$9+N726*[1]Sheet1!$E$9,IF(D726="S. maritimus",F726*[1]Sheet1!$C$10+E726*[1]Sheet1!$D$10+G726*[1]Sheet1!$F$10+[1]Sheet1!$L$10,IF(D726="S. americanus",F726*[1]Sheet1!$C$6+E726*[1]Sheet1!$D$6+[1]Sheet1!$L$6,IF(AND(OR(D726="T. domingensis",D726="T. latifolia"),E726&gt;0),F726*[1]Sheet1!$C$4+E726*[1]Sheet1!$D$4+H726*[1]Sheet1!$J$4+I726*[1]Sheet1!$K$4+[1]Sheet1!$L$4,IF(AND(OR(D726="T. domingensis",D726="T. latifolia"),J726&gt;0),J726*[1]Sheet1!$G$5+K726*[1]Sheet1!$H$5+L726*[1]Sheet1!$I$5+[1]Sheet1!$L$5,0)))))))</f>
        <v>13.579982162920619</v>
      </c>
      <c r="P726">
        <f t="shared" si="34"/>
        <v>13.579982162920619</v>
      </c>
      <c r="S726">
        <f t="shared" si="35"/>
        <v>2.2697987749999995</v>
      </c>
    </row>
    <row r="727" spans="1:19">
      <c r="A727" s="7">
        <v>42503</v>
      </c>
      <c r="B727" s="6" t="s">
        <v>23</v>
      </c>
      <c r="C727" s="6">
        <v>2</v>
      </c>
      <c r="D727" s="6" t="s">
        <v>63</v>
      </c>
      <c r="E727">
        <v>172</v>
      </c>
      <c r="F727" s="6">
        <v>1.72</v>
      </c>
      <c r="G727" s="6">
        <v>7</v>
      </c>
      <c r="N727">
        <f t="shared" si="33"/>
        <v>133.21514460266664</v>
      </c>
      <c r="O727">
        <f>IF(AND(OR(D727="S. acutus",D727="S. californicus",D727="S. tabernaemontani"),G727=0),E727*[1]Sheet1!$D$7+[1]Sheet1!$L$7,IF(AND(OR(D727="S. acutus",D727="S. tabernaemontani"),G727&gt;0),E727*[1]Sheet1!$D$8+N727*[1]Sheet1!$E$8,IF(AND(D727="S. californicus",G727&gt;0),E727*[1]Sheet1!$D$9+N727*[1]Sheet1!$E$9,IF(D727="S. maritimus",F727*[1]Sheet1!$C$10+E727*[1]Sheet1!$D$10+G727*[1]Sheet1!$F$10+[1]Sheet1!$L$10,IF(D727="S. americanus",F727*[1]Sheet1!$C$6+E727*[1]Sheet1!$D$6+[1]Sheet1!$L$6,IF(AND(OR(D727="T. domingensis",D727="T. latifolia"),E727&gt;0),F727*[1]Sheet1!$C$4+E727*[1]Sheet1!$D$4+H727*[1]Sheet1!$J$4+I727*[1]Sheet1!$K$4+[1]Sheet1!$L$4,IF(AND(OR(D727="T. domingensis",D727="T. latifolia"),J727&gt;0),J727*[1]Sheet1!$G$5+K727*[1]Sheet1!$H$5+L727*[1]Sheet1!$I$5+[1]Sheet1!$L$5,0)))))))</f>
        <v>10.912868749836008</v>
      </c>
      <c r="P727">
        <f t="shared" si="34"/>
        <v>10.912868749836008</v>
      </c>
      <c r="S727">
        <f t="shared" si="35"/>
        <v>2.3235199639999995</v>
      </c>
    </row>
    <row r="728" spans="1:19">
      <c r="A728" s="7">
        <v>42503</v>
      </c>
      <c r="B728" s="6" t="s">
        <v>23</v>
      </c>
      <c r="C728" s="6">
        <v>2</v>
      </c>
      <c r="D728" s="6" t="s">
        <v>63</v>
      </c>
      <c r="E728">
        <v>166</v>
      </c>
      <c r="F728" s="6">
        <v>1.47</v>
      </c>
      <c r="G728" s="6">
        <v>11</v>
      </c>
      <c r="N728">
        <f t="shared" si="33"/>
        <v>93.909821995499982</v>
      </c>
      <c r="O728">
        <f>IF(AND(OR(D728="S. acutus",D728="S. californicus",D728="S. tabernaemontani"),G728=0),E728*[1]Sheet1!$D$7+[1]Sheet1!$L$7,IF(AND(OR(D728="S. acutus",D728="S. tabernaemontani"),G728&gt;0),E728*[1]Sheet1!$D$8+N728*[1]Sheet1!$E$8,IF(AND(D728="S. californicus",G728&gt;0),E728*[1]Sheet1!$D$9+N728*[1]Sheet1!$E$9,IF(D728="S. maritimus",F728*[1]Sheet1!$C$10+E728*[1]Sheet1!$D$10+G728*[1]Sheet1!$F$10+[1]Sheet1!$L$10,IF(D728="S. americanus",F728*[1]Sheet1!$C$6+E728*[1]Sheet1!$D$6+[1]Sheet1!$L$6,IF(AND(OR(D728="T. domingensis",D728="T. latifolia"),E728&gt;0),F728*[1]Sheet1!$C$4+E728*[1]Sheet1!$D$4+H728*[1]Sheet1!$J$4+I728*[1]Sheet1!$K$4+[1]Sheet1!$L$4,IF(AND(OR(D728="T. domingensis",D728="T. latifolia"),J728&gt;0),J728*[1]Sheet1!$G$5+K728*[1]Sheet1!$H$5+L728*[1]Sheet1!$I$5+[1]Sheet1!$L$5,0)))))))</f>
        <v>9.4161593870948952</v>
      </c>
      <c r="P728">
        <f t="shared" si="34"/>
        <v>9.4161593870948952</v>
      </c>
      <c r="S728">
        <f t="shared" si="35"/>
        <v>1.6971654577499997</v>
      </c>
    </row>
    <row r="729" spans="1:19">
      <c r="A729" s="7">
        <v>42503</v>
      </c>
      <c r="B729" s="6" t="s">
        <v>23</v>
      </c>
      <c r="C729" s="6">
        <v>2</v>
      </c>
      <c r="D729" s="6" t="s">
        <v>63</v>
      </c>
      <c r="E729">
        <v>103</v>
      </c>
      <c r="F729" s="6">
        <v>1.1499999999999999</v>
      </c>
      <c r="N729">
        <f t="shared" si="33"/>
        <v>35.661627985416658</v>
      </c>
      <c r="O729">
        <f>IF(AND(OR(D729="S. acutus",D729="S. californicus",D729="S. tabernaemontani"),G729=0),E729*[1]Sheet1!$D$7+[1]Sheet1!$L$7,IF(AND(OR(D729="S. acutus",D729="S. tabernaemontani"),G729&gt;0),E729*[1]Sheet1!$D$8+N729*[1]Sheet1!$E$8,IF(AND(D729="S. californicus",G729&gt;0),E729*[1]Sheet1!$D$9+N729*[1]Sheet1!$E$9,IF(D729="S. maritimus",F729*[1]Sheet1!$C$10+E729*[1]Sheet1!$D$10+G729*[1]Sheet1!$F$10+[1]Sheet1!$L$10,IF(D729="S. americanus",F729*[1]Sheet1!$C$6+E729*[1]Sheet1!$D$6+[1]Sheet1!$L$6,IF(AND(OR(D729="T. domingensis",D729="T. latifolia"),E729&gt;0),F729*[1]Sheet1!$C$4+E729*[1]Sheet1!$D$4+H729*[1]Sheet1!$J$4+I729*[1]Sheet1!$K$4+[1]Sheet1!$L$4,IF(AND(OR(D729="T. domingensis",D729="T. latifolia"),J729&gt;0),J729*[1]Sheet1!$G$5+K729*[1]Sheet1!$H$5+L729*[1]Sheet1!$I$5+[1]Sheet1!$L$5,0)))))))</f>
        <v>2.6302180000000002</v>
      </c>
      <c r="P729">
        <f t="shared" si="34"/>
        <v>2.6302180000000002</v>
      </c>
      <c r="S729">
        <f t="shared" si="35"/>
        <v>1.0386881937499999</v>
      </c>
    </row>
    <row r="730" spans="1:19">
      <c r="A730" s="7">
        <v>42503</v>
      </c>
      <c r="B730" s="6" t="s">
        <v>23</v>
      </c>
      <c r="C730" s="6">
        <v>2</v>
      </c>
      <c r="D730" s="6" t="s">
        <v>63</v>
      </c>
      <c r="E730">
        <v>215</v>
      </c>
      <c r="F730" s="6">
        <v>1.6</v>
      </c>
      <c r="G730" s="6">
        <v>17</v>
      </c>
      <c r="N730">
        <f t="shared" si="33"/>
        <v>144.09426133333335</v>
      </c>
      <c r="O730">
        <f>IF(AND(OR(D730="S. acutus",D730="S. californicus",D730="S. tabernaemontani"),G730=0),E730*[1]Sheet1!$D$7+[1]Sheet1!$L$7,IF(AND(OR(D730="S. acutus",D730="S. tabernaemontani"),G730&gt;0),E730*[1]Sheet1!$D$8+N730*[1]Sheet1!$E$8,IF(AND(D730="S. californicus",G730&gt;0),E730*[1]Sheet1!$D$9+N730*[1]Sheet1!$E$9,IF(D730="S. maritimus",F730*[1]Sheet1!$C$10+E730*[1]Sheet1!$D$10+G730*[1]Sheet1!$F$10+[1]Sheet1!$L$10,IF(D730="S. americanus",F730*[1]Sheet1!$C$6+E730*[1]Sheet1!$D$6+[1]Sheet1!$L$6,IF(AND(OR(D730="T. domingensis",D730="T. latifolia"),E730&gt;0),F730*[1]Sheet1!$C$4+E730*[1]Sheet1!$D$4+H730*[1]Sheet1!$J$4+I730*[1]Sheet1!$K$4+[1]Sheet1!$L$4,IF(AND(OR(D730="T. domingensis",D730="T. latifolia"),J730&gt;0),J730*[1]Sheet1!$G$5+K730*[1]Sheet1!$H$5+L730*[1]Sheet1!$I$5+[1]Sheet1!$L$5,0)))))))</f>
        <v>12.918991399768533</v>
      </c>
      <c r="P730">
        <f t="shared" si="34"/>
        <v>12.918991399768533</v>
      </c>
      <c r="S730">
        <f t="shared" si="35"/>
        <v>2.0106176000000002</v>
      </c>
    </row>
    <row r="731" spans="1:19">
      <c r="A731" s="7">
        <v>42503</v>
      </c>
      <c r="B731" s="6" t="s">
        <v>23</v>
      </c>
      <c r="C731" s="6">
        <v>2</v>
      </c>
      <c r="D731" s="6" t="s">
        <v>63</v>
      </c>
      <c r="E731">
        <v>183</v>
      </c>
      <c r="F731" s="6">
        <v>1.3</v>
      </c>
      <c r="G731" s="6">
        <v>16</v>
      </c>
      <c r="N731">
        <f t="shared" si="33"/>
        <v>80.966628275000005</v>
      </c>
      <c r="O731">
        <f>IF(AND(OR(D731="S. acutus",D731="S. californicus",D731="S. tabernaemontani"),G731=0),E731*[1]Sheet1!$D$7+[1]Sheet1!$L$7,IF(AND(OR(D731="S. acutus",D731="S. tabernaemontani"),G731&gt;0),E731*[1]Sheet1!$D$8+N731*[1]Sheet1!$E$8,IF(AND(D731="S. californicus",G731&gt;0),E731*[1]Sheet1!$D$9+N731*[1]Sheet1!$E$9,IF(D731="S. maritimus",F731*[1]Sheet1!$C$10+E731*[1]Sheet1!$D$10+G731*[1]Sheet1!$F$10+[1]Sheet1!$L$10,IF(D731="S. americanus",F731*[1]Sheet1!$C$6+E731*[1]Sheet1!$D$6+[1]Sheet1!$L$6,IF(AND(OR(D731="T. domingensis",D731="T. latifolia"),E731&gt;0),F731*[1]Sheet1!$C$4+E731*[1]Sheet1!$D$4+H731*[1]Sheet1!$J$4+I731*[1]Sheet1!$K$4+[1]Sheet1!$L$4,IF(AND(OR(D731="T. domingensis",D731="T. latifolia"),J731&gt;0),J731*[1]Sheet1!$G$5+K731*[1]Sheet1!$H$5+L731*[1]Sheet1!$I$5+[1]Sheet1!$L$5,0)))))))</f>
        <v>9.653997600420448</v>
      </c>
      <c r="P731">
        <f t="shared" si="34"/>
        <v>9.653997600420448</v>
      </c>
      <c r="S731">
        <f t="shared" si="35"/>
        <v>1.3273217750000001</v>
      </c>
    </row>
    <row r="732" spans="1:19">
      <c r="A732" s="7">
        <v>42503</v>
      </c>
      <c r="B732" s="6" t="s">
        <v>23</v>
      </c>
      <c r="C732" s="6">
        <v>2</v>
      </c>
      <c r="D732" s="6" t="s">
        <v>63</v>
      </c>
      <c r="E732">
        <v>64</v>
      </c>
      <c r="F732" s="6">
        <v>0.6</v>
      </c>
      <c r="N732">
        <f t="shared" si="33"/>
        <v>6.0318527999999993</v>
      </c>
      <c r="O732">
        <f>IF(AND(OR(D732="S. acutus",D732="S. californicus",D732="S. tabernaemontani"),G732=0),E732*[1]Sheet1!$D$7+[1]Sheet1!$L$7,IF(AND(OR(D732="S. acutus",D732="S. tabernaemontani"),G732&gt;0),E732*[1]Sheet1!$D$8+N732*[1]Sheet1!$E$8,IF(AND(D732="S. californicus",G732&gt;0),E732*[1]Sheet1!$D$9+N732*[1]Sheet1!$E$9,IF(D732="S. maritimus",F732*[1]Sheet1!$C$10+E732*[1]Sheet1!$D$10+G732*[1]Sheet1!$F$10+[1]Sheet1!$L$10,IF(D732="S. americanus",F732*[1]Sheet1!$C$6+E732*[1]Sheet1!$D$6+[1]Sheet1!$L$6,IF(AND(OR(D732="T. domingensis",D732="T. latifolia"),E732&gt;0),F732*[1]Sheet1!$C$4+E732*[1]Sheet1!$D$4+H732*[1]Sheet1!$J$4+I732*[1]Sheet1!$K$4+[1]Sheet1!$L$4,IF(AND(OR(D732="T. domingensis",D732="T. latifolia"),J732&gt;0),J732*[1]Sheet1!$G$5+K732*[1]Sheet1!$H$5+L732*[1]Sheet1!$I$5+[1]Sheet1!$L$5,0)))))))</f>
        <v>-0.10387699999999978</v>
      </c>
      <c r="P732" t="str">
        <f t="shared" si="34"/>
        <v xml:space="preserve"> </v>
      </c>
      <c r="S732">
        <f t="shared" si="35"/>
        <v>0.28274309999999997</v>
      </c>
    </row>
    <row r="733" spans="1:19">
      <c r="A733" s="7">
        <v>42503</v>
      </c>
      <c r="B733" s="6" t="s">
        <v>23</v>
      </c>
      <c r="C733" s="6">
        <v>2</v>
      </c>
      <c r="D733" s="6" t="s">
        <v>63</v>
      </c>
      <c r="E733">
        <v>195</v>
      </c>
      <c r="F733" s="6">
        <v>1.23</v>
      </c>
      <c r="G733" s="6">
        <v>22</v>
      </c>
      <c r="N733">
        <f t="shared" si="33"/>
        <v>77.234812053749991</v>
      </c>
      <c r="O733">
        <f>IF(AND(OR(D733="S. acutus",D733="S. californicus",D733="S. tabernaemontani"),G733=0),E733*[1]Sheet1!$D$7+[1]Sheet1!$L$7,IF(AND(OR(D733="S. acutus",D733="S. tabernaemontani"),G733&gt;0),E733*[1]Sheet1!$D$8+N733*[1]Sheet1!$E$8,IF(AND(D733="S. californicus",G733&gt;0),E733*[1]Sheet1!$D$9+N733*[1]Sheet1!$E$9,IF(D733="S. maritimus",F733*[1]Sheet1!$C$10+E733*[1]Sheet1!$D$10+G733*[1]Sheet1!$F$10+[1]Sheet1!$L$10,IF(D733="S. americanus",F733*[1]Sheet1!$C$6+E733*[1]Sheet1!$D$6+[1]Sheet1!$L$6,IF(AND(OR(D733="T. domingensis",D733="T. latifolia"),E733&gt;0),F733*[1]Sheet1!$C$4+E733*[1]Sheet1!$D$4+H733*[1]Sheet1!$J$4+I733*[1]Sheet1!$K$4+[1]Sheet1!$L$4,IF(AND(OR(D733="T. domingensis",D733="T. latifolia"),J733&gt;0),J733*[1]Sheet1!$G$5+K733*[1]Sheet1!$H$5+L733*[1]Sheet1!$I$5+[1]Sheet1!$L$5,0)))))))</f>
        <v>9.995914959461599</v>
      </c>
      <c r="P733">
        <f t="shared" si="34"/>
        <v>9.995914959461599</v>
      </c>
      <c r="S733">
        <f t="shared" si="35"/>
        <v>1.1882278777499999</v>
      </c>
    </row>
    <row r="734" spans="1:19">
      <c r="A734" s="7">
        <v>42503</v>
      </c>
      <c r="B734" s="6" t="s">
        <v>23</v>
      </c>
      <c r="C734" s="6">
        <v>2</v>
      </c>
      <c r="D734" s="6" t="s">
        <v>63</v>
      </c>
      <c r="E734">
        <v>121</v>
      </c>
      <c r="F734" s="6">
        <v>1.34</v>
      </c>
      <c r="N734">
        <f t="shared" si="33"/>
        <v>56.880476623666667</v>
      </c>
      <c r="O734">
        <f>IF(AND(OR(D734="S. acutus",D734="S. californicus",D734="S. tabernaemontani"),G734=0),E734*[1]Sheet1!$D$7+[1]Sheet1!$L$7,IF(AND(OR(D734="S. acutus",D734="S. tabernaemontani"),G734&gt;0),E734*[1]Sheet1!$D$8+N734*[1]Sheet1!$E$8,IF(AND(D734="S. californicus",G734&gt;0),E734*[1]Sheet1!$D$9+N734*[1]Sheet1!$E$9,IF(D734="S. maritimus",F734*[1]Sheet1!$C$10+E734*[1]Sheet1!$D$10+G734*[1]Sheet1!$F$10+[1]Sheet1!$L$10,IF(D734="S. americanus",F734*[1]Sheet1!$C$6+E734*[1]Sheet1!$D$6+[1]Sheet1!$L$6,IF(AND(OR(D734="T. domingensis",D734="T. latifolia"),E734&gt;0),F734*[1]Sheet1!$C$4+E734*[1]Sheet1!$D$4+H734*[1]Sheet1!$J$4+I734*[1]Sheet1!$K$4+[1]Sheet1!$L$4,IF(AND(OR(D734="T. domingensis",D734="T. latifolia"),J734&gt;0),J734*[1]Sheet1!$G$5+K734*[1]Sheet1!$H$5+L734*[1]Sheet1!$I$5+[1]Sheet1!$L$5,0)))))))</f>
        <v>3.8921079999999995</v>
      </c>
      <c r="P734">
        <f t="shared" si="34"/>
        <v>3.8921079999999995</v>
      </c>
      <c r="S734">
        <f t="shared" si="35"/>
        <v>1.4102597510000001</v>
      </c>
    </row>
    <row r="735" spans="1:19">
      <c r="A735" s="7">
        <v>42503</v>
      </c>
      <c r="B735" s="6" t="s">
        <v>23</v>
      </c>
      <c r="C735" s="6">
        <v>2</v>
      </c>
      <c r="D735" s="6" t="s">
        <v>63</v>
      </c>
      <c r="E735">
        <v>97</v>
      </c>
      <c r="F735" s="6">
        <v>0.86</v>
      </c>
      <c r="G735" s="6">
        <v>18</v>
      </c>
      <c r="N735">
        <f t="shared" si="33"/>
        <v>18.781786375666663</v>
      </c>
      <c r="O735">
        <f>IF(AND(OR(D735="S. acutus",D735="S. californicus",D735="S. tabernaemontani"),G735=0),E735*[1]Sheet1!$D$7+[1]Sheet1!$L$7,IF(AND(OR(D735="S. acutus",D735="S. tabernaemontani"),G735&gt;0),E735*[1]Sheet1!$D$8+N735*[1]Sheet1!$E$8,IF(AND(D735="S. californicus",G735&gt;0),E735*[1]Sheet1!$D$9+N735*[1]Sheet1!$E$9,IF(D735="S. maritimus",F735*[1]Sheet1!$C$10+E735*[1]Sheet1!$D$10+G735*[1]Sheet1!$F$10+[1]Sheet1!$L$10,IF(D735="S. americanus",F735*[1]Sheet1!$C$6+E735*[1]Sheet1!$D$6+[1]Sheet1!$L$6,IF(AND(OR(D735="T. domingensis",D735="T. latifolia"),E735&gt;0),F735*[1]Sheet1!$C$4+E735*[1]Sheet1!$D$4+H735*[1]Sheet1!$J$4+I735*[1]Sheet1!$K$4+[1]Sheet1!$L$4,IF(AND(OR(D735="T. domingensis",D735="T. latifolia"),J735&gt;0),J735*[1]Sheet1!$G$5+K735*[1]Sheet1!$H$5+L735*[1]Sheet1!$I$5+[1]Sheet1!$L$5,0)))))))</f>
        <v>4.3399791249042048</v>
      </c>
      <c r="P735">
        <f t="shared" si="34"/>
        <v>4.3399791249042048</v>
      </c>
      <c r="S735">
        <f t="shared" si="35"/>
        <v>0.58087999099999987</v>
      </c>
    </row>
    <row r="736" spans="1:19">
      <c r="A736" s="7">
        <v>42503</v>
      </c>
      <c r="B736" s="6" t="s">
        <v>23</v>
      </c>
      <c r="C736" s="6">
        <v>2</v>
      </c>
      <c r="D736" s="6" t="s">
        <v>63</v>
      </c>
      <c r="E736">
        <v>181</v>
      </c>
      <c r="F736" s="6">
        <v>1.31</v>
      </c>
      <c r="G736" s="6">
        <v>3</v>
      </c>
      <c r="N736">
        <f t="shared" si="33"/>
        <v>81.318512534916664</v>
      </c>
      <c r="O736">
        <f>IF(AND(OR(D736="S. acutus",D736="S. californicus",D736="S. tabernaemontani"),G736=0),E736*[1]Sheet1!$D$7+[1]Sheet1!$L$7,IF(AND(OR(D736="S. acutus",D736="S. tabernaemontani"),G736&gt;0),E736*[1]Sheet1!$D$8+N736*[1]Sheet1!$E$8,IF(AND(D736="S. californicus",G736&gt;0),E736*[1]Sheet1!$D$9+N736*[1]Sheet1!$E$9,IF(D736="S. maritimus",F736*[1]Sheet1!$C$10+E736*[1]Sheet1!$D$10+G736*[1]Sheet1!$F$10+[1]Sheet1!$L$10,IF(D736="S. americanus",F736*[1]Sheet1!$C$6+E736*[1]Sheet1!$D$6+[1]Sheet1!$L$6,IF(AND(OR(D736="T. domingensis",D736="T. latifolia"),E736&gt;0),F736*[1]Sheet1!$C$4+E736*[1]Sheet1!$D$4+H736*[1]Sheet1!$J$4+I736*[1]Sheet1!$K$4+[1]Sheet1!$L$4,IF(AND(OR(D736="T. domingensis",D736="T. latifolia"),J736&gt;0),J736*[1]Sheet1!$G$5+K736*[1]Sheet1!$H$5+L736*[1]Sheet1!$I$5+[1]Sheet1!$L$5,0)))))))</f>
        <v>9.5883143902855981</v>
      </c>
      <c r="P736">
        <f t="shared" si="34"/>
        <v>9.5883143902855981</v>
      </c>
      <c r="S736">
        <f t="shared" si="35"/>
        <v>1.34782064975</v>
      </c>
    </row>
    <row r="737" spans="1:19">
      <c r="A737" s="7">
        <v>42503</v>
      </c>
      <c r="B737" s="6" t="s">
        <v>23</v>
      </c>
      <c r="C737" s="6">
        <v>2</v>
      </c>
      <c r="D737" s="6" t="s">
        <v>63</v>
      </c>
      <c r="E737">
        <v>33</v>
      </c>
      <c r="F737" s="6">
        <v>0.92</v>
      </c>
      <c r="G737" s="6">
        <v>3</v>
      </c>
      <c r="N737">
        <f t="shared" si="33"/>
        <v>7.312364884</v>
      </c>
      <c r="O737">
        <f>IF(AND(OR(D737="S. acutus",D737="S. californicus",D737="S. tabernaemontani"),G737=0),E737*[1]Sheet1!$D$7+[1]Sheet1!$L$7,IF(AND(OR(D737="S. acutus",D737="S. tabernaemontani"),G737&gt;0),E737*[1]Sheet1!$D$8+N737*[1]Sheet1!$E$8,IF(AND(D737="S. californicus",G737&gt;0),E737*[1]Sheet1!$D$9+N737*[1]Sheet1!$E$9,IF(D737="S. maritimus",F737*[1]Sheet1!$C$10+E737*[1]Sheet1!$D$10+G737*[1]Sheet1!$F$10+[1]Sheet1!$L$10,IF(D737="S. americanus",F737*[1]Sheet1!$C$6+E737*[1]Sheet1!$D$6+[1]Sheet1!$L$6,IF(AND(OR(D737="T. domingensis",D737="T. latifolia"),E737&gt;0),F737*[1]Sheet1!$C$4+E737*[1]Sheet1!$D$4+H737*[1]Sheet1!$J$4+I737*[1]Sheet1!$K$4+[1]Sheet1!$L$4,IF(AND(OR(D737="T. domingensis",D737="T. latifolia"),J737&gt;0),J737*[1]Sheet1!$G$5+K737*[1]Sheet1!$H$5+L737*[1]Sheet1!$I$5+[1]Sheet1!$L$5,0)))))))</f>
        <v>1.5061990303931956</v>
      </c>
      <c r="P737">
        <f t="shared" si="34"/>
        <v>1.5061990303931956</v>
      </c>
      <c r="S737">
        <f t="shared" si="35"/>
        <v>0.66476044400000001</v>
      </c>
    </row>
    <row r="738" spans="1:19">
      <c r="A738" s="7">
        <v>42503</v>
      </c>
      <c r="B738" s="6" t="s">
        <v>23</v>
      </c>
      <c r="C738" s="6">
        <v>2</v>
      </c>
      <c r="D738" s="6" t="s">
        <v>63</v>
      </c>
      <c r="E738">
        <v>125</v>
      </c>
      <c r="F738" s="6">
        <v>1.18</v>
      </c>
      <c r="N738">
        <f t="shared" si="33"/>
        <v>45.566144958333325</v>
      </c>
      <c r="O738">
        <f>IF(AND(OR(D738="S. acutus",D738="S. californicus",D738="S. tabernaemontani"),G738=0),E738*[1]Sheet1!$D$7+[1]Sheet1!$L$7,IF(AND(OR(D738="S. acutus",D738="S. tabernaemontani"),G738&gt;0),E738*[1]Sheet1!$D$8+N738*[1]Sheet1!$E$8,IF(AND(D738="S. californicus",G738&gt;0),E738*[1]Sheet1!$D$9+N738*[1]Sheet1!$E$9,IF(D738="S. maritimus",F738*[1]Sheet1!$C$10+E738*[1]Sheet1!$D$10+G738*[1]Sheet1!$F$10+[1]Sheet1!$L$10,IF(D738="S. americanus",F738*[1]Sheet1!$C$6+E738*[1]Sheet1!$D$6+[1]Sheet1!$L$6,IF(AND(OR(D738="T. domingensis",D738="T. latifolia"),E738&gt;0),F738*[1]Sheet1!$C$4+E738*[1]Sheet1!$D$4+H738*[1]Sheet1!$J$4+I738*[1]Sheet1!$K$4+[1]Sheet1!$L$4,IF(AND(OR(D738="T. domingensis",D738="T. latifolia"),J738&gt;0),J738*[1]Sheet1!$G$5+K738*[1]Sheet1!$H$5+L738*[1]Sheet1!$I$5+[1]Sheet1!$L$5,0)))))))</f>
        <v>4.1725280000000007</v>
      </c>
      <c r="P738">
        <f t="shared" si="34"/>
        <v>4.1725280000000007</v>
      </c>
      <c r="S738">
        <f t="shared" si="35"/>
        <v>1.0935874789999998</v>
      </c>
    </row>
    <row r="739" spans="1:19">
      <c r="A739" s="7">
        <v>42503</v>
      </c>
      <c r="B739" s="6" t="s">
        <v>23</v>
      </c>
      <c r="C739" s="6">
        <v>2</v>
      </c>
      <c r="D739" s="6" t="s">
        <v>63</v>
      </c>
      <c r="E739">
        <v>187</v>
      </c>
      <c r="F739" s="6">
        <v>1.51</v>
      </c>
      <c r="G739" s="6"/>
      <c r="N739">
        <f t="shared" si="33"/>
        <v>111.62558834441666</v>
      </c>
      <c r="O739">
        <f>IF(AND(OR(D739="S. acutus",D739="S. californicus",D739="S. tabernaemontani"),G739=0),E739*[1]Sheet1!$D$7+[1]Sheet1!$L$7,IF(AND(OR(D739="S. acutus",D739="S. tabernaemontani"),G739&gt;0),E739*[1]Sheet1!$D$8+N739*[1]Sheet1!$E$8,IF(AND(D739="S. californicus",G739&gt;0),E739*[1]Sheet1!$D$9+N739*[1]Sheet1!$E$9,IF(D739="S. maritimus",F739*[1]Sheet1!$C$10+E739*[1]Sheet1!$D$10+G739*[1]Sheet1!$F$10+[1]Sheet1!$L$10,IF(D739="S. americanus",F739*[1]Sheet1!$C$6+E739*[1]Sheet1!$D$6+[1]Sheet1!$L$6,IF(AND(OR(D739="T. domingensis",D739="T. latifolia"),E739&gt;0),F739*[1]Sheet1!$C$4+E739*[1]Sheet1!$D$4+H739*[1]Sheet1!$J$4+I739*[1]Sheet1!$K$4+[1]Sheet1!$L$4,IF(AND(OR(D739="T. domingensis",D739="T. latifolia"),J739&gt;0),J739*[1]Sheet1!$G$5+K739*[1]Sheet1!$H$5+L739*[1]Sheet1!$I$5+[1]Sheet1!$L$5,0)))))))</f>
        <v>8.5190380000000019</v>
      </c>
      <c r="P739">
        <f t="shared" si="34"/>
        <v>8.5190380000000019</v>
      </c>
      <c r="S739">
        <f t="shared" si="35"/>
        <v>1.7907848397499999</v>
      </c>
    </row>
    <row r="740" spans="1:19">
      <c r="A740" s="7">
        <v>42503</v>
      </c>
      <c r="B740" s="7" t="s">
        <v>23</v>
      </c>
      <c r="C740" s="6">
        <v>2</v>
      </c>
      <c r="D740" s="6" t="s">
        <v>63</v>
      </c>
      <c r="E740">
        <v>196</v>
      </c>
      <c r="F740" s="6">
        <v>1.57</v>
      </c>
      <c r="G740" s="6">
        <v>10</v>
      </c>
      <c r="N740">
        <f t="shared" si="33"/>
        <v>126.48051811966666</v>
      </c>
      <c r="O740">
        <f>IF(AND(OR(D740="S. acutus",D740="S. californicus",D740="S. tabernaemontani"),G740=0),E740*[1]Sheet1!$D$7+[1]Sheet1!$L$7,IF(AND(OR(D740="S. acutus",D740="S. tabernaemontani"),G740&gt;0),E740*[1]Sheet1!$D$8+N740*[1]Sheet1!$E$8,IF(AND(D740="S. californicus",G740&gt;0),E740*[1]Sheet1!$D$9+N740*[1]Sheet1!$E$9,IF(D740="S. maritimus",F740*[1]Sheet1!$C$10+E740*[1]Sheet1!$D$10+G740*[1]Sheet1!$F$10+[1]Sheet1!$L$10,IF(D740="S. americanus",F740*[1]Sheet1!$C$6+E740*[1]Sheet1!$D$6+[1]Sheet1!$L$6,IF(AND(OR(D740="T. domingensis",D740="T. latifolia"),E740&gt;0),F740*[1]Sheet1!$C$4+E740*[1]Sheet1!$D$4+H740*[1]Sheet1!$J$4+I740*[1]Sheet1!$K$4+[1]Sheet1!$L$4,IF(AND(OR(D740="T. domingensis",D740="T. latifolia"),J740&gt;0),J740*[1]Sheet1!$G$5+K740*[1]Sheet1!$H$5+L740*[1]Sheet1!$I$5+[1]Sheet1!$L$5,0)))))))</f>
        <v>11.620178115919574</v>
      </c>
      <c r="P740">
        <f t="shared" si="34"/>
        <v>11.620178115919574</v>
      </c>
      <c r="S740">
        <f t="shared" si="35"/>
        <v>1.93592629775</v>
      </c>
    </row>
    <row r="741" spans="1:19">
      <c r="A741" s="7">
        <v>42503</v>
      </c>
      <c r="B741" s="6" t="s">
        <v>23</v>
      </c>
      <c r="C741" s="6">
        <v>2</v>
      </c>
      <c r="D741" s="6" t="s">
        <v>63</v>
      </c>
      <c r="E741">
        <v>230</v>
      </c>
      <c r="F741" s="6">
        <v>1.79</v>
      </c>
      <c r="G741" s="6"/>
      <c r="J741" s="6"/>
      <c r="N741">
        <f t="shared" si="33"/>
        <v>192.93106328083331</v>
      </c>
      <c r="O741">
        <f>IF(AND(OR(D741="S. acutus",D741="S. californicus",D741="S. tabernaemontani"),G741=0),E741*[1]Sheet1!$D$7+[1]Sheet1!$L$7,IF(AND(OR(D741="S. acutus",D741="S. tabernaemontani"),G741&gt;0),E741*[1]Sheet1!$D$8+N741*[1]Sheet1!$E$8,IF(AND(D741="S. californicus",G741&gt;0),E741*[1]Sheet1!$D$9+N741*[1]Sheet1!$E$9,IF(D741="S. maritimus",F741*[1]Sheet1!$C$10+E741*[1]Sheet1!$D$10+G741*[1]Sheet1!$F$10+[1]Sheet1!$L$10,IF(D741="S. americanus",F741*[1]Sheet1!$C$6+E741*[1]Sheet1!$D$6+[1]Sheet1!$L$6,IF(AND(OR(D741="T. domingensis",D741="T. latifolia"),E741&gt;0),F741*[1]Sheet1!$C$4+E741*[1]Sheet1!$D$4+H741*[1]Sheet1!$J$4+I741*[1]Sheet1!$K$4+[1]Sheet1!$L$4,IF(AND(OR(D741="T. domingensis",D741="T. latifolia"),J741&gt;0),J741*[1]Sheet1!$G$5+K741*[1]Sheet1!$H$5+L741*[1]Sheet1!$I$5+[1]Sheet1!$L$5,0)))))))</f>
        <v>11.533553000000001</v>
      </c>
      <c r="P741">
        <f t="shared" si="34"/>
        <v>11.533553000000001</v>
      </c>
      <c r="S741">
        <f t="shared" si="35"/>
        <v>2.51649212975</v>
      </c>
    </row>
    <row r="742" spans="1:19">
      <c r="A742" s="7">
        <v>42503</v>
      </c>
      <c r="B742" s="6" t="s">
        <v>23</v>
      </c>
      <c r="C742" s="6">
        <v>2</v>
      </c>
      <c r="D742" s="6" t="s">
        <v>63</v>
      </c>
      <c r="E742">
        <v>186</v>
      </c>
      <c r="F742" s="6">
        <v>1.48</v>
      </c>
      <c r="G742" s="6">
        <v>8</v>
      </c>
      <c r="J742" s="6"/>
      <c r="N742">
        <f t="shared" si="33"/>
        <v>106.66075040799998</v>
      </c>
      <c r="O742">
        <f>IF(AND(OR(D742="S. acutus",D742="S. californicus",D742="S. tabernaemontani"),G742=0),E742*[1]Sheet1!$D$7+[1]Sheet1!$L$7,IF(AND(OR(D742="S. acutus",D742="S. tabernaemontani"),G742&gt;0),E742*[1]Sheet1!$D$8+N742*[1]Sheet1!$E$8,IF(AND(D742="S. californicus",G742&gt;0),E742*[1]Sheet1!$D$9+N742*[1]Sheet1!$E$9,IF(D742="S. maritimus",F742*[1]Sheet1!$C$10+E742*[1]Sheet1!$D$10+G742*[1]Sheet1!$F$10+[1]Sheet1!$L$10,IF(D742="S. americanus",F742*[1]Sheet1!$C$6+E742*[1]Sheet1!$D$6+[1]Sheet1!$L$6,IF(AND(OR(D742="T. domingensis",D742="T. latifolia"),E742&gt;0),F742*[1]Sheet1!$C$4+E742*[1]Sheet1!$D$4+H742*[1]Sheet1!$J$4+I742*[1]Sheet1!$K$4+[1]Sheet1!$L$4,IF(AND(OR(D742="T. domingensis",D742="T. latifolia"),J742&gt;0),J742*[1]Sheet1!$G$5+K742*[1]Sheet1!$H$5+L742*[1]Sheet1!$I$5+[1]Sheet1!$L$5,0)))))))</f>
        <v>10.596892757812967</v>
      </c>
      <c r="P742">
        <f t="shared" si="34"/>
        <v>10.596892757812967</v>
      </c>
      <c r="S742">
        <f t="shared" si="35"/>
        <v>1.7203346839999998</v>
      </c>
    </row>
    <row r="743" spans="1:19">
      <c r="A743" s="7">
        <v>42503</v>
      </c>
      <c r="B743" s="6" t="s">
        <v>23</v>
      </c>
      <c r="C743" s="6">
        <v>2</v>
      </c>
      <c r="D743" s="6" t="s">
        <v>63</v>
      </c>
      <c r="E743">
        <v>187</v>
      </c>
      <c r="F743" s="6">
        <v>1.03</v>
      </c>
      <c r="G743" s="6">
        <v>7</v>
      </c>
      <c r="N743">
        <f t="shared" si="33"/>
        <v>51.937891616416664</v>
      </c>
      <c r="O743">
        <f>IF(AND(OR(D743="S. acutus",D743="S. californicus",D743="S. tabernaemontani"),G743=0),E743*[1]Sheet1!$D$7+[1]Sheet1!$L$7,IF(AND(OR(D743="S. acutus",D743="S. tabernaemontani"),G743&gt;0),E743*[1]Sheet1!$D$8+N743*[1]Sheet1!$E$8,IF(AND(D743="S. californicus",G743&gt;0),E743*[1]Sheet1!$D$9+N743*[1]Sheet1!$E$9,IF(D743="S. maritimus",F743*[1]Sheet1!$C$10+E743*[1]Sheet1!$D$10+G743*[1]Sheet1!$F$10+[1]Sheet1!$L$10,IF(D743="S. americanus",F743*[1]Sheet1!$C$6+E743*[1]Sheet1!$D$6+[1]Sheet1!$L$6,IF(AND(OR(D743="T. domingensis",D743="T. latifolia"),E743&gt;0),F743*[1]Sheet1!$C$4+E743*[1]Sheet1!$D$4+H743*[1]Sheet1!$J$4+I743*[1]Sheet1!$K$4+[1]Sheet1!$L$4,IF(AND(OR(D743="T. domingensis",D743="T. latifolia"),J743&gt;0),J743*[1]Sheet1!$G$5+K743*[1]Sheet1!$H$5+L743*[1]Sheet1!$I$5+[1]Sheet1!$L$5,0)))))))</f>
        <v>8.873274554151072</v>
      </c>
      <c r="P743">
        <f t="shared" si="34"/>
        <v>8.873274554151072</v>
      </c>
      <c r="S743">
        <f t="shared" si="35"/>
        <v>0.83322820774999995</v>
      </c>
    </row>
    <row r="744" spans="1:19">
      <c r="A744" s="7">
        <v>42503</v>
      </c>
      <c r="B744" s="6" t="s">
        <v>23</v>
      </c>
      <c r="C744" s="6">
        <v>2</v>
      </c>
      <c r="D744" s="6" t="s">
        <v>63</v>
      </c>
      <c r="E744">
        <v>183</v>
      </c>
      <c r="F744" s="6">
        <v>1.23</v>
      </c>
      <c r="G744" s="6">
        <v>9</v>
      </c>
      <c r="N744">
        <f t="shared" si="33"/>
        <v>72.481900542749983</v>
      </c>
      <c r="O744">
        <f>IF(AND(OR(D744="S. acutus",D744="S. californicus",D744="S. tabernaemontani"),G744=0),E744*[1]Sheet1!$D$7+[1]Sheet1!$L$7,IF(AND(OR(D744="S. acutus",D744="S. tabernaemontani"),G744&gt;0),E744*[1]Sheet1!$D$8+N744*[1]Sheet1!$E$8,IF(AND(D744="S. californicus",G744&gt;0),E744*[1]Sheet1!$D$9+N744*[1]Sheet1!$E$9,IF(D744="S. maritimus",F744*[1]Sheet1!$C$10+E744*[1]Sheet1!$D$10+G744*[1]Sheet1!$F$10+[1]Sheet1!$L$10,IF(D744="S. americanus",F744*[1]Sheet1!$C$6+E744*[1]Sheet1!$D$6+[1]Sheet1!$L$6,IF(AND(OR(D744="T. domingensis",D744="T. latifolia"),E744&gt;0),F744*[1]Sheet1!$C$4+E744*[1]Sheet1!$D$4+H744*[1]Sheet1!$J$4+I744*[1]Sheet1!$K$4+[1]Sheet1!$L$4,IF(AND(OR(D744="T. domingensis",D744="T. latifolia"),J744&gt;0),J744*[1]Sheet1!$G$5+K744*[1]Sheet1!$H$5+L744*[1]Sheet1!$I$5+[1]Sheet1!$L$5,0)))))))</f>
        <v>9.3807817311870387</v>
      </c>
      <c r="P744">
        <f t="shared" si="34"/>
        <v>9.3807817311870387</v>
      </c>
      <c r="S744">
        <f t="shared" si="35"/>
        <v>1.1882278777499999</v>
      </c>
    </row>
    <row r="745" spans="1:19">
      <c r="A745" s="7">
        <v>42503</v>
      </c>
      <c r="B745" s="6" t="s">
        <v>23</v>
      </c>
      <c r="C745" s="6">
        <v>2</v>
      </c>
      <c r="D745" s="6" t="s">
        <v>63</v>
      </c>
      <c r="E745">
        <v>111</v>
      </c>
      <c r="F745" s="6">
        <v>0.83</v>
      </c>
      <c r="G745" s="6">
        <v>8</v>
      </c>
      <c r="N745">
        <f t="shared" si="33"/>
        <v>20.019232496749996</v>
      </c>
      <c r="O745">
        <f>IF(AND(OR(D745="S. acutus",D745="S. californicus",D745="S. tabernaemontani"),G745=0),E745*[1]Sheet1!$D$7+[1]Sheet1!$L$7,IF(AND(OR(D745="S. acutus",D745="S. tabernaemontani"),G745&gt;0),E745*[1]Sheet1!$D$8+N745*[1]Sheet1!$E$8,IF(AND(D745="S. californicus",G745&gt;0),E745*[1]Sheet1!$D$9+N745*[1]Sheet1!$E$9,IF(D745="S. maritimus",F745*[1]Sheet1!$C$10+E745*[1]Sheet1!$D$10+G745*[1]Sheet1!$F$10+[1]Sheet1!$L$10,IF(D745="S. americanus",F745*[1]Sheet1!$C$6+E745*[1]Sheet1!$D$6+[1]Sheet1!$L$6,IF(AND(OR(D745="T. domingensis",D745="T. latifolia"),E745&gt;0),F745*[1]Sheet1!$C$4+E745*[1]Sheet1!$D$4+H745*[1]Sheet1!$J$4+I745*[1]Sheet1!$K$4+[1]Sheet1!$L$4,IF(AND(OR(D745="T. domingensis",D745="T. latifolia"),J745&gt;0),J745*[1]Sheet1!$G$5+K745*[1]Sheet1!$H$5+L745*[1]Sheet1!$I$5+[1]Sheet1!$L$5,0)))))))</f>
        <v>4.9189254037045975</v>
      </c>
      <c r="P745">
        <f t="shared" si="34"/>
        <v>4.9189254037045975</v>
      </c>
      <c r="S745">
        <f t="shared" si="35"/>
        <v>0.54106033774999995</v>
      </c>
    </row>
    <row r="746" spans="1:19">
      <c r="A746" s="7">
        <v>42503</v>
      </c>
      <c r="B746" s="6" t="s">
        <v>23</v>
      </c>
      <c r="C746" s="6">
        <v>2</v>
      </c>
      <c r="D746" s="6" t="s">
        <v>63</v>
      </c>
      <c r="E746">
        <v>154</v>
      </c>
      <c r="F746" s="6">
        <v>1.23</v>
      </c>
      <c r="G746" s="6">
        <v>10</v>
      </c>
      <c r="N746">
        <f t="shared" si="33"/>
        <v>60.99569772449999</v>
      </c>
      <c r="O746">
        <f>IF(AND(OR(D746="S. acutus",D746="S. californicus",D746="S. tabernaemontani"),G746=0),E746*[1]Sheet1!$D$7+[1]Sheet1!$L$7,IF(AND(OR(D746="S. acutus",D746="S. tabernaemontani"),G746&gt;0),E746*[1]Sheet1!$D$8+N746*[1]Sheet1!$E$8,IF(AND(D746="S. californicus",G746&gt;0),E746*[1]Sheet1!$D$9+N746*[1]Sheet1!$E$9,IF(D746="S. maritimus",F746*[1]Sheet1!$C$10+E746*[1]Sheet1!$D$10+G746*[1]Sheet1!$F$10+[1]Sheet1!$L$10,IF(D746="S. americanus",F746*[1]Sheet1!$C$6+E746*[1]Sheet1!$D$6+[1]Sheet1!$L$6,IF(AND(OR(D746="T. domingensis",D746="T. latifolia"),E746&gt;0),F746*[1]Sheet1!$C$4+E746*[1]Sheet1!$D$4+H746*[1]Sheet1!$J$4+I746*[1]Sheet1!$K$4+[1]Sheet1!$L$4,IF(AND(OR(D746="T. domingensis",D746="T. latifolia"),J746&gt;0),J746*[1]Sheet1!$G$5+K746*[1]Sheet1!$H$5+L746*[1]Sheet1!$I$5+[1]Sheet1!$L$5,0)))))))</f>
        <v>7.8942097628568524</v>
      </c>
      <c r="P746">
        <f t="shared" si="34"/>
        <v>7.8942097628568524</v>
      </c>
      <c r="S746">
        <f t="shared" si="35"/>
        <v>1.1882278777499999</v>
      </c>
    </row>
    <row r="747" spans="1:19">
      <c r="A747" s="7">
        <v>42503</v>
      </c>
      <c r="B747" s="6" t="s">
        <v>23</v>
      </c>
      <c r="C747" s="6">
        <v>2</v>
      </c>
      <c r="D747" s="6" t="s">
        <v>63</v>
      </c>
      <c r="E747">
        <v>138</v>
      </c>
      <c r="F747" s="6">
        <v>1.21</v>
      </c>
      <c r="N747">
        <f t="shared" si="33"/>
        <v>52.89542206849999</v>
      </c>
      <c r="O747">
        <f>IF(AND(OR(D747="S. acutus",D747="S. californicus",D747="S. tabernaemontani"),G747=0),E747*[1]Sheet1!$D$7+[1]Sheet1!$L$7,IF(AND(OR(D747="S. acutus",D747="S. tabernaemontani"),G747&gt;0),E747*[1]Sheet1!$D$8+N747*[1]Sheet1!$E$8,IF(AND(D747="S. californicus",G747&gt;0),E747*[1]Sheet1!$D$9+N747*[1]Sheet1!$E$9,IF(D747="S. maritimus",F747*[1]Sheet1!$C$10+E747*[1]Sheet1!$D$10+G747*[1]Sheet1!$F$10+[1]Sheet1!$L$10,IF(D747="S. americanus",F747*[1]Sheet1!$C$6+E747*[1]Sheet1!$D$6+[1]Sheet1!$L$6,IF(AND(OR(D747="T. domingensis",D747="T. latifolia"),E747&gt;0),F747*[1]Sheet1!$C$4+E747*[1]Sheet1!$D$4+H747*[1]Sheet1!$J$4+I747*[1]Sheet1!$K$4+[1]Sheet1!$L$4,IF(AND(OR(D747="T. domingensis",D747="T. latifolia"),J747&gt;0),J747*[1]Sheet1!$G$5+K747*[1]Sheet1!$H$5+L747*[1]Sheet1!$I$5+[1]Sheet1!$L$5,0)))))))</f>
        <v>5.0838930000000007</v>
      </c>
      <c r="P747">
        <f t="shared" si="34"/>
        <v>5.0838930000000007</v>
      </c>
      <c r="S747">
        <f t="shared" si="35"/>
        <v>1.1499004797499999</v>
      </c>
    </row>
    <row r="748" spans="1:19">
      <c r="A748" s="7">
        <v>42503</v>
      </c>
      <c r="B748" s="6" t="s">
        <v>23</v>
      </c>
      <c r="C748" s="6">
        <v>2</v>
      </c>
      <c r="D748" s="6" t="s">
        <v>63</v>
      </c>
      <c r="E748">
        <v>254</v>
      </c>
      <c r="F748" s="6">
        <v>1.48</v>
      </c>
      <c r="G748" s="6">
        <v>13</v>
      </c>
      <c r="N748">
        <f t="shared" si="33"/>
        <v>145.65500324533332</v>
      </c>
      <c r="O748">
        <f>IF(AND(OR(D748="S. acutus",D748="S. californicus",D748="S. tabernaemontani"),G748=0),E748*[1]Sheet1!$D$7+[1]Sheet1!$L$7,IF(AND(OR(D748="S. acutus",D748="S. tabernaemontani"),G748&gt;0),E748*[1]Sheet1!$D$8+N748*[1]Sheet1!$E$8,IF(AND(D748="S. californicus",G748&gt;0),E748*[1]Sheet1!$D$9+N748*[1]Sheet1!$E$9,IF(D748="S. maritimus",F748*[1]Sheet1!$C$10+E748*[1]Sheet1!$D$10+G748*[1]Sheet1!$F$10+[1]Sheet1!$L$10,IF(D748="S. americanus",F748*[1]Sheet1!$C$6+E748*[1]Sheet1!$D$6+[1]Sheet1!$L$6,IF(AND(OR(D748="T. domingensis",D748="T. latifolia"),E748&gt;0),F748*[1]Sheet1!$C$4+E748*[1]Sheet1!$D$4+H748*[1]Sheet1!$J$4+I748*[1]Sheet1!$K$4+[1]Sheet1!$L$4,IF(AND(OR(D748="T. domingensis",D748="T. latifolia"),J748&gt;0),J748*[1]Sheet1!$G$5+K748*[1]Sheet1!$H$5+L748*[1]Sheet1!$I$5+[1]Sheet1!$L$5,0)))))))</f>
        <v>14.471025594002654</v>
      </c>
      <c r="P748">
        <f t="shared" si="34"/>
        <v>14.471025594002654</v>
      </c>
      <c r="S748">
        <f t="shared" si="35"/>
        <v>1.7203346839999998</v>
      </c>
    </row>
    <row r="749" spans="1:19">
      <c r="A749" s="7">
        <v>42503</v>
      </c>
      <c r="B749" s="6" t="s">
        <v>23</v>
      </c>
      <c r="C749" s="6">
        <v>2</v>
      </c>
      <c r="D749" s="6" t="s">
        <v>63</v>
      </c>
      <c r="E749">
        <v>238</v>
      </c>
      <c r="F749" s="6">
        <v>1.87</v>
      </c>
      <c r="G749" s="6">
        <v>15</v>
      </c>
      <c r="N749">
        <f t="shared" si="33"/>
        <v>217.88555040816667</v>
      </c>
      <c r="O749">
        <f>IF(AND(OR(D749="S. acutus",D749="S. californicus",D749="S. tabernaemontani"),G749=0),E749*[1]Sheet1!$D$7+[1]Sheet1!$L$7,IF(AND(OR(D749="S. acutus",D749="S. tabernaemontani"),G749&gt;0),E749*[1]Sheet1!$D$8+N749*[1]Sheet1!$E$8,IF(AND(D749="S. californicus",G749&gt;0),E749*[1]Sheet1!$D$9+N749*[1]Sheet1!$E$9,IF(D749="S. maritimus",F749*[1]Sheet1!$C$10+E749*[1]Sheet1!$D$10+G749*[1]Sheet1!$F$10+[1]Sheet1!$L$10,IF(D749="S. americanus",F749*[1]Sheet1!$C$6+E749*[1]Sheet1!$D$6+[1]Sheet1!$L$6,IF(AND(OR(D749="T. domingensis",D749="T. latifolia"),E749&gt;0),F749*[1]Sheet1!$C$4+E749*[1]Sheet1!$D$4+H749*[1]Sheet1!$J$4+I749*[1]Sheet1!$K$4+[1]Sheet1!$L$4,IF(AND(OR(D749="T. domingensis",D749="T. latifolia"),J749&gt;0),J749*[1]Sheet1!$G$5+K749*[1]Sheet1!$H$5+L749*[1]Sheet1!$I$5+[1]Sheet1!$L$5,0)))))))</f>
        <v>16.180800620138335</v>
      </c>
      <c r="P749">
        <f t="shared" si="34"/>
        <v>16.180800620138335</v>
      </c>
      <c r="S749">
        <f t="shared" si="35"/>
        <v>2.7464565177500004</v>
      </c>
    </row>
    <row r="750" spans="1:19">
      <c r="A750" s="7">
        <v>42503</v>
      </c>
      <c r="B750" s="6" t="s">
        <v>23</v>
      </c>
      <c r="C750" s="6">
        <v>2</v>
      </c>
      <c r="D750" s="6" t="s">
        <v>63</v>
      </c>
      <c r="E750">
        <v>140</v>
      </c>
      <c r="F750" s="6">
        <v>1.25</v>
      </c>
      <c r="N750">
        <f t="shared" si="33"/>
        <v>57.268567708333329</v>
      </c>
      <c r="O750">
        <f>IF(AND(OR(D750="S. acutus",D750="S. californicus",D750="S. tabernaemontani"),G750=0),E750*[1]Sheet1!$D$7+[1]Sheet1!$L$7,IF(AND(OR(D750="S. acutus",D750="S. tabernaemontani"),G750&gt;0),E750*[1]Sheet1!$D$8+N750*[1]Sheet1!$E$8,IF(AND(D750="S. californicus",G750&gt;0),E750*[1]Sheet1!$D$9+N750*[1]Sheet1!$E$9,IF(D750="S. maritimus",F750*[1]Sheet1!$C$10+E750*[1]Sheet1!$D$10+G750*[1]Sheet1!$F$10+[1]Sheet1!$L$10,IF(D750="S. americanus",F750*[1]Sheet1!$C$6+E750*[1]Sheet1!$D$6+[1]Sheet1!$L$6,IF(AND(OR(D750="T. domingensis",D750="T. latifolia"),E750&gt;0),F750*[1]Sheet1!$C$4+E750*[1]Sheet1!$D$4+H750*[1]Sheet1!$J$4+I750*[1]Sheet1!$K$4+[1]Sheet1!$L$4,IF(AND(OR(D750="T. domingensis",D750="T. latifolia"),J750&gt;0),J750*[1]Sheet1!$G$5+K750*[1]Sheet1!$H$5+L750*[1]Sheet1!$I$5+[1]Sheet1!$L$5,0)))))))</f>
        <v>5.2241030000000004</v>
      </c>
      <c r="P750">
        <f t="shared" si="34"/>
        <v>5.2241030000000004</v>
      </c>
      <c r="S750">
        <f t="shared" si="35"/>
        <v>1.22718359375</v>
      </c>
    </row>
    <row r="751" spans="1:19">
      <c r="A751" s="7">
        <v>42503</v>
      </c>
      <c r="B751" s="6" t="s">
        <v>23</v>
      </c>
      <c r="C751" s="6">
        <v>2</v>
      </c>
      <c r="D751" s="6" t="s">
        <v>63</v>
      </c>
      <c r="E751">
        <v>212</v>
      </c>
      <c r="F751" s="6">
        <v>1.71</v>
      </c>
      <c r="G751" s="6">
        <v>14</v>
      </c>
      <c r="N751">
        <f t="shared" si="33"/>
        <v>162.29171196899995</v>
      </c>
      <c r="O751">
        <f>IF(AND(OR(D751="S. acutus",D751="S. californicus",D751="S. tabernaemontani"),G751=0),E751*[1]Sheet1!$D$7+[1]Sheet1!$L$7,IF(AND(OR(D751="S. acutus",D751="S. tabernaemontani"),G751&gt;0),E751*[1]Sheet1!$D$8+N751*[1]Sheet1!$E$8,IF(AND(D751="S. californicus",G751&gt;0),E751*[1]Sheet1!$D$9+N751*[1]Sheet1!$E$9,IF(D751="S. maritimus",F751*[1]Sheet1!$C$10+E751*[1]Sheet1!$D$10+G751*[1]Sheet1!$F$10+[1]Sheet1!$L$10,IF(D751="S. americanus",F751*[1]Sheet1!$C$6+E751*[1]Sheet1!$D$6+[1]Sheet1!$L$6,IF(AND(OR(D751="T. domingensis",D751="T. latifolia"),E751&gt;0),F751*[1]Sheet1!$C$4+E751*[1]Sheet1!$D$4+H751*[1]Sheet1!$J$4+I751*[1]Sheet1!$K$4+[1]Sheet1!$L$4,IF(AND(OR(D751="T. domingensis",D751="T. latifolia"),J751&gt;0),J751*[1]Sheet1!$G$5+K751*[1]Sheet1!$H$5+L751*[1]Sheet1!$I$5+[1]Sheet1!$L$5,0)))))))</f>
        <v>13.389444387942572</v>
      </c>
      <c r="P751">
        <f t="shared" si="34"/>
        <v>13.389444387942572</v>
      </c>
      <c r="S751">
        <f t="shared" si="35"/>
        <v>2.2965808297499999</v>
      </c>
    </row>
    <row r="752" spans="1:19">
      <c r="A752" s="7">
        <v>42503</v>
      </c>
      <c r="B752" s="6" t="s">
        <v>23</v>
      </c>
      <c r="C752" s="6">
        <v>2</v>
      </c>
      <c r="D752" s="6" t="s">
        <v>63</v>
      </c>
      <c r="E752">
        <v>136</v>
      </c>
      <c r="F752" s="6">
        <v>1.03</v>
      </c>
      <c r="N752">
        <f t="shared" si="33"/>
        <v>37.773012084666661</v>
      </c>
      <c r="O752">
        <f>IF(AND(OR(D752="S. acutus",D752="S. californicus",D752="S. tabernaemontani"),G752=0),E752*[1]Sheet1!$D$7+[1]Sheet1!$L$7,IF(AND(OR(D752="S. acutus",D752="S. tabernaemontani"),G752&gt;0),E752*[1]Sheet1!$D$8+N752*[1]Sheet1!$E$8,IF(AND(D752="S. californicus",G752&gt;0),E752*[1]Sheet1!$D$9+N752*[1]Sheet1!$E$9,IF(D752="S. maritimus",F752*[1]Sheet1!$C$10+E752*[1]Sheet1!$D$10+G752*[1]Sheet1!$F$10+[1]Sheet1!$L$10,IF(D752="S. americanus",F752*[1]Sheet1!$C$6+E752*[1]Sheet1!$D$6+[1]Sheet1!$L$6,IF(AND(OR(D752="T. domingensis",D752="T. latifolia"),E752&gt;0),F752*[1]Sheet1!$C$4+E752*[1]Sheet1!$D$4+H752*[1]Sheet1!$J$4+I752*[1]Sheet1!$K$4+[1]Sheet1!$L$4,IF(AND(OR(D752="T. domingensis",D752="T. latifolia"),J752&gt;0),J752*[1]Sheet1!$G$5+K752*[1]Sheet1!$H$5+L752*[1]Sheet1!$I$5+[1]Sheet1!$L$5,0)))))))</f>
        <v>4.9436830000000009</v>
      </c>
      <c r="P752">
        <f t="shared" si="34"/>
        <v>4.9436830000000009</v>
      </c>
      <c r="S752">
        <f t="shared" si="35"/>
        <v>0.83322820774999995</v>
      </c>
    </row>
    <row r="753" spans="1:19">
      <c r="A753" s="7">
        <v>42503</v>
      </c>
      <c r="B753" s="6" t="s">
        <v>23</v>
      </c>
      <c r="C753" s="6">
        <v>2</v>
      </c>
      <c r="D753" s="6" t="s">
        <v>63</v>
      </c>
      <c r="E753">
        <v>84</v>
      </c>
      <c r="F753" s="6">
        <v>0.8</v>
      </c>
      <c r="G753" s="6">
        <v>7</v>
      </c>
      <c r="N753">
        <f t="shared" si="33"/>
        <v>14.0743232</v>
      </c>
      <c r="O753">
        <f>IF(AND(OR(D753="S. acutus",D753="S. californicus",D753="S. tabernaemontani"),G753=0),E753*[1]Sheet1!$D$7+[1]Sheet1!$L$7,IF(AND(OR(D753="S. acutus",D753="S. tabernaemontani"),G753&gt;0),E753*[1]Sheet1!$D$8+N753*[1]Sheet1!$E$8,IF(AND(D753="S. californicus",G753&gt;0),E753*[1]Sheet1!$D$9+N753*[1]Sheet1!$E$9,IF(D753="S. maritimus",F753*[1]Sheet1!$C$10+E753*[1]Sheet1!$D$10+G753*[1]Sheet1!$F$10+[1]Sheet1!$L$10,IF(D753="S. americanus",F753*[1]Sheet1!$C$6+E753*[1]Sheet1!$D$6+[1]Sheet1!$L$6,IF(AND(OR(D753="T. domingensis",D753="T. latifolia"),E753&gt;0),F753*[1]Sheet1!$C$4+E753*[1]Sheet1!$D$4+H753*[1]Sheet1!$J$4+I753*[1]Sheet1!$K$4+[1]Sheet1!$L$4,IF(AND(OR(D753="T. domingensis",D753="T. latifolia"),J753&gt;0),J753*[1]Sheet1!$G$5+K753*[1]Sheet1!$H$5+L753*[1]Sheet1!$I$5+[1]Sheet1!$L$5,0)))))))</f>
        <v>3.6878022739308802</v>
      </c>
      <c r="P753">
        <f t="shared" si="34"/>
        <v>3.6878022739308802</v>
      </c>
      <c r="S753">
        <f t="shared" si="35"/>
        <v>0.50265440000000006</v>
      </c>
    </row>
    <row r="754" spans="1:19">
      <c r="A754" s="7">
        <v>42503</v>
      </c>
      <c r="B754" s="6" t="s">
        <v>23</v>
      </c>
      <c r="C754" s="6">
        <v>2</v>
      </c>
      <c r="D754" s="6" t="s">
        <v>63</v>
      </c>
      <c r="E754">
        <v>241</v>
      </c>
      <c r="F754" s="6">
        <v>1.83</v>
      </c>
      <c r="G754" s="6">
        <v>13</v>
      </c>
      <c r="N754">
        <f t="shared" si="33"/>
        <v>211.29415424925</v>
      </c>
      <c r="O754">
        <f>IF(AND(OR(D754="S. acutus",D754="S. californicus",D754="S. tabernaemontani"),G754=0),E754*[1]Sheet1!$D$7+[1]Sheet1!$L$7,IF(AND(OR(D754="S. acutus",D754="S. tabernaemontani"),G754&gt;0),E754*[1]Sheet1!$D$8+N754*[1]Sheet1!$E$8,IF(AND(D754="S. californicus",G754&gt;0),E754*[1]Sheet1!$D$9+N754*[1]Sheet1!$E$9,IF(D754="S. maritimus",F754*[1]Sheet1!$C$10+E754*[1]Sheet1!$D$10+G754*[1]Sheet1!$F$10+[1]Sheet1!$L$10,IF(D754="S. americanus",F754*[1]Sheet1!$C$6+E754*[1]Sheet1!$D$6+[1]Sheet1!$L$6,IF(AND(OR(D754="T. domingensis",D754="T. latifolia"),E754&gt;0),F754*[1]Sheet1!$C$4+E754*[1]Sheet1!$D$4+H754*[1]Sheet1!$J$4+I754*[1]Sheet1!$K$4+[1]Sheet1!$L$4,IF(AND(OR(D754="T. domingensis",D754="T. latifolia"),J754&gt;0),J754*[1]Sheet1!$G$5+K754*[1]Sheet1!$H$5+L754*[1]Sheet1!$I$5+[1]Sheet1!$L$5,0)))))))</f>
        <v>16.084073031564674</v>
      </c>
      <c r="P754">
        <f t="shared" si="34"/>
        <v>16.084073031564674</v>
      </c>
      <c r="S754">
        <f t="shared" si="35"/>
        <v>2.6302176877500001</v>
      </c>
    </row>
    <row r="755" spans="1:19">
      <c r="A755" s="7">
        <v>42503</v>
      </c>
      <c r="B755" s="6" t="s">
        <v>23</v>
      </c>
      <c r="C755" s="6">
        <v>2</v>
      </c>
      <c r="D755" s="6" t="s">
        <v>63</v>
      </c>
      <c r="E755">
        <v>216</v>
      </c>
      <c r="F755" s="6">
        <v>1.1000000000000001</v>
      </c>
      <c r="G755" s="6">
        <v>18</v>
      </c>
      <c r="N755">
        <f t="shared" si="33"/>
        <v>68.423830199999998</v>
      </c>
      <c r="O755">
        <f>IF(AND(OR(D755="S. acutus",D755="S. californicus",D755="S. tabernaemontani"),G755=0),E755*[1]Sheet1!$D$7+[1]Sheet1!$L$7,IF(AND(OR(D755="S. acutus",D755="S. tabernaemontani"),G755&gt;0),E755*[1]Sheet1!$D$8+N755*[1]Sheet1!$E$8,IF(AND(D755="S. californicus",G755&gt;0),E755*[1]Sheet1!$D$9+N755*[1]Sheet1!$E$9,IF(D755="S. maritimus",F755*[1]Sheet1!$C$10+E755*[1]Sheet1!$D$10+G755*[1]Sheet1!$F$10+[1]Sheet1!$L$10,IF(D755="S. americanus",F755*[1]Sheet1!$C$6+E755*[1]Sheet1!$D$6+[1]Sheet1!$L$6,IF(AND(OR(D755="T. domingensis",D755="T. latifolia"),E755&gt;0),F755*[1]Sheet1!$C$4+E755*[1]Sheet1!$D$4+H755*[1]Sheet1!$J$4+I755*[1]Sheet1!$K$4+[1]Sheet1!$L$4,IF(AND(OR(D755="T. domingensis",D755="T. latifolia"),J755&gt;0),J755*[1]Sheet1!$G$5+K755*[1]Sheet1!$H$5+L755*[1]Sheet1!$I$5+[1]Sheet1!$L$5,0)))))))</f>
        <v>10.520842513887182</v>
      </c>
      <c r="P755">
        <f t="shared" si="34"/>
        <v>10.520842513887182</v>
      </c>
      <c r="S755">
        <f t="shared" si="35"/>
        <v>0.95033097500000008</v>
      </c>
    </row>
    <row r="756" spans="1:19">
      <c r="A756" s="7">
        <v>42503</v>
      </c>
      <c r="B756" s="6" t="s">
        <v>23</v>
      </c>
      <c r="C756" s="6">
        <v>2</v>
      </c>
      <c r="D756" s="6" t="s">
        <v>63</v>
      </c>
      <c r="E756">
        <v>169</v>
      </c>
      <c r="F756" s="6">
        <v>1.65</v>
      </c>
      <c r="N756">
        <f t="shared" si="33"/>
        <v>120.45445108124997</v>
      </c>
      <c r="O756">
        <f>IF(AND(OR(D756="S. acutus",D756="S. californicus",D756="S. tabernaemontani"),G756=0),E756*[1]Sheet1!$D$7+[1]Sheet1!$L$7,IF(AND(OR(D756="S. acutus",D756="S. tabernaemontani"),G756&gt;0),E756*[1]Sheet1!$D$8+N756*[1]Sheet1!$E$8,IF(AND(D756="S. californicus",G756&gt;0),E756*[1]Sheet1!$D$9+N756*[1]Sheet1!$E$9,IF(D756="S. maritimus",F756*[1]Sheet1!$C$10+E756*[1]Sheet1!$D$10+G756*[1]Sheet1!$F$10+[1]Sheet1!$L$10,IF(D756="S. americanus",F756*[1]Sheet1!$C$6+E756*[1]Sheet1!$D$6+[1]Sheet1!$L$6,IF(AND(OR(D756="T. domingensis",D756="T. latifolia"),E756&gt;0),F756*[1]Sheet1!$C$4+E756*[1]Sheet1!$D$4+H756*[1]Sheet1!$J$4+I756*[1]Sheet1!$K$4+[1]Sheet1!$L$4,IF(AND(OR(D756="T. domingensis",D756="T. latifolia"),J756&gt;0),J756*[1]Sheet1!$G$5+K756*[1]Sheet1!$H$5+L756*[1]Sheet1!$I$5+[1]Sheet1!$L$5,0)))))))</f>
        <v>7.2571479999999999</v>
      </c>
      <c r="P756">
        <f t="shared" si="34"/>
        <v>7.2571479999999999</v>
      </c>
      <c r="S756">
        <f t="shared" si="35"/>
        <v>2.1382446937499995</v>
      </c>
    </row>
    <row r="757" spans="1:19">
      <c r="A757" s="7">
        <v>42503</v>
      </c>
      <c r="B757" s="6" t="s">
        <v>23</v>
      </c>
      <c r="C757" s="6">
        <v>2</v>
      </c>
      <c r="D757" s="6" t="s">
        <v>63</v>
      </c>
      <c r="E757">
        <v>86</v>
      </c>
      <c r="F757" s="6">
        <v>0.7</v>
      </c>
      <c r="G757" s="6">
        <v>6</v>
      </c>
      <c r="N757">
        <f t="shared" si="33"/>
        <v>11.03221688333333</v>
      </c>
      <c r="O757">
        <f>IF(AND(OR(D757="S. acutus",D757="S. californicus",D757="S. tabernaemontani"),G757=0),E757*[1]Sheet1!$D$7+[1]Sheet1!$L$7,IF(AND(OR(D757="S. acutus",D757="S. tabernaemontani"),G757&gt;0),E757*[1]Sheet1!$D$8+N757*[1]Sheet1!$E$8,IF(AND(D757="S. californicus",G757&gt;0),E757*[1]Sheet1!$D$9+N757*[1]Sheet1!$E$9,IF(D757="S. maritimus",F757*[1]Sheet1!$C$10+E757*[1]Sheet1!$D$10+G757*[1]Sheet1!$F$10+[1]Sheet1!$L$10,IF(D757="S. americanus",F757*[1]Sheet1!$C$6+E757*[1]Sheet1!$D$6+[1]Sheet1!$L$6,IF(AND(OR(D757="T. domingensis",D757="T. latifolia"),E757&gt;0),F757*[1]Sheet1!$C$4+E757*[1]Sheet1!$D$4+H757*[1]Sheet1!$J$4+I757*[1]Sheet1!$K$4+[1]Sheet1!$L$4,IF(AND(OR(D757="T. domingensis",D757="T. latifolia"),J757&gt;0),J757*[1]Sheet1!$G$5+K757*[1]Sheet1!$H$5+L757*[1]Sheet1!$I$5+[1]Sheet1!$L$5,0)))))))</f>
        <v>3.6668579126385286</v>
      </c>
      <c r="P757">
        <f t="shared" si="34"/>
        <v>3.6668579126385286</v>
      </c>
      <c r="S757">
        <f t="shared" si="35"/>
        <v>0.38484477499999992</v>
      </c>
    </row>
    <row r="758" spans="1:19">
      <c r="A758" s="7">
        <v>42503</v>
      </c>
      <c r="B758" s="7" t="s">
        <v>23</v>
      </c>
      <c r="C758" s="6">
        <v>2</v>
      </c>
      <c r="D758" s="6" t="s">
        <v>63</v>
      </c>
      <c r="E758">
        <v>204</v>
      </c>
      <c r="F758" s="6">
        <v>1.8</v>
      </c>
      <c r="G758" s="6">
        <v>8</v>
      </c>
      <c r="N758">
        <f t="shared" si="33"/>
        <v>173.0387772</v>
      </c>
      <c r="O758">
        <f>IF(AND(OR(D758="S. acutus",D758="S. californicus",D758="S. tabernaemontani"),G758=0),E758*[1]Sheet1!$D$7+[1]Sheet1!$L$7,IF(AND(OR(D758="S. acutus",D758="S. tabernaemontani"),G758&gt;0),E758*[1]Sheet1!$D$8+N758*[1]Sheet1!$E$8,IF(AND(D758="S. californicus",G758&gt;0),E758*[1]Sheet1!$D$9+N758*[1]Sheet1!$E$9,IF(D758="S. maritimus",F758*[1]Sheet1!$C$10+E758*[1]Sheet1!$D$10+G758*[1]Sheet1!$F$10+[1]Sheet1!$L$10,IF(D758="S. americanus",F758*[1]Sheet1!$C$6+E758*[1]Sheet1!$D$6+[1]Sheet1!$L$6,IF(AND(OR(D758="T. domingensis",D758="T. latifolia"),E758&gt;0),F758*[1]Sheet1!$C$4+E758*[1]Sheet1!$D$4+H758*[1]Sheet1!$J$4+I758*[1]Sheet1!$K$4+[1]Sheet1!$L$4,IF(AND(OR(D758="T. domingensis",D758="T. latifolia"),J758&gt;0),J758*[1]Sheet1!$G$5+K758*[1]Sheet1!$H$5+L758*[1]Sheet1!$I$5+[1]Sheet1!$L$5,0)))))))</f>
        <v>13.427452760739481</v>
      </c>
      <c r="P758">
        <f t="shared" si="34"/>
        <v>13.427452760739481</v>
      </c>
      <c r="S758">
        <f t="shared" si="35"/>
        <v>2.5446879</v>
      </c>
    </row>
    <row r="759" spans="1:19">
      <c r="A759" s="7">
        <v>42503</v>
      </c>
      <c r="B759" s="6" t="s">
        <v>23</v>
      </c>
      <c r="C759" s="6">
        <v>2</v>
      </c>
      <c r="D759" s="6" t="s">
        <v>63</v>
      </c>
      <c r="E759">
        <v>139</v>
      </c>
      <c r="F759" s="6">
        <v>0.91</v>
      </c>
      <c r="G759" s="6">
        <v>11</v>
      </c>
      <c r="N759">
        <f t="shared" si="33"/>
        <v>30.134628698416666</v>
      </c>
      <c r="O759">
        <f>IF(AND(OR(D759="S. acutus",D759="S. californicus",D759="S. tabernaemontani"),G759=0),E759*[1]Sheet1!$D$7+[1]Sheet1!$L$7,IF(AND(OR(D759="S. acutus",D759="S. tabernaemontani"),G759&gt;0),E759*[1]Sheet1!$D$8+N759*[1]Sheet1!$E$8,IF(AND(D759="S. californicus",G759&gt;0),E759*[1]Sheet1!$D$9+N759*[1]Sheet1!$E$9,IF(D759="S. maritimus",F759*[1]Sheet1!$C$10+E759*[1]Sheet1!$D$10+G759*[1]Sheet1!$F$10+[1]Sheet1!$L$10,IF(D759="S. americanus",F759*[1]Sheet1!$C$6+E759*[1]Sheet1!$D$6+[1]Sheet1!$L$6,IF(AND(OR(D759="T. domingensis",D759="T. latifolia"),E759&gt;0),F759*[1]Sheet1!$C$4+E759*[1]Sheet1!$D$4+H759*[1]Sheet1!$J$4+I759*[1]Sheet1!$K$4+[1]Sheet1!$L$4,IF(AND(OR(D759="T. domingensis",D759="T. latifolia"),J759&gt;0),J759*[1]Sheet1!$G$5+K759*[1]Sheet1!$H$5+L759*[1]Sheet1!$I$5+[1]Sheet1!$L$5,0)))))))</f>
        <v>6.3228490652548457</v>
      </c>
      <c r="P759">
        <f t="shared" si="34"/>
        <v>6.3228490652548457</v>
      </c>
      <c r="S759">
        <f t="shared" si="35"/>
        <v>0.65038766975000006</v>
      </c>
    </row>
    <row r="760" spans="1:19">
      <c r="A760" s="7">
        <v>42503</v>
      </c>
      <c r="B760" s="6" t="s">
        <v>23</v>
      </c>
      <c r="C760" s="6">
        <v>2</v>
      </c>
      <c r="D760" s="6" t="s">
        <v>63</v>
      </c>
      <c r="E760">
        <v>234</v>
      </c>
      <c r="F760" s="6">
        <v>1.63</v>
      </c>
      <c r="G760" s="6">
        <v>11</v>
      </c>
      <c r="N760">
        <f t="shared" si="33"/>
        <v>162.76436418449995</v>
      </c>
      <c r="O760">
        <f>IF(AND(OR(D760="S. acutus",D760="S. californicus",D760="S. tabernaemontani"),G760=0),E760*[1]Sheet1!$D$7+[1]Sheet1!$L$7,IF(AND(OR(D760="S. acutus",D760="S. tabernaemontani"),G760&gt;0),E760*[1]Sheet1!$D$8+N760*[1]Sheet1!$E$8,IF(AND(D760="S. californicus",G760&gt;0),E760*[1]Sheet1!$D$9+N760*[1]Sheet1!$E$9,IF(D760="S. maritimus",F760*[1]Sheet1!$C$10+E760*[1]Sheet1!$D$10+G760*[1]Sheet1!$F$10+[1]Sheet1!$L$10,IF(D760="S. americanus",F760*[1]Sheet1!$C$6+E760*[1]Sheet1!$D$6+[1]Sheet1!$L$6,IF(AND(OR(D760="T. domingensis",D760="T. latifolia"),E760&gt;0),F760*[1]Sheet1!$C$4+E760*[1]Sheet1!$D$4+H760*[1]Sheet1!$J$4+I760*[1]Sheet1!$K$4+[1]Sheet1!$L$4,IF(AND(OR(D760="T. domingensis",D760="T. latifolia"),J760&gt;0),J760*[1]Sheet1!$G$5+K760*[1]Sheet1!$H$5+L760*[1]Sheet1!$I$5+[1]Sheet1!$L$5,0)))))))</f>
        <v>14.251820414668664</v>
      </c>
      <c r="P760">
        <f t="shared" si="34"/>
        <v>14.251820414668664</v>
      </c>
      <c r="S760">
        <f t="shared" si="35"/>
        <v>2.0867226177499996</v>
      </c>
    </row>
    <row r="761" spans="1:19">
      <c r="A761" s="7">
        <v>42503</v>
      </c>
      <c r="B761" s="6" t="s">
        <v>23</v>
      </c>
      <c r="C761" s="6">
        <v>2</v>
      </c>
      <c r="D761" s="6" t="s">
        <v>63</v>
      </c>
      <c r="E761">
        <v>142</v>
      </c>
      <c r="F761" s="6">
        <v>1.92</v>
      </c>
      <c r="N761">
        <f t="shared" si="33"/>
        <v>137.04369561599998</v>
      </c>
      <c r="O761">
        <f>IF(AND(OR(D761="S. acutus",D761="S. californicus",D761="S. tabernaemontani"),G761=0),E761*[1]Sheet1!$D$7+[1]Sheet1!$L$7,IF(AND(OR(D761="S. acutus",D761="S. tabernaemontani"),G761&gt;0),E761*[1]Sheet1!$D$8+N761*[1]Sheet1!$E$8,IF(AND(D761="S. californicus",G761&gt;0),E761*[1]Sheet1!$D$9+N761*[1]Sheet1!$E$9,IF(D761="S. maritimus",F761*[1]Sheet1!$C$10+E761*[1]Sheet1!$D$10+G761*[1]Sheet1!$F$10+[1]Sheet1!$L$10,IF(D761="S. americanus",F761*[1]Sheet1!$C$6+E761*[1]Sheet1!$D$6+[1]Sheet1!$L$6,IF(AND(OR(D761="T. domingensis",D761="T. latifolia"),E761&gt;0),F761*[1]Sheet1!$C$4+E761*[1]Sheet1!$D$4+H761*[1]Sheet1!$J$4+I761*[1]Sheet1!$K$4+[1]Sheet1!$L$4,IF(AND(OR(D761="T. domingensis",D761="T. latifolia"),J761&gt;0),J761*[1]Sheet1!$G$5+K761*[1]Sheet1!$H$5+L761*[1]Sheet1!$I$5+[1]Sheet1!$L$5,0)))))))</f>
        <v>5.3643130000000001</v>
      </c>
      <c r="P761">
        <f t="shared" si="34"/>
        <v>5.3643130000000001</v>
      </c>
      <c r="S761">
        <f t="shared" si="35"/>
        <v>2.8952893439999996</v>
      </c>
    </row>
    <row r="762" spans="1:19">
      <c r="A762" s="7">
        <v>42503</v>
      </c>
      <c r="B762" s="6" t="s">
        <v>23</v>
      </c>
      <c r="C762" s="6">
        <v>2</v>
      </c>
      <c r="D762" s="6" t="s">
        <v>63</v>
      </c>
      <c r="E762">
        <v>116</v>
      </c>
      <c r="F762" s="6">
        <v>0.68</v>
      </c>
      <c r="G762" s="6"/>
      <c r="N762">
        <f t="shared" si="33"/>
        <v>14.042488421333333</v>
      </c>
      <c r="O762">
        <f>IF(AND(OR(D762="S. acutus",D762="S. californicus",D762="S. tabernaemontani"),G762=0),E762*[1]Sheet1!$D$7+[1]Sheet1!$L$7,IF(AND(OR(D762="S. acutus",D762="S. tabernaemontani"),G762&gt;0),E762*[1]Sheet1!$D$8+N762*[1]Sheet1!$E$8,IF(AND(D762="S. californicus",G762&gt;0),E762*[1]Sheet1!$D$9+N762*[1]Sheet1!$E$9,IF(D762="S. maritimus",F762*[1]Sheet1!$C$10+E762*[1]Sheet1!$D$10+G762*[1]Sheet1!$F$10+[1]Sheet1!$L$10,IF(D762="S. americanus",F762*[1]Sheet1!$C$6+E762*[1]Sheet1!$D$6+[1]Sheet1!$L$6,IF(AND(OR(D762="T. domingensis",D762="T. latifolia"),E762&gt;0),F762*[1]Sheet1!$C$4+E762*[1]Sheet1!$D$4+H762*[1]Sheet1!$J$4+I762*[1]Sheet1!$K$4+[1]Sheet1!$L$4,IF(AND(OR(D762="T. domingensis",D762="T. latifolia"),J762&gt;0),J762*[1]Sheet1!$G$5+K762*[1]Sheet1!$H$5+L762*[1]Sheet1!$I$5+[1]Sheet1!$L$5,0)))))))</f>
        <v>3.5415830000000001</v>
      </c>
      <c r="P762">
        <f t="shared" si="34"/>
        <v>3.5415830000000001</v>
      </c>
      <c r="S762">
        <f t="shared" si="35"/>
        <v>0.36316780400000004</v>
      </c>
    </row>
    <row r="763" spans="1:19">
      <c r="A763" s="7">
        <v>42503</v>
      </c>
      <c r="B763" s="6" t="s">
        <v>23</v>
      </c>
      <c r="C763" s="6">
        <v>2</v>
      </c>
      <c r="D763" s="6" t="s">
        <v>63</v>
      </c>
      <c r="E763">
        <v>95</v>
      </c>
      <c r="F763" s="6">
        <v>0.98</v>
      </c>
      <c r="G763" s="6">
        <v>4</v>
      </c>
      <c r="N763">
        <f t="shared" si="33"/>
        <v>23.886032368333328</v>
      </c>
      <c r="O763">
        <f>IF(AND(OR(D763="S. acutus",D763="S. californicus",D763="S. tabernaemontani"),G763=0),E763*[1]Sheet1!$D$7+[1]Sheet1!$L$7,IF(AND(OR(D763="S. acutus",D763="S. tabernaemontani"),G763&gt;0),E763*[1]Sheet1!$D$8+N763*[1]Sheet1!$E$8,IF(AND(D763="S. californicus",G763&gt;0),E763*[1]Sheet1!$D$9+N763*[1]Sheet1!$E$9,IF(D763="S. maritimus",F763*[1]Sheet1!$C$10+E763*[1]Sheet1!$D$10+G763*[1]Sheet1!$F$10+[1]Sheet1!$L$10,IF(D763="S. americanus",F763*[1]Sheet1!$C$6+E763*[1]Sheet1!$D$6+[1]Sheet1!$L$6,IF(AND(OR(D763="T. domingensis",D763="T. latifolia"),E763&gt;0),F763*[1]Sheet1!$C$4+E763*[1]Sheet1!$D$4+H763*[1]Sheet1!$J$4+I763*[1]Sheet1!$K$4+[1]Sheet1!$L$4,IF(AND(OR(D763="T. domingensis",D763="T. latifolia"),J763&gt;0),J763*[1]Sheet1!$G$5+K763*[1]Sheet1!$H$5+L763*[1]Sheet1!$I$5+[1]Sheet1!$L$5,0)))))))</f>
        <v>4.4273262396894646</v>
      </c>
      <c r="P763">
        <f t="shared" si="34"/>
        <v>4.4273262396894646</v>
      </c>
      <c r="S763">
        <f t="shared" si="35"/>
        <v>0.7542957589999999</v>
      </c>
    </row>
    <row r="764" spans="1:19">
      <c r="A764" s="7">
        <v>42503</v>
      </c>
      <c r="B764" s="6" t="s">
        <v>23</v>
      </c>
      <c r="C764" s="6">
        <v>2</v>
      </c>
      <c r="D764" s="6" t="s">
        <v>63</v>
      </c>
      <c r="E764">
        <v>232</v>
      </c>
      <c r="F764" s="6">
        <v>1.54</v>
      </c>
      <c r="G764" s="6">
        <v>10</v>
      </c>
      <c r="N764">
        <f t="shared" si="33"/>
        <v>144.04483365066665</v>
      </c>
      <c r="O764">
        <f>IF(AND(OR(D764="S. acutus",D764="S. californicus",D764="S. tabernaemontani"),G764=0),E764*[1]Sheet1!$D$7+[1]Sheet1!$L$7,IF(AND(OR(D764="S. acutus",D764="S. tabernaemontani"),G764&gt;0),E764*[1]Sheet1!$D$8+N764*[1]Sheet1!$E$8,IF(AND(D764="S. californicus",G764&gt;0),E764*[1]Sheet1!$D$9+N764*[1]Sheet1!$E$9,IF(D764="S. maritimus",F764*[1]Sheet1!$C$10+E764*[1]Sheet1!$D$10+G764*[1]Sheet1!$F$10+[1]Sheet1!$L$10,IF(D764="S. americanus",F764*[1]Sheet1!$C$6+E764*[1]Sheet1!$D$6+[1]Sheet1!$L$6,IF(AND(OR(D764="T. domingensis",D764="T. latifolia"),E764&gt;0),F764*[1]Sheet1!$C$4+E764*[1]Sheet1!$D$4+H764*[1]Sheet1!$J$4+I764*[1]Sheet1!$K$4+[1]Sheet1!$L$4,IF(AND(OR(D764="T. domingensis",D764="T. latifolia"),J764&gt;0),J764*[1]Sheet1!$G$5+K764*[1]Sheet1!$H$5+L764*[1]Sheet1!$I$5+[1]Sheet1!$L$5,0)))))))</f>
        <v>13.572020483901753</v>
      </c>
      <c r="P764">
        <f t="shared" si="34"/>
        <v>13.572020483901753</v>
      </c>
      <c r="S764">
        <f t="shared" si="35"/>
        <v>1.8626487109999998</v>
      </c>
    </row>
    <row r="765" spans="1:19">
      <c r="A765" s="7">
        <v>42503</v>
      </c>
      <c r="B765" s="6" t="s">
        <v>23</v>
      </c>
      <c r="C765" s="6">
        <v>2</v>
      </c>
      <c r="D765" s="6" t="s">
        <v>63</v>
      </c>
      <c r="E765">
        <v>280</v>
      </c>
      <c r="F765" s="6">
        <v>1.74</v>
      </c>
      <c r="G765" s="6">
        <v>17</v>
      </c>
      <c r="N765">
        <f t="shared" si="33"/>
        <v>221.93448395999999</v>
      </c>
      <c r="O765">
        <f>IF(AND(OR(D765="S. acutus",D765="S. californicus",D765="S. tabernaemontani"),G765=0),E765*[1]Sheet1!$D$7+[1]Sheet1!$L$7,IF(AND(OR(D765="S. acutus",D765="S. tabernaemontani"),G765&gt;0),E765*[1]Sheet1!$D$8+N765*[1]Sheet1!$E$8,IF(AND(D765="S. californicus",G765&gt;0),E765*[1]Sheet1!$D$9+N765*[1]Sheet1!$E$9,IF(D765="S. maritimus",F765*[1]Sheet1!$C$10+E765*[1]Sheet1!$D$10+G765*[1]Sheet1!$F$10+[1]Sheet1!$L$10,IF(D765="S. americanus",F765*[1]Sheet1!$C$6+E765*[1]Sheet1!$D$6+[1]Sheet1!$L$6,IF(AND(OR(D765="T. domingensis",D765="T. latifolia"),E765&gt;0),F765*[1]Sheet1!$C$4+E765*[1]Sheet1!$D$4+H765*[1]Sheet1!$J$4+I765*[1]Sheet1!$K$4+[1]Sheet1!$L$4,IF(AND(OR(D765="T. domingensis",D765="T. latifolia"),J765&gt;0),J765*[1]Sheet1!$G$5+K765*[1]Sheet1!$H$5+L765*[1]Sheet1!$I$5+[1]Sheet1!$L$5,0)))))))</f>
        <v>17.928478124547564</v>
      </c>
      <c r="P765">
        <f t="shared" si="34"/>
        <v>17.928478124547564</v>
      </c>
      <c r="S765">
        <f t="shared" si="35"/>
        <v>2.3778694709999999</v>
      </c>
    </row>
    <row r="766" spans="1:19">
      <c r="A766" s="7">
        <v>42503</v>
      </c>
      <c r="B766" s="6" t="s">
        <v>23</v>
      </c>
      <c r="C766" s="6">
        <v>2</v>
      </c>
      <c r="D766" s="6" t="s">
        <v>63</v>
      </c>
      <c r="E766">
        <v>216</v>
      </c>
      <c r="F766" s="6">
        <v>1.94</v>
      </c>
      <c r="G766" s="6">
        <v>9</v>
      </c>
      <c r="N766">
        <f t="shared" si="33"/>
        <v>212.82638623199998</v>
      </c>
      <c r="O766">
        <f>IF(AND(OR(D766="S. acutus",D766="S. californicus",D766="S. tabernaemontani"),G766=0),E766*[1]Sheet1!$D$7+[1]Sheet1!$L$7,IF(AND(OR(D766="S. acutus",D766="S. tabernaemontani"),G766&gt;0),E766*[1]Sheet1!$D$8+N766*[1]Sheet1!$E$8,IF(AND(D766="S. californicus",G766&gt;0),E766*[1]Sheet1!$D$9+N766*[1]Sheet1!$E$9,IF(D766="S. maritimus",F766*[1]Sheet1!$C$10+E766*[1]Sheet1!$D$10+G766*[1]Sheet1!$F$10+[1]Sheet1!$L$10,IF(D766="S. americanus",F766*[1]Sheet1!$C$6+E766*[1]Sheet1!$D$6+[1]Sheet1!$L$6,IF(AND(OR(D766="T. domingensis",D766="T. latifolia"),E766&gt;0),F766*[1]Sheet1!$C$4+E766*[1]Sheet1!$D$4+H766*[1]Sheet1!$J$4+I766*[1]Sheet1!$K$4+[1]Sheet1!$L$4,IF(AND(OR(D766="T. domingensis",D766="T. latifolia"),J766&gt;0),J766*[1]Sheet1!$G$5+K766*[1]Sheet1!$H$5+L766*[1]Sheet1!$I$5+[1]Sheet1!$L$5,0)))))))</f>
        <v>15.170734780418009</v>
      </c>
      <c r="P766">
        <f t="shared" si="34"/>
        <v>15.170734780418009</v>
      </c>
      <c r="S766">
        <f t="shared" si="35"/>
        <v>2.9559220309999996</v>
      </c>
    </row>
    <row r="767" spans="1:19">
      <c r="A767" s="7">
        <v>42503</v>
      </c>
      <c r="B767" s="6" t="s">
        <v>23</v>
      </c>
      <c r="C767" s="6">
        <v>2</v>
      </c>
      <c r="D767" s="6" t="s">
        <v>63</v>
      </c>
      <c r="E767">
        <v>172</v>
      </c>
      <c r="F767" s="6">
        <v>0.92</v>
      </c>
      <c r="G767" s="6">
        <v>6</v>
      </c>
      <c r="N767">
        <f t="shared" si="33"/>
        <v>38.112932122666663</v>
      </c>
      <c r="O767">
        <f>IF(AND(OR(D767="S. acutus",D767="S. californicus",D767="S. tabernaemontani"),G767=0),E767*[1]Sheet1!$D$7+[1]Sheet1!$L$7,IF(AND(OR(D767="S. acutus",D767="S. tabernaemontani"),G767&gt;0),E767*[1]Sheet1!$D$8+N767*[1]Sheet1!$E$8,IF(AND(D767="S. californicus",G767&gt;0),E767*[1]Sheet1!$D$9+N767*[1]Sheet1!$E$9,IF(D767="S. maritimus",F767*[1]Sheet1!$C$10+E767*[1]Sheet1!$D$10+G767*[1]Sheet1!$F$10+[1]Sheet1!$L$10,IF(D767="S. americanus",F767*[1]Sheet1!$C$6+E767*[1]Sheet1!$D$6+[1]Sheet1!$L$6,IF(AND(OR(D767="T. domingensis",D767="T. latifolia"),E767&gt;0),F767*[1]Sheet1!$C$4+E767*[1]Sheet1!$D$4+H767*[1]Sheet1!$J$4+I767*[1]Sheet1!$K$4+[1]Sheet1!$L$4,IF(AND(OR(D767="T. domingensis",D767="T. latifolia"),J767&gt;0),J767*[1]Sheet1!$G$5+K767*[1]Sheet1!$H$5+L767*[1]Sheet1!$I$5+[1]Sheet1!$L$5,0)))))))</f>
        <v>7.8504919159887772</v>
      </c>
      <c r="P767">
        <f t="shared" si="34"/>
        <v>7.8504919159887772</v>
      </c>
      <c r="S767">
        <f t="shared" si="35"/>
        <v>0.66476044400000001</v>
      </c>
    </row>
    <row r="768" spans="1:19">
      <c r="A768" s="7">
        <v>42503</v>
      </c>
      <c r="B768" s="6" t="s">
        <v>23</v>
      </c>
      <c r="C768" s="6">
        <v>2</v>
      </c>
      <c r="D768" s="6" t="s">
        <v>63</v>
      </c>
      <c r="E768">
        <v>172</v>
      </c>
      <c r="F768" s="6">
        <v>1.23</v>
      </c>
      <c r="N768">
        <f t="shared" si="33"/>
        <v>68.125064990999988</v>
      </c>
      <c r="O768">
        <f>IF(AND(OR(D768="S. acutus",D768="S. californicus",D768="S. tabernaemontani"),G768=0),E768*[1]Sheet1!$D$7+[1]Sheet1!$L$7,IF(AND(OR(D768="S. acutus",D768="S. tabernaemontani"),G768&gt;0),E768*[1]Sheet1!$D$8+N768*[1]Sheet1!$E$8,IF(AND(D768="S. californicus",G768&gt;0),E768*[1]Sheet1!$D$9+N768*[1]Sheet1!$E$9,IF(D768="S. maritimus",F768*[1]Sheet1!$C$10+E768*[1]Sheet1!$D$10+G768*[1]Sheet1!$F$10+[1]Sheet1!$L$10,IF(D768="S. americanus",F768*[1]Sheet1!$C$6+E768*[1]Sheet1!$D$6+[1]Sheet1!$L$6,IF(AND(OR(D768="T. domingensis",D768="T. latifolia"),E768&gt;0),F768*[1]Sheet1!$C$4+E768*[1]Sheet1!$D$4+H768*[1]Sheet1!$J$4+I768*[1]Sheet1!$K$4+[1]Sheet1!$L$4,IF(AND(OR(D768="T. domingensis",D768="T. latifolia"),J768&gt;0),J768*[1]Sheet1!$G$5+K768*[1]Sheet1!$H$5+L768*[1]Sheet1!$I$5+[1]Sheet1!$L$5,0)))))))</f>
        <v>7.4674629999999995</v>
      </c>
      <c r="P768">
        <f t="shared" si="34"/>
        <v>7.4674629999999995</v>
      </c>
      <c r="S768">
        <f t="shared" si="35"/>
        <v>1.1882278777499999</v>
      </c>
    </row>
    <row r="769" spans="1:19">
      <c r="A769" s="7">
        <v>42503</v>
      </c>
      <c r="B769" s="6" t="s">
        <v>23</v>
      </c>
      <c r="C769" s="6">
        <v>2</v>
      </c>
      <c r="D769" s="6" t="s">
        <v>63</v>
      </c>
      <c r="E769">
        <v>173</v>
      </c>
      <c r="F769" s="6">
        <v>1.51</v>
      </c>
      <c r="G769" s="6">
        <v>9</v>
      </c>
      <c r="N769">
        <f t="shared" si="33"/>
        <v>103.26859242558332</v>
      </c>
      <c r="O769">
        <f>IF(AND(OR(D769="S. acutus",D769="S. californicus",D769="S. tabernaemontani"),G769=0),E769*[1]Sheet1!$D$7+[1]Sheet1!$L$7,IF(AND(OR(D769="S. acutus",D769="S. tabernaemontani"),G769&gt;0),E769*[1]Sheet1!$D$8+N769*[1]Sheet1!$E$8,IF(AND(D769="S. californicus",G769&gt;0),E769*[1]Sheet1!$D$9+N769*[1]Sheet1!$E$9,IF(D769="S. maritimus",F769*[1]Sheet1!$C$10+E769*[1]Sheet1!$D$10+G769*[1]Sheet1!$F$10+[1]Sheet1!$L$10,IF(D769="S. americanus",F769*[1]Sheet1!$C$6+E769*[1]Sheet1!$D$6+[1]Sheet1!$L$6,IF(AND(OR(D769="T. domingensis",D769="T. latifolia"),E769&gt;0),F769*[1]Sheet1!$C$4+E769*[1]Sheet1!$D$4+H769*[1]Sheet1!$J$4+I769*[1]Sheet1!$K$4+[1]Sheet1!$L$4,IF(AND(OR(D769="T. domingensis",D769="T. latifolia"),J769&gt;0),J769*[1]Sheet1!$G$5+K769*[1]Sheet1!$H$5+L769*[1]Sheet1!$I$5+[1]Sheet1!$L$5,0)))))))</f>
        <v>9.9870699178369655</v>
      </c>
      <c r="P769">
        <f t="shared" si="34"/>
        <v>9.9870699178369655</v>
      </c>
      <c r="S769">
        <f t="shared" si="35"/>
        <v>1.7907848397499999</v>
      </c>
    </row>
    <row r="770" spans="1:19">
      <c r="A770" s="7">
        <v>42503</v>
      </c>
      <c r="B770" s="6" t="s">
        <v>23</v>
      </c>
      <c r="C770" s="6">
        <v>2</v>
      </c>
      <c r="D770" s="6" t="s">
        <v>63</v>
      </c>
      <c r="E770">
        <v>124</v>
      </c>
      <c r="F770" s="6">
        <v>1.21</v>
      </c>
      <c r="G770" s="6">
        <v>18</v>
      </c>
      <c r="N770">
        <f t="shared" si="33"/>
        <v>47.529219829666658</v>
      </c>
      <c r="O770">
        <f>IF(AND(OR(D770="S. acutus",D770="S. californicus",D770="S. tabernaemontani"),G770=0),E770*[1]Sheet1!$D$7+[1]Sheet1!$L$7,IF(AND(OR(D770="S. acutus",D770="S. tabernaemontani"),G770&gt;0),E770*[1]Sheet1!$D$8+N770*[1]Sheet1!$E$8,IF(AND(D770="S. californicus",G770&gt;0),E770*[1]Sheet1!$D$9+N770*[1]Sheet1!$E$9,IF(D770="S. maritimus",F770*[1]Sheet1!$C$10+E770*[1]Sheet1!$D$10+G770*[1]Sheet1!$F$10+[1]Sheet1!$L$10,IF(D770="S. americanus",F770*[1]Sheet1!$C$6+E770*[1]Sheet1!$D$6+[1]Sheet1!$L$6,IF(AND(OR(D770="T. domingensis",D770="T. latifolia"),E770&gt;0),F770*[1]Sheet1!$C$4+E770*[1]Sheet1!$D$4+H770*[1]Sheet1!$J$4+I770*[1]Sheet1!$K$4+[1]Sheet1!$L$4,IF(AND(OR(D770="T. domingensis",D770="T. latifolia"),J770&gt;0),J770*[1]Sheet1!$G$5+K770*[1]Sheet1!$H$5+L770*[1]Sheet1!$I$5+[1]Sheet1!$L$5,0)))))))</f>
        <v>6.3053640548131131</v>
      </c>
      <c r="P770">
        <f t="shared" si="34"/>
        <v>6.3053640548131131</v>
      </c>
      <c r="S770">
        <f t="shared" si="35"/>
        <v>1.1499004797499999</v>
      </c>
    </row>
    <row r="771" spans="1:19">
      <c r="A771" s="7">
        <v>42503</v>
      </c>
      <c r="B771" s="6" t="s">
        <v>23</v>
      </c>
      <c r="C771" s="6">
        <v>2</v>
      </c>
      <c r="D771" s="6" t="s">
        <v>63</v>
      </c>
      <c r="E771">
        <v>214</v>
      </c>
      <c r="F771" s="6">
        <v>1.49</v>
      </c>
      <c r="G771" s="6">
        <v>9</v>
      </c>
      <c r="N771">
        <f t="shared" si="33"/>
        <v>124.38115060216666</v>
      </c>
      <c r="O771">
        <f>IF(AND(OR(D771="S. acutus",D771="S. californicus",D771="S. tabernaemontani"),G771=0),E771*[1]Sheet1!$D$7+[1]Sheet1!$L$7,IF(AND(OR(D771="S. acutus",D771="S. tabernaemontani"),G771&gt;0),E771*[1]Sheet1!$D$8+N771*[1]Sheet1!$E$8,IF(AND(D771="S. californicus",G771&gt;0),E771*[1]Sheet1!$D$9+N771*[1]Sheet1!$E$9,IF(D771="S. maritimus",F771*[1]Sheet1!$C$10+E771*[1]Sheet1!$D$10+G771*[1]Sheet1!$F$10+[1]Sheet1!$L$10,IF(D771="S. americanus",F771*[1]Sheet1!$C$6+E771*[1]Sheet1!$D$6+[1]Sheet1!$L$6,IF(AND(OR(D771="T. domingensis",D771="T. latifolia"),E771&gt;0),F771*[1]Sheet1!$C$4+E771*[1]Sheet1!$D$4+H771*[1]Sheet1!$J$4+I771*[1]Sheet1!$K$4+[1]Sheet1!$L$4,IF(AND(OR(D771="T. domingensis",D771="T. latifolia"),J771&gt;0),J771*[1]Sheet1!$G$5+K771*[1]Sheet1!$H$5+L771*[1]Sheet1!$I$5+[1]Sheet1!$L$5,0)))))))</f>
        <v>12.245704392425308</v>
      </c>
      <c r="P771">
        <f t="shared" si="34"/>
        <v>12.245704392425308</v>
      </c>
      <c r="S771">
        <f t="shared" si="35"/>
        <v>1.7436609897499999</v>
      </c>
    </row>
    <row r="772" spans="1:19">
      <c r="A772" s="7">
        <v>42503</v>
      </c>
      <c r="B772" s="6" t="s">
        <v>23</v>
      </c>
      <c r="C772" s="6">
        <v>2</v>
      </c>
      <c r="D772" s="6" t="s">
        <v>63</v>
      </c>
      <c r="E772">
        <v>224</v>
      </c>
      <c r="F772" s="6">
        <v>1.68</v>
      </c>
      <c r="N772">
        <f t="shared" ref="N772:N835" si="36">IF(OR(D772="S. acutus", D772="S. tabernaemontani", D772="S. californicus"),(1/3)*(3.14159)*((F772/2)^2)*E772,"NA")</f>
        <v>165.51404083199998</v>
      </c>
      <c r="O772">
        <f>IF(AND(OR(D772="S. acutus",D772="S. californicus",D772="S. tabernaemontani"),G772=0),E772*[1]Sheet1!$D$7+[1]Sheet1!$L$7,IF(AND(OR(D772="S. acutus",D772="S. tabernaemontani"),G772&gt;0),E772*[1]Sheet1!$D$8+N772*[1]Sheet1!$E$8,IF(AND(D772="S. californicus",G772&gt;0),E772*[1]Sheet1!$D$9+N772*[1]Sheet1!$E$9,IF(D772="S. maritimus",F772*[1]Sheet1!$C$10+E772*[1]Sheet1!$D$10+G772*[1]Sheet1!$F$10+[1]Sheet1!$L$10,IF(D772="S. americanus",F772*[1]Sheet1!$C$6+E772*[1]Sheet1!$D$6+[1]Sheet1!$L$6,IF(AND(OR(D772="T. domingensis",D772="T. latifolia"),E772&gt;0),F772*[1]Sheet1!$C$4+E772*[1]Sheet1!$D$4+H772*[1]Sheet1!$J$4+I772*[1]Sheet1!$K$4+[1]Sheet1!$L$4,IF(AND(OR(D772="T. domingensis",D772="T. latifolia"),J772&gt;0),J772*[1]Sheet1!$G$5+K772*[1]Sheet1!$H$5+L772*[1]Sheet1!$I$5+[1]Sheet1!$L$5,0)))))))</f>
        <v>11.112923000000002</v>
      </c>
      <c r="P772">
        <f t="shared" ref="P772:P835" si="37">IF(O772&lt;0," ",O772)</f>
        <v>11.112923000000002</v>
      </c>
      <c r="S772">
        <f>3.14159*((F772/2)^2)</f>
        <v>2.2167059039999994</v>
      </c>
    </row>
    <row r="773" spans="1:19">
      <c r="A773" s="7">
        <v>42503</v>
      </c>
      <c r="B773" s="6" t="s">
        <v>23</v>
      </c>
      <c r="C773" s="6">
        <v>2</v>
      </c>
      <c r="D773" s="6" t="s">
        <v>63</v>
      </c>
      <c r="E773">
        <v>0.72</v>
      </c>
      <c r="F773" s="6">
        <v>67</v>
      </c>
      <c r="G773" s="6"/>
      <c r="N773">
        <f t="shared" si="36"/>
        <v>846.15585059999978</v>
      </c>
      <c r="O773">
        <f>IF(AND(OR(D773="S. acutus",D773="S. californicus",D773="S. tabernaemontani"),G773=0),E773*[1]Sheet1!$D$7+[1]Sheet1!$L$7,IF(AND(OR(D773="S. acutus",D773="S. tabernaemontani"),G773&gt;0),E773*[1]Sheet1!$D$8+N773*[1]Sheet1!$E$8,IF(AND(D773="S. californicus",G773&gt;0),E773*[1]Sheet1!$D$9+N773*[1]Sheet1!$E$9,IF(D773="S. maritimus",F773*[1]Sheet1!$C$10+E773*[1]Sheet1!$D$10+G773*[1]Sheet1!$F$10+[1]Sheet1!$L$10,IF(D773="S. americanus",F773*[1]Sheet1!$C$6+E773*[1]Sheet1!$D$6+[1]Sheet1!$L$6,IF(AND(OR(D773="T. domingensis",D773="T. latifolia"),E773&gt;0),F773*[1]Sheet1!$C$4+E773*[1]Sheet1!$D$4+H773*[1]Sheet1!$J$4+I773*[1]Sheet1!$K$4+[1]Sheet1!$L$4,IF(AND(OR(D773="T. domingensis",D773="T. latifolia"),J773&gt;0),J773*[1]Sheet1!$G$5+K773*[1]Sheet1!$H$5+L773*[1]Sheet1!$I$5+[1]Sheet1!$L$5,0)))))))</f>
        <v>-4.5401213999999994</v>
      </c>
      <c r="P773" t="str">
        <f t="shared" si="37"/>
        <v xml:space="preserve"> </v>
      </c>
    </row>
    <row r="774" spans="1:19">
      <c r="A774" s="7">
        <v>42503</v>
      </c>
      <c r="B774" s="6" t="s">
        <v>23</v>
      </c>
      <c r="C774" s="6">
        <v>2</v>
      </c>
      <c r="D774" s="6" t="s">
        <v>63</v>
      </c>
      <c r="E774">
        <v>1.25</v>
      </c>
      <c r="F774" s="6">
        <v>129</v>
      </c>
      <c r="G774" s="6">
        <v>7</v>
      </c>
      <c r="N774">
        <f t="shared" si="36"/>
        <v>5445.7499156249996</v>
      </c>
      <c r="O774">
        <f>IF(AND(OR(D774="S. acutus",D774="S. californicus",D774="S. tabernaemontani"),G774=0),E774*[1]Sheet1!$D$7+[1]Sheet1!$L$7,IF(AND(OR(D774="S. acutus",D774="S. tabernaemontani"),G774&gt;0),E774*[1]Sheet1!$D$8+N774*[1]Sheet1!$E$8,IF(AND(D774="S. californicus",G774&gt;0),E774*[1]Sheet1!$D$9+N774*[1]Sheet1!$E$9,IF(D774="S. maritimus",F774*[1]Sheet1!$C$10+E774*[1]Sheet1!$D$10+G774*[1]Sheet1!$F$10+[1]Sheet1!$L$10,IF(D774="S. americanus",F774*[1]Sheet1!$C$6+E774*[1]Sheet1!$D$6+[1]Sheet1!$L$6,IF(AND(OR(D774="T. domingensis",D774="T. latifolia"),E774&gt;0),F774*[1]Sheet1!$C$4+E774*[1]Sheet1!$D$4+H774*[1]Sheet1!$J$4+I774*[1]Sheet1!$K$4+[1]Sheet1!$L$4,IF(AND(OR(D774="T. domingensis",D774="T. latifolia"),J774&gt;0),J774*[1]Sheet1!$G$5+K774*[1]Sheet1!$H$5+L774*[1]Sheet1!$I$5+[1]Sheet1!$L$5,0)))))))</f>
        <v>175.40618233304903</v>
      </c>
      <c r="P774">
        <f t="shared" si="37"/>
        <v>175.40618233304903</v>
      </c>
    </row>
    <row r="775" spans="1:19">
      <c r="A775" s="7">
        <v>42503</v>
      </c>
      <c r="B775" s="6" t="s">
        <v>23</v>
      </c>
      <c r="C775" s="6">
        <v>2</v>
      </c>
      <c r="D775" s="6" t="s">
        <v>63</v>
      </c>
      <c r="E775">
        <v>1.94</v>
      </c>
      <c r="F775" s="6">
        <v>302</v>
      </c>
      <c r="N775">
        <f t="shared" si="36"/>
        <v>46321.634521533328</v>
      </c>
      <c r="O775">
        <f>IF(AND(OR(D775="S. acutus",D775="S. californicus",D775="S. tabernaemontani"),G775=0),E775*[1]Sheet1!$D$7+[1]Sheet1!$L$7,IF(AND(OR(D775="S. acutus",D775="S. tabernaemontani"),G775&gt;0),E775*[1]Sheet1!$D$8+N775*[1]Sheet1!$E$8,IF(AND(D775="S. californicus",G775&gt;0),E775*[1]Sheet1!$D$9+N775*[1]Sheet1!$E$9,IF(D775="S. maritimus",F775*[1]Sheet1!$C$10+E775*[1]Sheet1!$D$10+G775*[1]Sheet1!$F$10+[1]Sheet1!$L$10,IF(D775="S. americanus",F775*[1]Sheet1!$C$6+E775*[1]Sheet1!$D$6+[1]Sheet1!$L$6,IF(AND(OR(D775="T. domingensis",D775="T. latifolia"),E775&gt;0),F775*[1]Sheet1!$C$4+E775*[1]Sheet1!$D$4+H775*[1]Sheet1!$J$4+I775*[1]Sheet1!$K$4+[1]Sheet1!$L$4,IF(AND(OR(D775="T. domingensis",D775="T. latifolia"),J775&gt;0),J775*[1]Sheet1!$G$5+K775*[1]Sheet1!$H$5+L775*[1]Sheet1!$I$5+[1]Sheet1!$L$5,0)))))))</f>
        <v>-4.4545933</v>
      </c>
      <c r="P775" t="str">
        <f t="shared" si="37"/>
        <v xml:space="preserve"> </v>
      </c>
    </row>
    <row r="776" spans="1:19">
      <c r="A776" s="7">
        <v>42503</v>
      </c>
      <c r="B776" s="6" t="s">
        <v>23</v>
      </c>
      <c r="C776" s="6">
        <v>2</v>
      </c>
      <c r="D776" s="6" t="s">
        <v>63</v>
      </c>
      <c r="E776">
        <v>0.96</v>
      </c>
      <c r="F776" s="6">
        <v>141</v>
      </c>
      <c r="G776" s="6">
        <v>10</v>
      </c>
      <c r="N776">
        <f t="shared" si="36"/>
        <v>4996.6360631999987</v>
      </c>
      <c r="O776">
        <f>IF(AND(OR(D776="S. acutus",D776="S. californicus",D776="S. tabernaemontani"),G776=0),E776*[1]Sheet1!$D$7+[1]Sheet1!$L$7,IF(AND(OR(D776="S. acutus",D776="S. tabernaemontani"),G776&gt;0),E776*[1]Sheet1!$D$8+N776*[1]Sheet1!$E$8,IF(AND(D776="S. californicus",G776&gt;0),E776*[1]Sheet1!$D$9+N776*[1]Sheet1!$E$9,IF(D776="S. maritimus",F776*[1]Sheet1!$C$10+E776*[1]Sheet1!$D$10+G776*[1]Sheet1!$F$10+[1]Sheet1!$L$10,IF(D776="S. americanus",F776*[1]Sheet1!$C$6+E776*[1]Sheet1!$D$6+[1]Sheet1!$L$6,IF(AND(OR(D776="T. domingensis",D776="T. latifolia"),E776&gt;0),F776*[1]Sheet1!$C$4+E776*[1]Sheet1!$D$4+H776*[1]Sheet1!$J$4+I776*[1]Sheet1!$K$4+[1]Sheet1!$L$4,IF(AND(OR(D776="T. domingensis",D776="T. latifolia"),J776&gt;0),J776*[1]Sheet1!$G$5+K776*[1]Sheet1!$H$5+L776*[1]Sheet1!$I$5+[1]Sheet1!$L$5,0)))))))</f>
        <v>160.93314502349682</v>
      </c>
      <c r="P776">
        <f t="shared" si="37"/>
        <v>160.93314502349682</v>
      </c>
    </row>
    <row r="777" spans="1:19">
      <c r="A777" s="7">
        <v>42503</v>
      </c>
      <c r="B777" s="6" t="s">
        <v>23</v>
      </c>
      <c r="C777" s="6">
        <v>2</v>
      </c>
      <c r="D777" s="6" t="s">
        <v>63</v>
      </c>
      <c r="E777">
        <v>0.59</v>
      </c>
      <c r="F777" s="6">
        <v>52</v>
      </c>
      <c r="N777">
        <f t="shared" si="36"/>
        <v>417.66391853333323</v>
      </c>
      <c r="O777">
        <f>IF(AND(OR(D777="S. acutus",D777="S. californicus",D777="S. tabernaemontani"),G777=0),E777*[1]Sheet1!$D$7+[1]Sheet1!$L$7,IF(AND(OR(D777="S. acutus",D777="S. tabernaemontani"),G777&gt;0),E777*[1]Sheet1!$D$8+N777*[1]Sheet1!$E$8,IF(AND(D777="S. californicus",G777&gt;0),E777*[1]Sheet1!$D$9+N777*[1]Sheet1!$E$9,IF(D777="S. maritimus",F777*[1]Sheet1!$C$10+E777*[1]Sheet1!$D$10+G777*[1]Sheet1!$F$10+[1]Sheet1!$L$10,IF(D777="S. americanus",F777*[1]Sheet1!$C$6+E777*[1]Sheet1!$D$6+[1]Sheet1!$L$6,IF(AND(OR(D777="T. domingensis",D777="T. latifolia"),E777&gt;0),F777*[1]Sheet1!$C$4+E777*[1]Sheet1!$D$4+H777*[1]Sheet1!$J$4+I777*[1]Sheet1!$K$4+[1]Sheet1!$L$4,IF(AND(OR(D777="T. domingensis",D777="T. latifolia"),J777&gt;0),J777*[1]Sheet1!$G$5+K777*[1]Sheet1!$H$5+L777*[1]Sheet1!$I$5+[1]Sheet1!$L$5,0)))))))</f>
        <v>-4.5492350500000001</v>
      </c>
      <c r="P777" t="str">
        <f t="shared" si="37"/>
        <v xml:space="preserve"> </v>
      </c>
    </row>
    <row r="778" spans="1:19">
      <c r="A778" s="5">
        <v>42501</v>
      </c>
      <c r="B778" t="s">
        <v>24</v>
      </c>
      <c r="C778">
        <v>42</v>
      </c>
      <c r="D778" t="s">
        <v>61</v>
      </c>
      <c r="F778" s="6">
        <v>1.08</v>
      </c>
      <c r="J778">
        <f>67+83+101</f>
        <v>251</v>
      </c>
      <c r="K778">
        <v>3</v>
      </c>
      <c r="L778">
        <v>101</v>
      </c>
      <c r="N778" t="str">
        <f t="shared" si="36"/>
        <v>NA</v>
      </c>
      <c r="O778">
        <f>IF(AND(OR(D778="S. acutus",D778="S. californicus",D778="S. tabernaemontani"),G778=0),E778*[1]Sheet1!$D$7+[1]Sheet1!$L$7,IF(AND(OR(D778="S. acutus",D778="S. tabernaemontani"),G778&gt;0),E778*[1]Sheet1!$D$8+N778*[1]Sheet1!$E$8,IF(AND(D778="S. californicus",G778&gt;0),E778*[1]Sheet1!$D$9+N778*[1]Sheet1!$E$9,IF(D778="S. maritimus",F778*[1]Sheet1!$C$10+E778*[1]Sheet1!$D$10+G778*[1]Sheet1!$F$10+[1]Sheet1!$L$10,IF(D778="S. americanus",F778*[1]Sheet1!$C$6+E778*[1]Sheet1!$D$6+[1]Sheet1!$L$6,IF(AND(OR(D778="T. domingensis",D778="T. latifolia"),E778&gt;0),F778*[1]Sheet1!$C$4+E778*[1]Sheet1!$D$4+H778*[1]Sheet1!$J$4+I778*[1]Sheet1!$K$4+[1]Sheet1!$L$4,IF(AND(OR(D778="T. domingensis",D778="T. latifolia"),J778&gt;0),J778*[1]Sheet1!$G$5+K778*[1]Sheet1!$H$5+L778*[1]Sheet1!$I$5+[1]Sheet1!$L$5,0)))))))</f>
        <v>5.0766849999999977</v>
      </c>
      <c r="P778">
        <f t="shared" si="37"/>
        <v>5.0766849999999977</v>
      </c>
      <c r="S778">
        <f t="shared" ref="S778:S835" si="38">3.14159*((F778/2)^2)</f>
        <v>0.91608764400000009</v>
      </c>
    </row>
    <row r="779" spans="1:19">
      <c r="A779" s="5">
        <v>42501</v>
      </c>
      <c r="B779" t="s">
        <v>24</v>
      </c>
      <c r="C779">
        <v>42</v>
      </c>
      <c r="D779" t="s">
        <v>61</v>
      </c>
      <c r="F779" s="6">
        <v>1.1299999999999999</v>
      </c>
      <c r="J779">
        <f>95+128</f>
        <v>223</v>
      </c>
      <c r="K779">
        <v>2</v>
      </c>
      <c r="L779">
        <v>128</v>
      </c>
      <c r="N779" t="str">
        <f t="shared" si="36"/>
        <v>NA</v>
      </c>
      <c r="O779">
        <f>IF(AND(OR(D779="S. acutus",D779="S. californicus",D779="S. tabernaemontani"),G779=0),E779*[1]Sheet1!$D$7+[1]Sheet1!$L$7,IF(AND(OR(D779="S. acutus",D779="S. tabernaemontani"),G779&gt;0),E779*[1]Sheet1!$D$8+N779*[1]Sheet1!$E$8,IF(AND(D779="S. californicus",G779&gt;0),E779*[1]Sheet1!$D$9+N779*[1]Sheet1!$E$9,IF(D779="S. maritimus",F779*[1]Sheet1!$C$10+E779*[1]Sheet1!$D$10+G779*[1]Sheet1!$F$10+[1]Sheet1!$L$10,IF(D779="S. americanus",F779*[1]Sheet1!$C$6+E779*[1]Sheet1!$D$6+[1]Sheet1!$L$6,IF(AND(OR(D779="T. domingensis",D779="T. latifolia"),E779&gt;0),F779*[1]Sheet1!$C$4+E779*[1]Sheet1!$D$4+H779*[1]Sheet1!$J$4+I779*[1]Sheet1!$K$4+[1]Sheet1!$L$4,IF(AND(OR(D779="T. domingensis",D779="T. latifolia"),J779&gt;0),J779*[1]Sheet1!$G$5+K779*[1]Sheet1!$H$5+L779*[1]Sheet1!$I$5+[1]Sheet1!$L$5,0)))))))</f>
        <v>1.3402829999999994</v>
      </c>
      <c r="P779">
        <f t="shared" si="37"/>
        <v>1.3402829999999994</v>
      </c>
      <c r="S779">
        <f t="shared" si="38"/>
        <v>1.0028740677499997</v>
      </c>
    </row>
    <row r="780" spans="1:19">
      <c r="A780" s="5">
        <v>42501</v>
      </c>
      <c r="B780" t="s">
        <v>24</v>
      </c>
      <c r="C780">
        <v>42</v>
      </c>
      <c r="D780" t="s">
        <v>61</v>
      </c>
      <c r="F780" s="6">
        <v>2.02</v>
      </c>
      <c r="J780">
        <f>84+137+153+167+175+208+220+228+223</f>
        <v>1595</v>
      </c>
      <c r="K780">
        <v>9</v>
      </c>
      <c r="L780">
        <v>223</v>
      </c>
      <c r="N780" t="str">
        <f t="shared" si="36"/>
        <v>NA</v>
      </c>
      <c r="O780">
        <f>IF(AND(OR(D780="S. acutus",D780="S. californicus",D780="S. tabernaemontani"),G780=0),E780*[1]Sheet1!$D$7+[1]Sheet1!$L$7,IF(AND(OR(D780="S. acutus",D780="S. tabernaemontani"),G780&gt;0),E780*[1]Sheet1!$D$8+N780*[1]Sheet1!$E$8,IF(AND(D780="S. californicus",G780&gt;0),E780*[1]Sheet1!$D$9+N780*[1]Sheet1!$E$9,IF(D780="S. maritimus",F780*[1]Sheet1!$C$10+E780*[1]Sheet1!$D$10+G780*[1]Sheet1!$F$10+[1]Sheet1!$L$10,IF(D780="S. americanus",F780*[1]Sheet1!$C$6+E780*[1]Sheet1!$D$6+[1]Sheet1!$L$6,IF(AND(OR(D780="T. domingensis",D780="T. latifolia"),E780&gt;0),F780*[1]Sheet1!$C$4+E780*[1]Sheet1!$D$4+H780*[1]Sheet1!$J$4+I780*[1]Sheet1!$K$4+[1]Sheet1!$L$4,IF(AND(OR(D780="T. domingensis",D780="T. latifolia"),J780&gt;0),J780*[1]Sheet1!$G$5+K780*[1]Sheet1!$H$5+L780*[1]Sheet1!$I$5+[1]Sheet1!$L$5,0)))))))</f>
        <v>52.197397000000016</v>
      </c>
      <c r="P780">
        <f t="shared" si="37"/>
        <v>52.197397000000016</v>
      </c>
      <c r="S780">
        <f t="shared" si="38"/>
        <v>3.2047359589999997</v>
      </c>
    </row>
    <row r="781" spans="1:19">
      <c r="A781" s="5">
        <v>42501</v>
      </c>
      <c r="B781" t="s">
        <v>24</v>
      </c>
      <c r="C781">
        <v>42</v>
      </c>
      <c r="D781" t="s">
        <v>61</v>
      </c>
      <c r="F781" s="6">
        <v>3.22</v>
      </c>
      <c r="J781">
        <f>61+136+183+220</f>
        <v>600</v>
      </c>
      <c r="K781">
        <v>4</v>
      </c>
      <c r="L781">
        <v>220</v>
      </c>
      <c r="N781" t="str">
        <f t="shared" si="36"/>
        <v>NA</v>
      </c>
      <c r="O781">
        <f>IF(AND(OR(D781="S. acutus",D781="S. californicus",D781="S. tabernaemontani"),G781=0),E781*[1]Sheet1!$D$7+[1]Sheet1!$L$7,IF(AND(OR(D781="S. acutus",D781="S. tabernaemontani"),G781&gt;0),E781*[1]Sheet1!$D$8+N781*[1]Sheet1!$E$8,IF(AND(D781="S. californicus",G781&gt;0),E781*[1]Sheet1!$D$9+N781*[1]Sheet1!$E$9,IF(D781="S. maritimus",F781*[1]Sheet1!$C$10+E781*[1]Sheet1!$D$10+G781*[1]Sheet1!$F$10+[1]Sheet1!$L$10,IF(D781="S. americanus",F781*[1]Sheet1!$C$6+E781*[1]Sheet1!$D$6+[1]Sheet1!$L$6,IF(AND(OR(D781="T. domingensis",D781="T. latifolia"),E781&gt;0),F781*[1]Sheet1!$C$4+E781*[1]Sheet1!$D$4+H781*[1]Sheet1!$J$4+I781*[1]Sheet1!$K$4+[1]Sheet1!$L$4,IF(AND(OR(D781="T. domingensis",D781="T. latifolia"),J781&gt;0),J781*[1]Sheet1!$G$5+K781*[1]Sheet1!$H$5+L781*[1]Sheet1!$I$5+[1]Sheet1!$L$5,0)))))))</f>
        <v>-5.0733279999999965</v>
      </c>
      <c r="P781" t="str">
        <f t="shared" si="37"/>
        <v xml:space="preserve"> </v>
      </c>
      <c r="S781">
        <f t="shared" si="38"/>
        <v>8.1433154390000002</v>
      </c>
    </row>
    <row r="782" spans="1:19">
      <c r="A782" s="5">
        <v>42501</v>
      </c>
      <c r="B782" t="s">
        <v>24</v>
      </c>
      <c r="C782">
        <v>42</v>
      </c>
      <c r="D782" t="s">
        <v>61</v>
      </c>
      <c r="F782" s="6">
        <v>2.2799999999999998</v>
      </c>
      <c r="J782">
        <f>119+128+183+190+214+240</f>
        <v>1074</v>
      </c>
      <c r="N782" t="str">
        <f t="shared" si="36"/>
        <v>NA</v>
      </c>
      <c r="O782">
        <f>IF(AND(OR(D782="S. acutus",D782="S. californicus",D782="S. tabernaemontani"),G782=0),E782*[1]Sheet1!$D$7+[1]Sheet1!$L$7,IF(AND(OR(D782="S. acutus",D782="S. tabernaemontani"),G782&gt;0),E782*[1]Sheet1!$D$8+N782*[1]Sheet1!$E$8,IF(AND(D782="S. californicus",G782&gt;0),E782*[1]Sheet1!$D$9+N782*[1]Sheet1!$E$9,IF(D782="S. maritimus",F782*[1]Sheet1!$C$10+E782*[1]Sheet1!$D$10+G782*[1]Sheet1!$F$10+[1]Sheet1!$L$10,IF(D782="S. americanus",F782*[1]Sheet1!$C$6+E782*[1]Sheet1!$D$6+[1]Sheet1!$L$6,IF(AND(OR(D782="T. domingensis",D782="T. latifolia"),E782&gt;0),F782*[1]Sheet1!$C$4+E782*[1]Sheet1!$D$4+H782*[1]Sheet1!$J$4+I782*[1]Sheet1!$K$4+[1]Sheet1!$L$4,IF(AND(OR(D782="T. domingensis",D782="T. latifolia"),J782&gt;0),J782*[1]Sheet1!$G$5+K782*[1]Sheet1!$H$5+L782*[1]Sheet1!$I$5+[1]Sheet1!$L$5,0)))))))</f>
        <v>133.72985399999999</v>
      </c>
      <c r="P782">
        <f t="shared" si="37"/>
        <v>133.72985399999999</v>
      </c>
      <c r="S782">
        <f t="shared" si="38"/>
        <v>4.0828103639999993</v>
      </c>
    </row>
    <row r="783" spans="1:19">
      <c r="A783" s="5">
        <v>42501</v>
      </c>
      <c r="B783" t="s">
        <v>24</v>
      </c>
      <c r="C783">
        <v>39</v>
      </c>
      <c r="D783" t="s">
        <v>61</v>
      </c>
      <c r="F783" s="6">
        <v>2.5099999999999998</v>
      </c>
      <c r="J783">
        <f>108+181+145+183+212+212+231+230+240</f>
        <v>1742</v>
      </c>
      <c r="K783">
        <v>9</v>
      </c>
      <c r="L783">
        <v>240</v>
      </c>
      <c r="N783" t="str">
        <f t="shared" si="36"/>
        <v>NA</v>
      </c>
      <c r="O783">
        <f>IF(AND(OR(D783="S. acutus",D783="S. californicus",D783="S. tabernaemontani"),G783=0),E783*[1]Sheet1!$D$7+[1]Sheet1!$L$7,IF(AND(OR(D783="S. acutus",D783="S. tabernaemontani"),G783&gt;0),E783*[1]Sheet1!$D$8+N783*[1]Sheet1!$E$8,IF(AND(D783="S. californicus",G783&gt;0),E783*[1]Sheet1!$D$9+N783*[1]Sheet1!$E$9,IF(D783="S. maritimus",F783*[1]Sheet1!$C$10+E783*[1]Sheet1!$D$10+G783*[1]Sheet1!$F$10+[1]Sheet1!$L$10,IF(D783="S. americanus",F783*[1]Sheet1!$C$6+E783*[1]Sheet1!$D$6+[1]Sheet1!$L$6,IF(AND(OR(D783="T. domingensis",D783="T. latifolia"),E783&gt;0),F783*[1]Sheet1!$C$4+E783*[1]Sheet1!$D$4+H783*[1]Sheet1!$J$4+I783*[1]Sheet1!$K$4+[1]Sheet1!$L$4,IF(AND(OR(D783="T. domingensis",D783="T. latifolia"),J783&gt;0),J783*[1]Sheet1!$G$5+K783*[1]Sheet1!$H$5+L783*[1]Sheet1!$I$5+[1]Sheet1!$L$5,0)))))))</f>
        <v>60.858217000000003</v>
      </c>
      <c r="P783">
        <f t="shared" si="37"/>
        <v>60.858217000000003</v>
      </c>
      <c r="S783">
        <f t="shared" si="38"/>
        <v>4.948082789749999</v>
      </c>
    </row>
    <row r="784" spans="1:19">
      <c r="A784" s="5">
        <v>42501</v>
      </c>
      <c r="B784" t="s">
        <v>24</v>
      </c>
      <c r="C784">
        <v>39</v>
      </c>
      <c r="D784" t="s">
        <v>61</v>
      </c>
      <c r="F784" s="6">
        <v>2.23</v>
      </c>
      <c r="J784">
        <f>97+124+135+153+160</f>
        <v>669</v>
      </c>
      <c r="K784">
        <v>5</v>
      </c>
      <c r="L784">
        <v>160</v>
      </c>
      <c r="N784" t="str">
        <f t="shared" si="36"/>
        <v>NA</v>
      </c>
      <c r="O784">
        <f>IF(AND(OR(D784="S. acutus",D784="S. californicus",D784="S. tabernaemontani"),G784=0),E784*[1]Sheet1!$D$7+[1]Sheet1!$L$7,IF(AND(OR(D784="S. acutus",D784="S. tabernaemontani"),G784&gt;0),E784*[1]Sheet1!$D$8+N784*[1]Sheet1!$E$8,IF(AND(D784="S. californicus",G784&gt;0),E784*[1]Sheet1!$D$9+N784*[1]Sheet1!$E$9,IF(D784="S. maritimus",F784*[1]Sheet1!$C$10+E784*[1]Sheet1!$D$10+G784*[1]Sheet1!$F$10+[1]Sheet1!$L$10,IF(D784="S. americanus",F784*[1]Sheet1!$C$6+E784*[1]Sheet1!$D$6+[1]Sheet1!$L$6,IF(AND(OR(D784="T. domingensis",D784="T. latifolia"),E784&gt;0),F784*[1]Sheet1!$C$4+E784*[1]Sheet1!$D$4+H784*[1]Sheet1!$J$4+I784*[1]Sheet1!$K$4+[1]Sheet1!$L$4,IF(AND(OR(D784="T. domingensis",D784="T. latifolia"),J784&gt;0),J784*[1]Sheet1!$G$5+K784*[1]Sheet1!$H$5+L784*[1]Sheet1!$I$5+[1]Sheet1!$L$5,0)))))))</f>
        <v>12.448114000000004</v>
      </c>
      <c r="P784">
        <f t="shared" si="37"/>
        <v>12.448114000000004</v>
      </c>
      <c r="S784">
        <f t="shared" si="38"/>
        <v>3.9057032277500001</v>
      </c>
    </row>
    <row r="785" spans="1:19">
      <c r="A785" s="5">
        <v>42501</v>
      </c>
      <c r="B785" t="s">
        <v>24</v>
      </c>
      <c r="C785">
        <v>39</v>
      </c>
      <c r="D785" t="s">
        <v>61</v>
      </c>
      <c r="F785" s="6">
        <v>3.37</v>
      </c>
      <c r="J785">
        <f>61+129+179+155+182+218+232+252+287+289</f>
        <v>1984</v>
      </c>
      <c r="K785">
        <v>10</v>
      </c>
      <c r="L785">
        <v>289</v>
      </c>
      <c r="N785" t="str">
        <f t="shared" si="36"/>
        <v>NA</v>
      </c>
      <c r="O785">
        <f>IF(AND(OR(D785="S. acutus",D785="S. californicus",D785="S. tabernaemontani"),G785=0),E785*[1]Sheet1!$D$7+[1]Sheet1!$L$7,IF(AND(OR(D785="S. acutus",D785="S. tabernaemontani"),G785&gt;0),E785*[1]Sheet1!$D$8+N785*[1]Sheet1!$E$8,IF(AND(D785="S. californicus",G785&gt;0),E785*[1]Sheet1!$D$9+N785*[1]Sheet1!$E$9,IF(D785="S. maritimus",F785*[1]Sheet1!$C$10+E785*[1]Sheet1!$D$10+G785*[1]Sheet1!$F$10+[1]Sheet1!$L$10,IF(D785="S. americanus",F785*[1]Sheet1!$C$6+E785*[1]Sheet1!$D$6+[1]Sheet1!$L$6,IF(AND(OR(D785="T. domingensis",D785="T. latifolia"),E785&gt;0),F785*[1]Sheet1!$C$4+E785*[1]Sheet1!$D$4+H785*[1]Sheet1!$J$4+I785*[1]Sheet1!$K$4+[1]Sheet1!$L$4,IF(AND(OR(D785="T. domingensis",D785="T. latifolia"),J785&gt;0),J785*[1]Sheet1!$G$5+K785*[1]Sheet1!$H$5+L785*[1]Sheet1!$I$5+[1]Sheet1!$L$5,0)))))))</f>
        <v>61.763569000000025</v>
      </c>
      <c r="P785">
        <f t="shared" si="37"/>
        <v>61.763569000000025</v>
      </c>
      <c r="S785">
        <f t="shared" si="38"/>
        <v>8.9196808677500012</v>
      </c>
    </row>
    <row r="786" spans="1:19">
      <c r="A786" s="5">
        <v>42501</v>
      </c>
      <c r="B786" t="s">
        <v>24</v>
      </c>
      <c r="C786">
        <v>39</v>
      </c>
      <c r="D786" t="s">
        <v>61</v>
      </c>
      <c r="F786" s="6">
        <v>1.88</v>
      </c>
      <c r="J786">
        <f>105+120+143+167+188+201+215</f>
        <v>1139</v>
      </c>
      <c r="K786">
        <v>7</v>
      </c>
      <c r="L786">
        <v>215</v>
      </c>
      <c r="N786" t="str">
        <f t="shared" si="36"/>
        <v>NA</v>
      </c>
      <c r="O786">
        <f>IF(AND(OR(D786="S. acutus",D786="S. californicus",D786="S. tabernaemontani"),G786=0),E786*[1]Sheet1!$D$7+[1]Sheet1!$L$7,IF(AND(OR(D786="S. acutus",D786="S. tabernaemontani"),G786&gt;0),E786*[1]Sheet1!$D$8+N786*[1]Sheet1!$E$8,IF(AND(D786="S. californicus",G786&gt;0),E786*[1]Sheet1!$D$9+N786*[1]Sheet1!$E$9,IF(D786="S. maritimus",F786*[1]Sheet1!$C$10+E786*[1]Sheet1!$D$10+G786*[1]Sheet1!$F$10+[1]Sheet1!$L$10,IF(D786="S. americanus",F786*[1]Sheet1!$C$6+E786*[1]Sheet1!$D$6+[1]Sheet1!$L$6,IF(AND(OR(D786="T. domingensis",D786="T. latifolia"),E786&gt;0),F786*[1]Sheet1!$C$4+E786*[1]Sheet1!$D$4+H786*[1]Sheet1!$J$4+I786*[1]Sheet1!$K$4+[1]Sheet1!$L$4,IF(AND(OR(D786="T. domingensis",D786="T. latifolia"),J786&gt;0),J786*[1]Sheet1!$G$5+K786*[1]Sheet1!$H$5+L786*[1]Sheet1!$I$5+[1]Sheet1!$L$5,0)))))))</f>
        <v>25.899783000000006</v>
      </c>
      <c r="P786">
        <f t="shared" si="37"/>
        <v>25.899783000000006</v>
      </c>
      <c r="S786">
        <f t="shared" si="38"/>
        <v>2.7759089239999999</v>
      </c>
    </row>
    <row r="787" spans="1:19">
      <c r="A787" s="5">
        <v>42501</v>
      </c>
      <c r="B787" t="s">
        <v>24</v>
      </c>
      <c r="C787">
        <v>39</v>
      </c>
      <c r="D787" t="s">
        <v>61</v>
      </c>
      <c r="F787" s="6">
        <v>4.0999999999999996</v>
      </c>
      <c r="J787">
        <f>154+185+2145+254+256+283+341+343</f>
        <v>3961</v>
      </c>
      <c r="K787">
        <v>8</v>
      </c>
      <c r="L787">
        <v>343</v>
      </c>
      <c r="N787" t="str">
        <f t="shared" si="36"/>
        <v>NA</v>
      </c>
      <c r="O787">
        <f>IF(AND(OR(D787="S. acutus",D787="S. californicus",D787="S. tabernaemontani"),G787=0),E787*[1]Sheet1!$D$7+[1]Sheet1!$L$7,IF(AND(OR(D787="S. acutus",D787="S. tabernaemontani"),G787&gt;0),E787*[1]Sheet1!$D$8+N787*[1]Sheet1!$E$8,IF(AND(D787="S. californicus",G787&gt;0),E787*[1]Sheet1!$D$9+N787*[1]Sheet1!$E$9,IF(D787="S. maritimus",F787*[1]Sheet1!$C$10+E787*[1]Sheet1!$D$10+G787*[1]Sheet1!$F$10+[1]Sheet1!$L$10,IF(D787="S. americanus",F787*[1]Sheet1!$C$6+E787*[1]Sheet1!$D$6+[1]Sheet1!$L$6,IF(AND(OR(D787="T. domingensis",D787="T. latifolia"),E787&gt;0),F787*[1]Sheet1!$C$4+E787*[1]Sheet1!$D$4+H787*[1]Sheet1!$J$4+I787*[1]Sheet1!$K$4+[1]Sheet1!$L$4,IF(AND(OR(D787="T. domingensis",D787="T. latifolia"),J787&gt;0),J787*[1]Sheet1!$G$5+K787*[1]Sheet1!$H$5+L787*[1]Sheet1!$I$5+[1]Sheet1!$L$5,0)))))))</f>
        <v>244.89467999999999</v>
      </c>
      <c r="P787">
        <f t="shared" si="37"/>
        <v>244.89467999999999</v>
      </c>
      <c r="S787">
        <f t="shared" si="38"/>
        <v>13.202531974999998</v>
      </c>
    </row>
    <row r="788" spans="1:19">
      <c r="A788" s="5">
        <v>42501</v>
      </c>
      <c r="B788" t="s">
        <v>24</v>
      </c>
      <c r="C788">
        <v>39</v>
      </c>
      <c r="D788" t="s">
        <v>61</v>
      </c>
      <c r="F788" s="6">
        <v>2.84</v>
      </c>
      <c r="J788">
        <f>148+176+189+202+223+238</f>
        <v>1176</v>
      </c>
      <c r="K788">
        <v>6</v>
      </c>
      <c r="L788">
        <v>238</v>
      </c>
      <c r="N788" t="str">
        <f t="shared" si="36"/>
        <v>NA</v>
      </c>
      <c r="O788">
        <f>IF(AND(OR(D788="S. acutus",D788="S. californicus",D788="S. tabernaemontani"),G788=0),E788*[1]Sheet1!$D$7+[1]Sheet1!$L$7,IF(AND(OR(D788="S. acutus",D788="S. tabernaemontani"),G788&gt;0),E788*[1]Sheet1!$D$8+N788*[1]Sheet1!$E$8,IF(AND(D788="S. californicus",G788&gt;0),E788*[1]Sheet1!$D$9+N788*[1]Sheet1!$E$9,IF(D788="S. maritimus",F788*[1]Sheet1!$C$10+E788*[1]Sheet1!$D$10+G788*[1]Sheet1!$F$10+[1]Sheet1!$L$10,IF(D788="S. americanus",F788*[1]Sheet1!$C$6+E788*[1]Sheet1!$D$6+[1]Sheet1!$L$6,IF(AND(OR(D788="T. domingensis",D788="T. latifolia"),E788&gt;0),F788*[1]Sheet1!$C$4+E788*[1]Sheet1!$D$4+H788*[1]Sheet1!$J$4+I788*[1]Sheet1!$K$4+[1]Sheet1!$L$4,IF(AND(OR(D788="T. domingensis",D788="T. latifolia"),J788&gt;0),J788*[1]Sheet1!$G$5+K788*[1]Sheet1!$H$5+L788*[1]Sheet1!$I$5+[1]Sheet1!$L$5,0)))))))</f>
        <v>29.462436000000004</v>
      </c>
      <c r="P788">
        <f t="shared" si="37"/>
        <v>29.462436000000004</v>
      </c>
      <c r="S788">
        <f t="shared" si="38"/>
        <v>6.3347020759999992</v>
      </c>
    </row>
    <row r="789" spans="1:19">
      <c r="A789" s="5">
        <v>42501</v>
      </c>
      <c r="B789" t="s">
        <v>24</v>
      </c>
      <c r="C789">
        <v>39</v>
      </c>
      <c r="D789" t="s">
        <v>61</v>
      </c>
      <c r="F789" s="6">
        <v>1.62</v>
      </c>
      <c r="J789">
        <f>109+109+124+135+137</f>
        <v>614</v>
      </c>
      <c r="K789">
        <v>5</v>
      </c>
      <c r="L789">
        <v>137</v>
      </c>
      <c r="N789" t="str">
        <f t="shared" si="36"/>
        <v>NA</v>
      </c>
      <c r="O789">
        <f>IF(AND(OR(D789="S. acutus",D789="S. californicus",D789="S. tabernaemontani"),G789=0),E789*[1]Sheet1!$D$7+[1]Sheet1!$L$7,IF(AND(OR(D789="S. acutus",D789="S. tabernaemontani"),G789&gt;0),E789*[1]Sheet1!$D$8+N789*[1]Sheet1!$E$8,IF(AND(D789="S. californicus",G789&gt;0),E789*[1]Sheet1!$D$9+N789*[1]Sheet1!$E$9,IF(D789="S. maritimus",F789*[1]Sheet1!$C$10+E789*[1]Sheet1!$D$10+G789*[1]Sheet1!$F$10+[1]Sheet1!$L$10,IF(D789="S. americanus",F789*[1]Sheet1!$C$6+E789*[1]Sheet1!$D$6+[1]Sheet1!$L$6,IF(AND(OR(D789="T. domingensis",D789="T. latifolia"),E789&gt;0),F789*[1]Sheet1!$C$4+E789*[1]Sheet1!$D$4+H789*[1]Sheet1!$J$4+I789*[1]Sheet1!$K$4+[1]Sheet1!$L$4,IF(AND(OR(D789="T. domingensis",D789="T. latifolia"),J789&gt;0),J789*[1]Sheet1!$G$5+K789*[1]Sheet1!$H$5+L789*[1]Sheet1!$I$5+[1]Sheet1!$L$5,0)))))))</f>
        <v>14.220224000000002</v>
      </c>
      <c r="P789">
        <f t="shared" si="37"/>
        <v>14.220224000000002</v>
      </c>
      <c r="S789">
        <f t="shared" si="38"/>
        <v>2.0611971990000004</v>
      </c>
    </row>
    <row r="790" spans="1:19">
      <c r="A790" s="5">
        <v>42501</v>
      </c>
      <c r="B790" t="s">
        <v>24</v>
      </c>
      <c r="C790">
        <v>39</v>
      </c>
      <c r="D790" t="s">
        <v>61</v>
      </c>
      <c r="F790" s="6">
        <v>2.89</v>
      </c>
      <c r="J790">
        <f>140+156+180+212+215+231</f>
        <v>1134</v>
      </c>
      <c r="K790">
        <v>6</v>
      </c>
      <c r="L790">
        <v>231</v>
      </c>
      <c r="N790" t="str">
        <f t="shared" si="36"/>
        <v>NA</v>
      </c>
      <c r="O790">
        <f>IF(AND(OR(D790="S. acutus",D790="S. californicus",D790="S. tabernaemontani"),G790=0),E790*[1]Sheet1!$D$7+[1]Sheet1!$L$7,IF(AND(OR(D790="S. acutus",D790="S. tabernaemontani"),G790&gt;0),E790*[1]Sheet1!$D$8+N790*[1]Sheet1!$E$8,IF(AND(D790="S. californicus",G790&gt;0),E790*[1]Sheet1!$D$9+N790*[1]Sheet1!$E$9,IF(D790="S. maritimus",F790*[1]Sheet1!$C$10+E790*[1]Sheet1!$D$10+G790*[1]Sheet1!$F$10+[1]Sheet1!$L$10,IF(D790="S. americanus",F790*[1]Sheet1!$C$6+E790*[1]Sheet1!$D$6+[1]Sheet1!$L$6,IF(AND(OR(D790="T. domingensis",D790="T. latifolia"),E790&gt;0),F790*[1]Sheet1!$C$4+E790*[1]Sheet1!$D$4+H790*[1]Sheet1!$J$4+I790*[1]Sheet1!$K$4+[1]Sheet1!$L$4,IF(AND(OR(D790="T. domingensis",D790="T. latifolia"),J790&gt;0),J790*[1]Sheet1!$G$5+K790*[1]Sheet1!$H$5+L790*[1]Sheet1!$I$5+[1]Sheet1!$L$5,0)))))))</f>
        <v>27.633441000000012</v>
      </c>
      <c r="P790">
        <f t="shared" si="37"/>
        <v>27.633441000000012</v>
      </c>
      <c r="S790">
        <f t="shared" si="38"/>
        <v>6.55971845975</v>
      </c>
    </row>
    <row r="791" spans="1:19">
      <c r="A791" s="5">
        <v>42501</v>
      </c>
      <c r="B791" t="s">
        <v>24</v>
      </c>
      <c r="C791">
        <v>39</v>
      </c>
      <c r="D791" t="s">
        <v>61</v>
      </c>
      <c r="F791" s="6">
        <v>3.69</v>
      </c>
      <c r="J791">
        <f>96+176+126+195+195+215+218+229+230+253</f>
        <v>1933</v>
      </c>
      <c r="K791">
        <v>10</v>
      </c>
      <c r="L791">
        <v>253</v>
      </c>
      <c r="N791" t="str">
        <f t="shared" si="36"/>
        <v>NA</v>
      </c>
      <c r="O791">
        <f>IF(AND(OR(D791="S. acutus",D791="S. californicus",D791="S. tabernaemontani"),G791=0),E791*[1]Sheet1!$D$7+[1]Sheet1!$L$7,IF(AND(OR(D791="S. acutus",D791="S. tabernaemontani"),G791&gt;0),E791*[1]Sheet1!$D$8+N791*[1]Sheet1!$E$8,IF(AND(D791="S. californicus",G791&gt;0),E791*[1]Sheet1!$D$9+N791*[1]Sheet1!$E$9,IF(D791="S. maritimus",F791*[1]Sheet1!$C$10+E791*[1]Sheet1!$D$10+G791*[1]Sheet1!$F$10+[1]Sheet1!$L$10,IF(D791="S. americanus",F791*[1]Sheet1!$C$6+E791*[1]Sheet1!$D$6+[1]Sheet1!$L$6,IF(AND(OR(D791="T. domingensis",D791="T. latifolia"),E791&gt;0),F791*[1]Sheet1!$C$4+E791*[1]Sheet1!$D$4+H791*[1]Sheet1!$J$4+I791*[1]Sheet1!$K$4+[1]Sheet1!$L$4,IF(AND(OR(D791="T. domingensis",D791="T. latifolia"),J791&gt;0),J791*[1]Sheet1!$G$5+K791*[1]Sheet1!$H$5+L791*[1]Sheet1!$I$5+[1]Sheet1!$L$5,0)))))))</f>
        <v>67.826884000000007</v>
      </c>
      <c r="P791">
        <f t="shared" si="37"/>
        <v>67.826884000000007</v>
      </c>
      <c r="S791">
        <f t="shared" si="38"/>
        <v>10.69405089975</v>
      </c>
    </row>
    <row r="792" spans="1:19">
      <c r="A792" s="5">
        <v>42501</v>
      </c>
      <c r="B792" t="s">
        <v>24</v>
      </c>
      <c r="C792">
        <v>39</v>
      </c>
      <c r="D792" t="s">
        <v>61</v>
      </c>
      <c r="F792" s="6">
        <v>1.04</v>
      </c>
      <c r="J792">
        <f>86+107+112+137</f>
        <v>442</v>
      </c>
      <c r="K792">
        <v>4</v>
      </c>
      <c r="L792">
        <v>137</v>
      </c>
      <c r="N792" t="str">
        <f t="shared" si="36"/>
        <v>NA</v>
      </c>
      <c r="O792">
        <f>IF(AND(OR(D792="S. acutus",D792="S. californicus",D792="S. tabernaemontani"),G792=0),E792*[1]Sheet1!$D$7+[1]Sheet1!$L$7,IF(AND(OR(D792="S. acutus",D792="S. tabernaemontani"),G792&gt;0),E792*[1]Sheet1!$D$8+N792*[1]Sheet1!$E$8,IF(AND(D792="S. californicus",G792&gt;0),E792*[1]Sheet1!$D$9+N792*[1]Sheet1!$E$9,IF(D792="S. maritimus",F792*[1]Sheet1!$C$10+E792*[1]Sheet1!$D$10+G792*[1]Sheet1!$F$10+[1]Sheet1!$L$10,IF(D792="S. americanus",F792*[1]Sheet1!$C$6+E792*[1]Sheet1!$D$6+[1]Sheet1!$L$6,IF(AND(OR(D792="T. domingensis",D792="T. latifolia"),E792&gt;0),F792*[1]Sheet1!$C$4+E792*[1]Sheet1!$D$4+H792*[1]Sheet1!$J$4+I792*[1]Sheet1!$K$4+[1]Sheet1!$L$4,IF(AND(OR(D792="T. domingensis",D792="T. latifolia"),J792&gt;0),J792*[1]Sheet1!$G$5+K792*[1]Sheet1!$H$5+L792*[1]Sheet1!$I$5+[1]Sheet1!$L$5,0)))))))</f>
        <v>5.1167170000000048</v>
      </c>
      <c r="P792">
        <f t="shared" si="37"/>
        <v>5.1167170000000048</v>
      </c>
      <c r="S792">
        <f t="shared" si="38"/>
        <v>0.84948593600000011</v>
      </c>
    </row>
    <row r="793" spans="1:19">
      <c r="A793" s="5">
        <v>42501</v>
      </c>
      <c r="B793" t="s">
        <v>24</v>
      </c>
      <c r="C793">
        <v>39</v>
      </c>
      <c r="D793" t="s">
        <v>61</v>
      </c>
      <c r="F793" s="6">
        <v>2.38</v>
      </c>
      <c r="J793">
        <f>135+138+143+172+194</f>
        <v>782</v>
      </c>
      <c r="K793">
        <v>5</v>
      </c>
      <c r="L793">
        <v>194</v>
      </c>
      <c r="N793" t="str">
        <f t="shared" si="36"/>
        <v>NA</v>
      </c>
      <c r="O793">
        <f>IF(AND(OR(D793="S. acutus",D793="S. californicus",D793="S. tabernaemontani"),G793=0),E793*[1]Sheet1!$D$7+[1]Sheet1!$L$7,IF(AND(OR(D793="S. acutus",D793="S. tabernaemontani"),G793&gt;0),E793*[1]Sheet1!$D$8+N793*[1]Sheet1!$E$8,IF(AND(D793="S. californicus",G793&gt;0),E793*[1]Sheet1!$D$9+N793*[1]Sheet1!$E$9,IF(D793="S. maritimus",F793*[1]Sheet1!$C$10+E793*[1]Sheet1!$D$10+G793*[1]Sheet1!$F$10+[1]Sheet1!$L$10,IF(D793="S. americanus",F793*[1]Sheet1!$C$6+E793*[1]Sheet1!$D$6+[1]Sheet1!$L$6,IF(AND(OR(D793="T. domingensis",D793="T. latifolia"),E793&gt;0),F793*[1]Sheet1!$C$4+E793*[1]Sheet1!$D$4+H793*[1]Sheet1!$J$4+I793*[1]Sheet1!$K$4+[1]Sheet1!$L$4,IF(AND(OR(D793="T. domingensis",D793="T. latifolia"),J793&gt;0),J793*[1]Sheet1!$G$5+K793*[1]Sheet1!$H$5+L793*[1]Sheet1!$I$5+[1]Sheet1!$L$5,0)))))))</f>
        <v>12.800099000000003</v>
      </c>
      <c r="P793">
        <f t="shared" si="37"/>
        <v>12.800099000000003</v>
      </c>
      <c r="S793">
        <f t="shared" si="38"/>
        <v>4.4488055989999999</v>
      </c>
    </row>
    <row r="794" spans="1:19">
      <c r="A794" s="5">
        <v>42501</v>
      </c>
      <c r="B794" t="s">
        <v>24</v>
      </c>
      <c r="C794">
        <v>39</v>
      </c>
      <c r="D794" t="s">
        <v>61</v>
      </c>
      <c r="F794" s="6">
        <v>1.67</v>
      </c>
      <c r="J794">
        <f>79+94+225+246+247</f>
        <v>891</v>
      </c>
      <c r="K794">
        <v>5</v>
      </c>
      <c r="L794">
        <v>247</v>
      </c>
      <c r="N794" t="str">
        <f t="shared" si="36"/>
        <v>NA</v>
      </c>
      <c r="O794">
        <f>IF(AND(OR(D794="S. acutus",D794="S. californicus",D794="S. tabernaemontani"),G794=0),E794*[1]Sheet1!$D$7+[1]Sheet1!$L$7,IF(AND(OR(D794="S. acutus",D794="S. tabernaemontani"),G794&gt;0),E794*[1]Sheet1!$D$8+N794*[1]Sheet1!$E$8,IF(AND(D794="S. californicus",G794&gt;0),E794*[1]Sheet1!$D$9+N794*[1]Sheet1!$E$9,IF(D794="S. maritimus",F794*[1]Sheet1!$C$10+E794*[1]Sheet1!$D$10+G794*[1]Sheet1!$F$10+[1]Sheet1!$L$10,IF(D794="S. americanus",F794*[1]Sheet1!$C$6+E794*[1]Sheet1!$D$6+[1]Sheet1!$L$6,IF(AND(OR(D794="T. domingensis",D794="T. latifolia"),E794&gt;0),F794*[1]Sheet1!$C$4+E794*[1]Sheet1!$D$4+H794*[1]Sheet1!$J$4+I794*[1]Sheet1!$K$4+[1]Sheet1!$L$4,IF(AND(OR(D794="T. domingensis",D794="T. latifolia"),J794&gt;0),J794*[1]Sheet1!$G$5+K794*[1]Sheet1!$H$5+L794*[1]Sheet1!$I$5+[1]Sheet1!$L$5,0)))))))</f>
        <v>7.0534090000000162</v>
      </c>
      <c r="P794">
        <f t="shared" si="37"/>
        <v>7.0534090000000162</v>
      </c>
      <c r="S794">
        <f t="shared" si="38"/>
        <v>2.1903950877499998</v>
      </c>
    </row>
    <row r="795" spans="1:19">
      <c r="A795" s="5">
        <v>42501</v>
      </c>
      <c r="B795" t="s">
        <v>24</v>
      </c>
      <c r="C795">
        <v>39</v>
      </c>
      <c r="D795" t="s">
        <v>61</v>
      </c>
      <c r="F795" s="6">
        <v>2.38</v>
      </c>
      <c r="J795">
        <f>117+162+198+206+249</f>
        <v>932</v>
      </c>
      <c r="K795">
        <v>5</v>
      </c>
      <c r="L795">
        <v>249</v>
      </c>
      <c r="N795" t="str">
        <f t="shared" si="36"/>
        <v>NA</v>
      </c>
      <c r="O795">
        <f>IF(AND(OR(D795="S. acutus",D795="S. californicus",D795="S. tabernaemontani"),G795=0),E795*[1]Sheet1!$D$7+[1]Sheet1!$L$7,IF(AND(OR(D795="S. acutus",D795="S. tabernaemontani"),G795&gt;0),E795*[1]Sheet1!$D$8+N795*[1]Sheet1!$E$8,IF(AND(D795="S. californicus",G795&gt;0),E795*[1]Sheet1!$D$9+N795*[1]Sheet1!$E$9,IF(D795="S. maritimus",F795*[1]Sheet1!$C$10+E795*[1]Sheet1!$D$10+G795*[1]Sheet1!$F$10+[1]Sheet1!$L$10,IF(D795="S. americanus",F795*[1]Sheet1!$C$6+E795*[1]Sheet1!$D$6+[1]Sheet1!$L$6,IF(AND(OR(D795="T. domingensis",D795="T. latifolia"),E795&gt;0),F795*[1]Sheet1!$C$4+E795*[1]Sheet1!$D$4+H795*[1]Sheet1!$J$4+I795*[1]Sheet1!$K$4+[1]Sheet1!$L$4,IF(AND(OR(D795="T. domingensis",D795="T. latifolia"),J795&gt;0),J795*[1]Sheet1!$G$5+K795*[1]Sheet1!$H$5+L795*[1]Sheet1!$I$5+[1]Sheet1!$L$5,0)))))))</f>
        <v>10.294874000000007</v>
      </c>
      <c r="P795">
        <f t="shared" si="37"/>
        <v>10.294874000000007</v>
      </c>
      <c r="S795">
        <f t="shared" si="38"/>
        <v>4.4488055989999999</v>
      </c>
    </row>
    <row r="796" spans="1:19">
      <c r="A796" s="5">
        <v>42501</v>
      </c>
      <c r="B796" t="s">
        <v>24</v>
      </c>
      <c r="C796">
        <v>39</v>
      </c>
      <c r="D796" t="s">
        <v>61</v>
      </c>
      <c r="F796" s="6">
        <v>3</v>
      </c>
      <c r="J796">
        <f>456+160+132+210+221+239+255</f>
        <v>1673</v>
      </c>
      <c r="K796">
        <v>7</v>
      </c>
      <c r="L796">
        <v>255</v>
      </c>
      <c r="N796" t="str">
        <f t="shared" si="36"/>
        <v>NA</v>
      </c>
      <c r="O796">
        <f>IF(AND(OR(D796="S. acutus",D796="S. californicus",D796="S. tabernaemontani"),G796=0),E796*[1]Sheet1!$D$7+[1]Sheet1!$L$7,IF(AND(OR(D796="S. acutus",D796="S. tabernaemontani"),G796&gt;0),E796*[1]Sheet1!$D$8+N796*[1]Sheet1!$E$8,IF(AND(D796="S. californicus",G796&gt;0),E796*[1]Sheet1!$D$9+N796*[1]Sheet1!$E$9,IF(D796="S. maritimus",F796*[1]Sheet1!$C$10+E796*[1]Sheet1!$D$10+G796*[1]Sheet1!$F$10+[1]Sheet1!$L$10,IF(D796="S. americanus",F796*[1]Sheet1!$C$6+E796*[1]Sheet1!$D$6+[1]Sheet1!$L$6,IF(AND(OR(D796="T. domingensis",D796="T. latifolia"),E796&gt;0),F796*[1]Sheet1!$C$4+E796*[1]Sheet1!$D$4+H796*[1]Sheet1!$J$4+I796*[1]Sheet1!$K$4+[1]Sheet1!$L$4,IF(AND(OR(D796="T. domingensis",D796="T. latifolia"),J796&gt;0),J796*[1]Sheet1!$G$5+K796*[1]Sheet1!$H$5+L796*[1]Sheet1!$I$5+[1]Sheet1!$L$5,0)))))))</f>
        <v>63.915152999999997</v>
      </c>
      <c r="P796">
        <f t="shared" si="37"/>
        <v>63.915152999999997</v>
      </c>
      <c r="S796">
        <f t="shared" si="38"/>
        <v>7.0685775</v>
      </c>
    </row>
    <row r="797" spans="1:19">
      <c r="A797" s="5">
        <v>42501</v>
      </c>
      <c r="B797" t="s">
        <v>24</v>
      </c>
      <c r="C797">
        <v>39</v>
      </c>
      <c r="D797" t="s">
        <v>61</v>
      </c>
      <c r="F797" s="6">
        <v>2.4500000000000002</v>
      </c>
      <c r="J797">
        <f>172+196+204+228+228+244</f>
        <v>1272</v>
      </c>
      <c r="K797">
        <v>6</v>
      </c>
      <c r="L797">
        <v>244</v>
      </c>
      <c r="N797" t="str">
        <f t="shared" si="36"/>
        <v>NA</v>
      </c>
      <c r="O797">
        <f>IF(AND(OR(D797="S. acutus",D797="S. californicus",D797="S. tabernaemontani"),G797=0),E797*[1]Sheet1!$D$7+[1]Sheet1!$L$7,IF(AND(OR(D797="S. acutus",D797="S. tabernaemontani"),G797&gt;0),E797*[1]Sheet1!$D$8+N797*[1]Sheet1!$E$8,IF(AND(D797="S. californicus",G797&gt;0),E797*[1]Sheet1!$D$9+N797*[1]Sheet1!$E$9,IF(D797="S. maritimus",F797*[1]Sheet1!$C$10+E797*[1]Sheet1!$D$10+G797*[1]Sheet1!$F$10+[1]Sheet1!$L$10,IF(D797="S. americanus",F797*[1]Sheet1!$C$6+E797*[1]Sheet1!$D$6+[1]Sheet1!$L$6,IF(AND(OR(D797="T. domingensis",D797="T. latifolia"),E797&gt;0),F797*[1]Sheet1!$C$4+E797*[1]Sheet1!$D$4+H797*[1]Sheet1!$J$4+I797*[1]Sheet1!$K$4+[1]Sheet1!$L$4,IF(AND(OR(D797="T. domingensis",D797="T. latifolia"),J797&gt;0),J797*[1]Sheet1!$G$5+K797*[1]Sheet1!$H$5+L797*[1]Sheet1!$I$5+[1]Sheet1!$L$5,0)))))))</f>
        <v>36.655446000000005</v>
      </c>
      <c r="P797">
        <f t="shared" si="37"/>
        <v>36.655446000000005</v>
      </c>
      <c r="S797">
        <f t="shared" si="38"/>
        <v>4.7143484937500011</v>
      </c>
    </row>
    <row r="798" spans="1:19">
      <c r="A798" s="5">
        <v>42501</v>
      </c>
      <c r="B798" t="s">
        <v>24</v>
      </c>
      <c r="C798">
        <v>39</v>
      </c>
      <c r="D798" t="s">
        <v>61</v>
      </c>
      <c r="F798" s="6">
        <v>3.3</v>
      </c>
      <c r="J798">
        <f>91+148+145+160+173+193+192+219+231+232+236</f>
        <v>2020</v>
      </c>
      <c r="K798">
        <v>11</v>
      </c>
      <c r="L798">
        <v>236</v>
      </c>
      <c r="N798" t="str">
        <f t="shared" si="36"/>
        <v>NA</v>
      </c>
      <c r="O798">
        <f>IF(AND(OR(D798="S. acutus",D798="S. californicus",D798="S. tabernaemontani"),G798=0),E798*[1]Sheet1!$D$7+[1]Sheet1!$L$7,IF(AND(OR(D798="S. acutus",D798="S. tabernaemontani"),G798&gt;0),E798*[1]Sheet1!$D$8+N798*[1]Sheet1!$E$8,IF(AND(D798="S. californicus",G798&gt;0),E798*[1]Sheet1!$D$9+N798*[1]Sheet1!$E$9,IF(D798="S. maritimus",F798*[1]Sheet1!$C$10+E798*[1]Sheet1!$D$10+G798*[1]Sheet1!$F$10+[1]Sheet1!$L$10,IF(D798="S. americanus",F798*[1]Sheet1!$C$6+E798*[1]Sheet1!$D$6+[1]Sheet1!$L$6,IF(AND(OR(D798="T. domingensis",D798="T. latifolia"),E798&gt;0),F798*[1]Sheet1!$C$4+E798*[1]Sheet1!$D$4+H798*[1]Sheet1!$J$4+I798*[1]Sheet1!$K$4+[1]Sheet1!$L$4,IF(AND(OR(D798="T. domingensis",D798="T. latifolia"),J798&gt;0),J798*[1]Sheet1!$G$5+K798*[1]Sheet1!$H$5+L798*[1]Sheet1!$I$5+[1]Sheet1!$L$5,0)))))))</f>
        <v>74.082381000000026</v>
      </c>
      <c r="P798">
        <f t="shared" si="37"/>
        <v>74.082381000000026</v>
      </c>
      <c r="S798">
        <f t="shared" si="38"/>
        <v>8.5529787749999979</v>
      </c>
    </row>
    <row r="799" spans="1:19">
      <c r="A799" s="5">
        <v>42501</v>
      </c>
      <c r="B799" t="s">
        <v>24</v>
      </c>
      <c r="C799">
        <v>39</v>
      </c>
      <c r="D799" t="s">
        <v>61</v>
      </c>
      <c r="F799" s="6">
        <v>2.67</v>
      </c>
      <c r="J799">
        <f>148+122+184+226+246+248+265+266</f>
        <v>1705</v>
      </c>
      <c r="K799">
        <v>7</v>
      </c>
      <c r="L799">
        <v>266</v>
      </c>
      <c r="N799" t="str">
        <f t="shared" si="36"/>
        <v>NA</v>
      </c>
      <c r="O799">
        <f>IF(AND(OR(D799="S. acutus",D799="S. californicus",D799="S. tabernaemontani"),G799=0),E799*[1]Sheet1!$D$7+[1]Sheet1!$L$7,IF(AND(OR(D799="S. acutus",D799="S. tabernaemontani"),G799&gt;0),E799*[1]Sheet1!$D$8+N799*[1]Sheet1!$E$8,IF(AND(D799="S. californicus",G799&gt;0),E799*[1]Sheet1!$D$9+N799*[1]Sheet1!$E$9,IF(D799="S. maritimus",F799*[1]Sheet1!$C$10+E799*[1]Sheet1!$D$10+G799*[1]Sheet1!$F$10+[1]Sheet1!$L$10,IF(D799="S. americanus",F799*[1]Sheet1!$C$6+E799*[1]Sheet1!$D$6+[1]Sheet1!$L$6,IF(AND(OR(D799="T. domingensis",D799="T. latifolia"),E799&gt;0),F799*[1]Sheet1!$C$4+E799*[1]Sheet1!$D$4+H799*[1]Sheet1!$J$4+I799*[1]Sheet1!$K$4+[1]Sheet1!$L$4,IF(AND(OR(D799="T. domingensis",D799="T. latifolia"),J799&gt;0),J799*[1]Sheet1!$G$5+K799*[1]Sheet1!$H$5+L799*[1]Sheet1!$I$5+[1]Sheet1!$L$5,0)))))))</f>
        <v>63.601618000000023</v>
      </c>
      <c r="P799">
        <f t="shared" si="37"/>
        <v>63.601618000000023</v>
      </c>
      <c r="S799">
        <f t="shared" si="38"/>
        <v>5.5990202377499996</v>
      </c>
    </row>
    <row r="800" spans="1:19">
      <c r="A800" s="5">
        <v>42501</v>
      </c>
      <c r="B800" t="s">
        <v>24</v>
      </c>
      <c r="C800">
        <v>39</v>
      </c>
      <c r="D800" t="s">
        <v>61</v>
      </c>
      <c r="F800" s="6">
        <v>2.4300000000000002</v>
      </c>
      <c r="J800">
        <f>121+183+231+244</f>
        <v>779</v>
      </c>
      <c r="K800">
        <v>4</v>
      </c>
      <c r="L800">
        <v>244</v>
      </c>
      <c r="N800" t="str">
        <f t="shared" si="36"/>
        <v>NA</v>
      </c>
      <c r="O800">
        <f>IF(AND(OR(D800="S. acutus",D800="S. californicus",D800="S. tabernaemontani"),G800=0),E800*[1]Sheet1!$D$7+[1]Sheet1!$L$7,IF(AND(OR(D800="S. acutus",D800="S. tabernaemontani"),G800&gt;0),E800*[1]Sheet1!$D$8+N800*[1]Sheet1!$E$8,IF(AND(D800="S. californicus",G800&gt;0),E800*[1]Sheet1!$D$9+N800*[1]Sheet1!$E$9,IF(D800="S. maritimus",F800*[1]Sheet1!$C$10+E800*[1]Sheet1!$D$10+G800*[1]Sheet1!$F$10+[1]Sheet1!$L$10,IF(D800="S. americanus",F800*[1]Sheet1!$C$6+E800*[1]Sheet1!$D$6+[1]Sheet1!$L$6,IF(AND(OR(D800="T. domingensis",D800="T. latifolia"),E800&gt;0),F800*[1]Sheet1!$C$4+E800*[1]Sheet1!$D$4+H800*[1]Sheet1!$J$4+I800*[1]Sheet1!$K$4+[1]Sheet1!$L$4,IF(AND(OR(D800="T. domingensis",D800="T. latifolia"),J800&gt;0),J800*[1]Sheet1!$G$5+K800*[1]Sheet1!$H$5+L800*[1]Sheet1!$I$5+[1]Sheet1!$L$5,0)))))))</f>
        <v>4.478937000000009</v>
      </c>
      <c r="P800">
        <f t="shared" si="37"/>
        <v>4.478937000000009</v>
      </c>
      <c r="S800">
        <f t="shared" si="38"/>
        <v>4.6376936977500005</v>
      </c>
    </row>
    <row r="801" spans="1:19">
      <c r="A801" s="5">
        <v>42501</v>
      </c>
      <c r="B801" t="s">
        <v>24</v>
      </c>
      <c r="C801">
        <v>39</v>
      </c>
      <c r="D801" t="s">
        <v>61</v>
      </c>
      <c r="F801" s="6">
        <v>0.95</v>
      </c>
      <c r="J801">
        <f>136+165+205</f>
        <v>506</v>
      </c>
      <c r="K801">
        <v>3</v>
      </c>
      <c r="L801">
        <v>205</v>
      </c>
      <c r="N801" t="str">
        <f t="shared" si="36"/>
        <v>NA</v>
      </c>
      <c r="O801">
        <f>IF(AND(OR(D801="S. acutus",D801="S. californicus",D801="S. tabernaemontani"),G801=0),E801*[1]Sheet1!$D$7+[1]Sheet1!$L$7,IF(AND(OR(D801="S. acutus",D801="S. tabernaemontani"),G801&gt;0),E801*[1]Sheet1!$D$8+N801*[1]Sheet1!$E$8,IF(AND(D801="S. californicus",G801&gt;0),E801*[1]Sheet1!$D$9+N801*[1]Sheet1!$E$9,IF(D801="S. maritimus",F801*[1]Sheet1!$C$10+E801*[1]Sheet1!$D$10+G801*[1]Sheet1!$F$10+[1]Sheet1!$L$10,IF(D801="S. americanus",F801*[1]Sheet1!$C$6+E801*[1]Sheet1!$D$6+[1]Sheet1!$L$6,IF(AND(OR(D801="T. domingensis",D801="T. latifolia"),E801&gt;0),F801*[1]Sheet1!$C$4+E801*[1]Sheet1!$D$4+H801*[1]Sheet1!$J$4+I801*[1]Sheet1!$K$4+[1]Sheet1!$L$4,IF(AND(OR(D801="T. domingensis",D801="T. latifolia"),J801&gt;0),J801*[1]Sheet1!$G$5+K801*[1]Sheet1!$H$5+L801*[1]Sheet1!$I$5+[1]Sheet1!$L$5,0)))))))</f>
        <v>-2.3452699999999993</v>
      </c>
      <c r="P801" t="str">
        <f t="shared" si="37"/>
        <v xml:space="preserve"> </v>
      </c>
      <c r="S801">
        <f t="shared" si="38"/>
        <v>0.70882124375</v>
      </c>
    </row>
    <row r="802" spans="1:19">
      <c r="A802" s="5">
        <v>42501</v>
      </c>
      <c r="B802" t="s">
        <v>24</v>
      </c>
      <c r="C802">
        <v>39</v>
      </c>
      <c r="D802" t="s">
        <v>61</v>
      </c>
      <c r="F802" s="6">
        <v>2.4500000000000002</v>
      </c>
      <c r="N802" t="str">
        <f t="shared" si="36"/>
        <v>NA</v>
      </c>
      <c r="O802">
        <f>IF(AND(OR(D802="S. acutus",D802="S. californicus",D802="S. tabernaemontani"),G802=0),E802*[1]Sheet1!$D$7+[1]Sheet1!$L$7,IF(AND(OR(D802="S. acutus",D802="S. tabernaemontani"),G802&gt;0),E802*[1]Sheet1!$D$8+N802*[1]Sheet1!$E$8,IF(AND(D802="S. californicus",G802&gt;0),E802*[1]Sheet1!$D$9+N802*[1]Sheet1!$E$9,IF(D802="S. maritimus",F802*[1]Sheet1!$C$10+E802*[1]Sheet1!$D$10+G802*[1]Sheet1!$F$10+[1]Sheet1!$L$10,IF(D802="S. americanus",F802*[1]Sheet1!$C$6+E802*[1]Sheet1!$D$6+[1]Sheet1!$L$6,IF(AND(OR(D802="T. domingensis",D802="T. latifolia"),E802&gt;0),F802*[1]Sheet1!$C$4+E802*[1]Sheet1!$D$4+H802*[1]Sheet1!$J$4+I802*[1]Sheet1!$K$4+[1]Sheet1!$L$4,IF(AND(OR(D802="T. domingensis",D802="T. latifolia"),J802&gt;0),J802*[1]Sheet1!$G$5+K802*[1]Sheet1!$H$5+L802*[1]Sheet1!$I$5+[1]Sheet1!$L$5,0)))))))</f>
        <v>0</v>
      </c>
      <c r="P802">
        <f t="shared" si="37"/>
        <v>0</v>
      </c>
      <c r="S802">
        <f t="shared" si="38"/>
        <v>4.7143484937500011</v>
      </c>
    </row>
    <row r="803" spans="1:19">
      <c r="A803" s="5">
        <v>42501</v>
      </c>
      <c r="B803" t="s">
        <v>24</v>
      </c>
      <c r="C803">
        <v>32</v>
      </c>
      <c r="D803" t="s">
        <v>62</v>
      </c>
      <c r="E803">
        <v>223</v>
      </c>
      <c r="F803" s="6">
        <v>2.13</v>
      </c>
      <c r="N803">
        <f t="shared" si="36"/>
        <v>264.8697305527499</v>
      </c>
      <c r="O803">
        <f>IF(AND(OR(D803="S. acutus",D803="S. californicus",D803="S. tabernaemontani"),G803=0),E803*[1]Sheet1!$D$7+[1]Sheet1!$L$7,IF(AND(OR(D803="S. acutus",D803="S. tabernaemontani"),G803&gt;0),E803*[1]Sheet1!$D$8+N803*[1]Sheet1!$E$8,IF(AND(D803="S. californicus",G803&gt;0),E803*[1]Sheet1!$D$9+N803*[1]Sheet1!$E$9,IF(D803="S. maritimus",F803*[1]Sheet1!$C$10+E803*[1]Sheet1!$D$10+G803*[1]Sheet1!$F$10+[1]Sheet1!$L$10,IF(D803="S. americanus",F803*[1]Sheet1!$C$6+E803*[1]Sheet1!$D$6+[1]Sheet1!$L$6,IF(AND(OR(D803="T. domingensis",D803="T. latifolia"),E803&gt;0),F803*[1]Sheet1!$C$4+E803*[1]Sheet1!$D$4+H803*[1]Sheet1!$J$4+I803*[1]Sheet1!$K$4+[1]Sheet1!$L$4,IF(AND(OR(D803="T. domingensis",D803="T. latifolia"),J803&gt;0),J803*[1]Sheet1!$G$5+K803*[1]Sheet1!$H$5+L803*[1]Sheet1!$I$5+[1]Sheet1!$L$5,0)))))))</f>
        <v>11.042818</v>
      </c>
      <c r="P803">
        <f t="shared" si="37"/>
        <v>11.042818</v>
      </c>
      <c r="S803">
        <f t="shared" si="38"/>
        <v>3.5632699177499991</v>
      </c>
    </row>
    <row r="804" spans="1:19">
      <c r="A804" s="5">
        <v>42501</v>
      </c>
      <c r="B804" t="s">
        <v>24</v>
      </c>
      <c r="C804">
        <v>32</v>
      </c>
      <c r="D804" t="s">
        <v>62</v>
      </c>
      <c r="E804">
        <v>253</v>
      </c>
      <c r="F804" s="6">
        <v>2.25</v>
      </c>
      <c r="G804">
        <v>10</v>
      </c>
      <c r="N804">
        <f t="shared" si="36"/>
        <v>335.31564515624996</v>
      </c>
      <c r="O804">
        <f>IF(AND(OR(D804="S. acutus",D804="S. californicus",D804="S. tabernaemontani"),G804=0),E804*[1]Sheet1!$D$7+[1]Sheet1!$L$7,IF(AND(OR(D804="S. acutus",D804="S. tabernaemontani"),G804&gt;0),E804*[1]Sheet1!$D$8+N804*[1]Sheet1!$E$8,IF(AND(D804="S. californicus",G804&gt;0),E804*[1]Sheet1!$D$9+N804*[1]Sheet1!$E$9,IF(D804="S. maritimus",F804*[1]Sheet1!$C$10+E804*[1]Sheet1!$D$10+G804*[1]Sheet1!$F$10+[1]Sheet1!$L$10,IF(D804="S. americanus",F804*[1]Sheet1!$C$6+E804*[1]Sheet1!$D$6+[1]Sheet1!$L$6,IF(AND(OR(D804="T. domingensis",D804="T. latifolia"),E804&gt;0),F804*[1]Sheet1!$C$4+E804*[1]Sheet1!$D$4+H804*[1]Sheet1!$J$4+I804*[1]Sheet1!$K$4+[1]Sheet1!$L$4,IF(AND(OR(D804="T. domingensis",D804="T. latifolia"),J804&gt;0),J804*[1]Sheet1!$G$5+K804*[1]Sheet1!$H$5+L804*[1]Sheet1!$I$5+[1]Sheet1!$L$5,0)))))))</f>
        <v>25.53587531874156</v>
      </c>
      <c r="P804">
        <f t="shared" si="37"/>
        <v>25.53587531874156</v>
      </c>
      <c r="S804">
        <f t="shared" si="38"/>
        <v>3.9760748437499998</v>
      </c>
    </row>
    <row r="805" spans="1:19">
      <c r="A805" s="5">
        <v>42501</v>
      </c>
      <c r="B805" t="s">
        <v>24</v>
      </c>
      <c r="C805">
        <v>32</v>
      </c>
      <c r="D805" t="s">
        <v>62</v>
      </c>
      <c r="E805">
        <v>203</v>
      </c>
      <c r="F805" s="6">
        <v>2.37</v>
      </c>
      <c r="N805">
        <f t="shared" si="36"/>
        <v>298.51144706775</v>
      </c>
      <c r="O805">
        <f>IF(AND(OR(D805="S. acutus",D805="S. californicus",D805="S. tabernaemontani"),G805=0),E805*[1]Sheet1!$D$7+[1]Sheet1!$L$7,IF(AND(OR(D805="S. acutus",D805="S. tabernaemontani"),G805&gt;0),E805*[1]Sheet1!$D$8+N805*[1]Sheet1!$E$8,IF(AND(D805="S. californicus",G805&gt;0),E805*[1]Sheet1!$D$9+N805*[1]Sheet1!$E$9,IF(D805="S. maritimus",F805*[1]Sheet1!$C$10+E805*[1]Sheet1!$D$10+G805*[1]Sheet1!$F$10+[1]Sheet1!$L$10,IF(D805="S. americanus",F805*[1]Sheet1!$C$6+E805*[1]Sheet1!$D$6+[1]Sheet1!$L$6,IF(AND(OR(D805="T. domingensis",D805="T. latifolia"),E805&gt;0),F805*[1]Sheet1!$C$4+E805*[1]Sheet1!$D$4+H805*[1]Sheet1!$J$4+I805*[1]Sheet1!$K$4+[1]Sheet1!$L$4,IF(AND(OR(D805="T. domingensis",D805="T. latifolia"),J805&gt;0),J805*[1]Sheet1!$G$5+K805*[1]Sheet1!$H$5+L805*[1]Sheet1!$I$5+[1]Sheet1!$L$5,0)))))))</f>
        <v>9.6407179999999997</v>
      </c>
      <c r="P805">
        <f t="shared" si="37"/>
        <v>9.6407179999999997</v>
      </c>
      <c r="S805">
        <f t="shared" si="38"/>
        <v>4.4114992177500003</v>
      </c>
    </row>
    <row r="806" spans="1:19">
      <c r="A806" s="5">
        <v>42501</v>
      </c>
      <c r="B806" t="s">
        <v>24</v>
      </c>
      <c r="C806">
        <v>32</v>
      </c>
      <c r="D806" t="s">
        <v>62</v>
      </c>
      <c r="E806">
        <v>178</v>
      </c>
      <c r="F806" s="6">
        <v>1.1399999999999999</v>
      </c>
      <c r="G806">
        <v>7</v>
      </c>
      <c r="N806">
        <f t="shared" si="36"/>
        <v>60.561687065999983</v>
      </c>
      <c r="O806">
        <f>IF(AND(OR(D806="S. acutus",D806="S. californicus",D806="S. tabernaemontani"),G806=0),E806*[1]Sheet1!$D$7+[1]Sheet1!$L$7,IF(AND(OR(D806="S. acutus",D806="S. tabernaemontani"),G806&gt;0),E806*[1]Sheet1!$D$8+N806*[1]Sheet1!$E$8,IF(AND(D806="S. californicus",G806&gt;0),E806*[1]Sheet1!$D$9+N806*[1]Sheet1!$E$9,IF(D806="S. maritimus",F806*[1]Sheet1!$C$10+E806*[1]Sheet1!$D$10+G806*[1]Sheet1!$F$10+[1]Sheet1!$L$10,IF(D806="S. americanus",F806*[1]Sheet1!$C$6+E806*[1]Sheet1!$D$6+[1]Sheet1!$L$6,IF(AND(OR(D806="T. domingensis",D806="T. latifolia"),E806&gt;0),F806*[1]Sheet1!$C$4+E806*[1]Sheet1!$D$4+H806*[1]Sheet1!$J$4+I806*[1]Sheet1!$K$4+[1]Sheet1!$L$4,IF(AND(OR(D806="T. domingensis",D806="T. latifolia"),J806&gt;0),J806*[1]Sheet1!$G$5+K806*[1]Sheet1!$H$5+L806*[1]Sheet1!$I$5+[1]Sheet1!$L$5,0)))))))</f>
        <v>7.8526955398444827</v>
      </c>
      <c r="P806">
        <f t="shared" si="37"/>
        <v>7.8526955398444827</v>
      </c>
      <c r="S806">
        <f t="shared" si="38"/>
        <v>1.0207025909999998</v>
      </c>
    </row>
    <row r="807" spans="1:19">
      <c r="A807" s="5">
        <v>42501</v>
      </c>
      <c r="B807" t="s">
        <v>24</v>
      </c>
      <c r="C807">
        <v>32</v>
      </c>
      <c r="D807" t="s">
        <v>62</v>
      </c>
      <c r="E807">
        <v>149</v>
      </c>
      <c r="F807" s="6">
        <v>2.33</v>
      </c>
      <c r="N807">
        <f t="shared" si="36"/>
        <v>211.77094289158333</v>
      </c>
      <c r="O807">
        <f>IF(AND(OR(D807="S. acutus",D807="S. californicus",D807="S. tabernaemontani"),G807=0),E807*[1]Sheet1!$D$7+[1]Sheet1!$L$7,IF(AND(OR(D807="S. acutus",D807="S. tabernaemontani"),G807&gt;0),E807*[1]Sheet1!$D$8+N807*[1]Sheet1!$E$8,IF(AND(D807="S. californicus",G807&gt;0),E807*[1]Sheet1!$D$9+N807*[1]Sheet1!$E$9,IF(D807="S. maritimus",F807*[1]Sheet1!$C$10+E807*[1]Sheet1!$D$10+G807*[1]Sheet1!$F$10+[1]Sheet1!$L$10,IF(D807="S. americanus",F807*[1]Sheet1!$C$6+E807*[1]Sheet1!$D$6+[1]Sheet1!$L$6,IF(AND(OR(D807="T. domingensis",D807="T. latifolia"),E807&gt;0),F807*[1]Sheet1!$C$4+E807*[1]Sheet1!$D$4+H807*[1]Sheet1!$J$4+I807*[1]Sheet1!$K$4+[1]Sheet1!$L$4,IF(AND(OR(D807="T. domingensis",D807="T. latifolia"),J807&gt;0),J807*[1]Sheet1!$G$5+K807*[1]Sheet1!$H$5+L807*[1]Sheet1!$I$5+[1]Sheet1!$L$5,0)))))))</f>
        <v>5.8550480000000009</v>
      </c>
      <c r="P807">
        <f t="shared" si="37"/>
        <v>5.8550480000000009</v>
      </c>
      <c r="S807">
        <f t="shared" si="38"/>
        <v>4.2638444877500001</v>
      </c>
    </row>
    <row r="808" spans="1:19">
      <c r="A808" s="5">
        <v>42501</v>
      </c>
      <c r="B808" t="s">
        <v>24</v>
      </c>
      <c r="C808">
        <v>32</v>
      </c>
      <c r="D808" t="s">
        <v>62</v>
      </c>
      <c r="E808">
        <v>250</v>
      </c>
      <c r="F808" s="6">
        <v>1.75</v>
      </c>
      <c r="G808">
        <v>6</v>
      </c>
      <c r="N808">
        <f t="shared" si="36"/>
        <v>200.43998697916666</v>
      </c>
      <c r="O808">
        <f>IF(AND(OR(D808="S. acutus",D808="S. californicus",D808="S. tabernaemontani"),G808=0),E808*[1]Sheet1!$D$7+[1]Sheet1!$L$7,IF(AND(OR(D808="S. acutus",D808="S. tabernaemontani"),G808&gt;0),E808*[1]Sheet1!$D$8+N808*[1]Sheet1!$E$8,IF(AND(D808="S. californicus",G808&gt;0),E808*[1]Sheet1!$D$9+N808*[1]Sheet1!$E$9,IF(D808="S. maritimus",F808*[1]Sheet1!$C$10+E808*[1]Sheet1!$D$10+G808*[1]Sheet1!$F$10+[1]Sheet1!$L$10,IF(D808="S. americanus",F808*[1]Sheet1!$C$6+E808*[1]Sheet1!$D$6+[1]Sheet1!$L$6,IF(AND(OR(D808="T. domingensis",D808="T. latifolia"),E808&gt;0),F808*[1]Sheet1!$C$4+E808*[1]Sheet1!$D$4+H808*[1]Sheet1!$J$4+I808*[1]Sheet1!$K$4+[1]Sheet1!$L$4,IF(AND(OR(D808="T. domingensis",D808="T. latifolia"),J808&gt;0),J808*[1]Sheet1!$G$5+K808*[1]Sheet1!$H$5+L808*[1]Sheet1!$I$5+[1]Sheet1!$L$5,0)))))))</f>
        <v>17.683575809036459</v>
      </c>
      <c r="P808">
        <f t="shared" si="37"/>
        <v>17.683575809036459</v>
      </c>
      <c r="S808">
        <f t="shared" si="38"/>
        <v>2.4052798437499998</v>
      </c>
    </row>
    <row r="809" spans="1:19">
      <c r="A809" s="5">
        <v>42501</v>
      </c>
      <c r="B809" t="s">
        <v>24</v>
      </c>
      <c r="C809">
        <v>32</v>
      </c>
      <c r="D809" t="s">
        <v>62</v>
      </c>
      <c r="E809">
        <v>241</v>
      </c>
      <c r="F809" s="6">
        <v>2.4</v>
      </c>
      <c r="G809">
        <v>2</v>
      </c>
      <c r="N809">
        <f t="shared" si="36"/>
        <v>363.41913119999998</v>
      </c>
      <c r="O809">
        <f>IF(AND(OR(D809="S. acutus",D809="S. californicus",D809="S. tabernaemontani"),G809=0),E809*[1]Sheet1!$D$7+[1]Sheet1!$L$7,IF(AND(OR(D809="S. acutus",D809="S. tabernaemontani"),G809&gt;0),E809*[1]Sheet1!$D$8+N809*[1]Sheet1!$E$8,IF(AND(D809="S. californicus",G809&gt;0),E809*[1]Sheet1!$D$9+N809*[1]Sheet1!$E$9,IF(D809="S. maritimus",F809*[1]Sheet1!$C$10+E809*[1]Sheet1!$D$10+G809*[1]Sheet1!$F$10+[1]Sheet1!$L$10,IF(D809="S. americanus",F809*[1]Sheet1!$C$6+E809*[1]Sheet1!$D$6+[1]Sheet1!$L$6,IF(AND(OR(D809="T. domingensis",D809="T. latifolia"),E809&gt;0),F809*[1]Sheet1!$C$4+E809*[1]Sheet1!$D$4+H809*[1]Sheet1!$J$4+I809*[1]Sheet1!$K$4+[1]Sheet1!$L$4,IF(AND(OR(D809="T. domingensis",D809="T. latifolia"),J809&gt;0),J809*[1]Sheet1!$G$5+K809*[1]Sheet1!$H$5+L809*[1]Sheet1!$I$5+[1]Sheet1!$L$5,0)))))))</f>
        <v>26.862792572828802</v>
      </c>
      <c r="P809">
        <f t="shared" si="37"/>
        <v>26.862792572828802</v>
      </c>
      <c r="S809">
        <f t="shared" si="38"/>
        <v>4.5238895999999995</v>
      </c>
    </row>
    <row r="810" spans="1:19">
      <c r="A810" s="5">
        <v>42501</v>
      </c>
      <c r="B810" t="s">
        <v>24</v>
      </c>
      <c r="C810">
        <v>32</v>
      </c>
      <c r="D810" t="s">
        <v>62</v>
      </c>
      <c r="E810">
        <v>104</v>
      </c>
      <c r="F810" s="6">
        <v>1.04</v>
      </c>
      <c r="G810">
        <v>2</v>
      </c>
      <c r="N810">
        <f t="shared" si="36"/>
        <v>29.448845781333333</v>
      </c>
      <c r="O810">
        <f>IF(AND(OR(D810="S. acutus",D810="S. californicus",D810="S. tabernaemontani"),G810=0),E810*[1]Sheet1!$D$7+[1]Sheet1!$L$7,IF(AND(OR(D810="S. acutus",D810="S. tabernaemontani"),G810&gt;0),E810*[1]Sheet1!$D$8+N810*[1]Sheet1!$E$8,IF(AND(D810="S. californicus",G810&gt;0),E810*[1]Sheet1!$D$9+N810*[1]Sheet1!$E$9,IF(D810="S. maritimus",F810*[1]Sheet1!$C$10+E810*[1]Sheet1!$D$10+G810*[1]Sheet1!$F$10+[1]Sheet1!$L$10,IF(D810="S. americanus",F810*[1]Sheet1!$C$6+E810*[1]Sheet1!$D$6+[1]Sheet1!$L$6,IF(AND(OR(D810="T. domingensis",D810="T. latifolia"),E810&gt;0),F810*[1]Sheet1!$C$4+E810*[1]Sheet1!$D$4+H810*[1]Sheet1!$J$4+I810*[1]Sheet1!$K$4+[1]Sheet1!$L$4,IF(AND(OR(D810="T. domingensis",D810="T. latifolia"),J810&gt;0),J810*[1]Sheet1!$G$5+K810*[1]Sheet1!$H$5+L810*[1]Sheet1!$I$5+[1]Sheet1!$L$5,0)))))))</f>
        <v>4.2457671315926184</v>
      </c>
      <c r="P810">
        <f t="shared" si="37"/>
        <v>4.2457671315926184</v>
      </c>
      <c r="S810">
        <f t="shared" si="38"/>
        <v>0.84948593600000011</v>
      </c>
    </row>
    <row r="811" spans="1:19">
      <c r="A811" s="5">
        <v>42501</v>
      </c>
      <c r="B811" t="s">
        <v>24</v>
      </c>
      <c r="C811">
        <v>32</v>
      </c>
      <c r="D811" t="s">
        <v>62</v>
      </c>
      <c r="E811">
        <v>80</v>
      </c>
      <c r="F811" s="6">
        <v>0.71</v>
      </c>
      <c r="N811">
        <f t="shared" si="36"/>
        <v>10.557836793333333</v>
      </c>
      <c r="O811">
        <f>IF(AND(OR(D811="S. acutus",D811="S. californicus",D811="S. tabernaemontani"),G811=0),E811*[1]Sheet1!$D$7+[1]Sheet1!$L$7,IF(AND(OR(D811="S. acutus",D811="S. tabernaemontani"),G811&gt;0),E811*[1]Sheet1!$D$8+N811*[1]Sheet1!$E$8,IF(AND(D811="S. californicus",G811&gt;0),E811*[1]Sheet1!$D$9+N811*[1]Sheet1!$E$9,IF(D811="S. maritimus",F811*[1]Sheet1!$C$10+E811*[1]Sheet1!$D$10+G811*[1]Sheet1!$F$10+[1]Sheet1!$L$10,IF(D811="S. americanus",F811*[1]Sheet1!$C$6+E811*[1]Sheet1!$D$6+[1]Sheet1!$L$6,IF(AND(OR(D811="T. domingensis",D811="T. latifolia"),E811&gt;0),F811*[1]Sheet1!$C$4+E811*[1]Sheet1!$D$4+H811*[1]Sheet1!$J$4+I811*[1]Sheet1!$K$4+[1]Sheet1!$L$4,IF(AND(OR(D811="T. domingensis",D811="T. latifolia"),J811&gt;0),J811*[1]Sheet1!$G$5+K811*[1]Sheet1!$H$5+L811*[1]Sheet1!$I$5+[1]Sheet1!$L$5,0)))))))</f>
        <v>1.0178029999999998</v>
      </c>
      <c r="P811">
        <f t="shared" si="37"/>
        <v>1.0178029999999998</v>
      </c>
      <c r="S811">
        <f t="shared" si="38"/>
        <v>0.39591887974999995</v>
      </c>
    </row>
    <row r="812" spans="1:19">
      <c r="A812" s="5">
        <v>42501</v>
      </c>
      <c r="B812" t="s">
        <v>24</v>
      </c>
      <c r="C812">
        <v>32</v>
      </c>
      <c r="D812" t="s">
        <v>62</v>
      </c>
      <c r="E812">
        <v>138</v>
      </c>
      <c r="F812" s="6">
        <v>1.8</v>
      </c>
      <c r="N812">
        <f t="shared" si="36"/>
        <v>117.05564339999999</v>
      </c>
      <c r="O812">
        <f>IF(AND(OR(D812="S. acutus",D812="S. californicus",D812="S. tabernaemontani"),G812=0),E812*[1]Sheet1!$D$7+[1]Sheet1!$L$7,IF(AND(OR(D812="S. acutus",D812="S. tabernaemontani"),G812&gt;0),E812*[1]Sheet1!$D$8+N812*[1]Sheet1!$E$8,IF(AND(D812="S. californicus",G812&gt;0),E812*[1]Sheet1!$D$9+N812*[1]Sheet1!$E$9,IF(D812="S. maritimus",F812*[1]Sheet1!$C$10+E812*[1]Sheet1!$D$10+G812*[1]Sheet1!$F$10+[1]Sheet1!$L$10,IF(D812="S. americanus",F812*[1]Sheet1!$C$6+E812*[1]Sheet1!$D$6+[1]Sheet1!$L$6,IF(AND(OR(D812="T. domingensis",D812="T. latifolia"),E812&gt;0),F812*[1]Sheet1!$C$4+E812*[1]Sheet1!$D$4+H812*[1]Sheet1!$J$4+I812*[1]Sheet1!$K$4+[1]Sheet1!$L$4,IF(AND(OR(D812="T. domingensis",D812="T. latifolia"),J812&gt;0),J812*[1]Sheet1!$G$5+K812*[1]Sheet1!$H$5+L812*[1]Sheet1!$I$5+[1]Sheet1!$L$5,0)))))))</f>
        <v>5.0838930000000007</v>
      </c>
      <c r="P812">
        <f t="shared" si="37"/>
        <v>5.0838930000000007</v>
      </c>
      <c r="S812">
        <f t="shared" si="38"/>
        <v>2.5446879</v>
      </c>
    </row>
    <row r="813" spans="1:19">
      <c r="A813" s="5">
        <v>42501</v>
      </c>
      <c r="B813" t="s">
        <v>24</v>
      </c>
      <c r="C813">
        <v>32</v>
      </c>
      <c r="D813" t="s">
        <v>62</v>
      </c>
      <c r="E813">
        <v>205</v>
      </c>
      <c r="F813" s="6">
        <v>1.49</v>
      </c>
      <c r="G813">
        <v>4</v>
      </c>
      <c r="N813">
        <f t="shared" si="36"/>
        <v>119.15016763291665</v>
      </c>
      <c r="O813">
        <f>IF(AND(OR(D813="S. acutus",D813="S. californicus",D813="S. tabernaemontani"),G813=0),E813*[1]Sheet1!$D$7+[1]Sheet1!$L$7,IF(AND(OR(D813="S. acutus",D813="S. tabernaemontani"),G813&gt;0),E813*[1]Sheet1!$D$8+N813*[1]Sheet1!$E$8,IF(AND(D813="S. californicus",G813&gt;0),E813*[1]Sheet1!$D$9+N813*[1]Sheet1!$E$9,IF(D813="S. maritimus",F813*[1]Sheet1!$C$10+E813*[1]Sheet1!$D$10+G813*[1]Sheet1!$F$10+[1]Sheet1!$L$10,IF(D813="S. americanus",F813*[1]Sheet1!$C$6+E813*[1]Sheet1!$D$6+[1]Sheet1!$L$6,IF(AND(OR(D813="T. domingensis",D813="T. latifolia"),E813&gt;0),F813*[1]Sheet1!$C$4+E813*[1]Sheet1!$D$4+H813*[1]Sheet1!$J$4+I813*[1]Sheet1!$K$4+[1]Sheet1!$L$4,IF(AND(OR(D813="T. domingensis",D813="T. latifolia"),J813&gt;0),J813*[1]Sheet1!$G$5+K813*[1]Sheet1!$H$5+L813*[1]Sheet1!$I$5+[1]Sheet1!$L$5,0)))))))</f>
        <v>11.893054768060836</v>
      </c>
      <c r="P813">
        <f t="shared" si="37"/>
        <v>11.893054768060836</v>
      </c>
      <c r="S813">
        <f t="shared" si="38"/>
        <v>1.7436609897499999</v>
      </c>
    </row>
    <row r="814" spans="1:19">
      <c r="A814" s="5">
        <v>42501</v>
      </c>
      <c r="B814" t="s">
        <v>24</v>
      </c>
      <c r="C814">
        <v>32</v>
      </c>
      <c r="D814" t="s">
        <v>62</v>
      </c>
      <c r="E814">
        <v>64</v>
      </c>
      <c r="F814" s="6">
        <v>1.51</v>
      </c>
      <c r="N814">
        <f t="shared" si="36"/>
        <v>38.203409914666665</v>
      </c>
      <c r="O814">
        <f>IF(AND(OR(D814="S. acutus",D814="S. californicus",D814="S. tabernaemontani"),G814=0),E814*[1]Sheet1!$D$7+[1]Sheet1!$L$7,IF(AND(OR(D814="S. acutus",D814="S. tabernaemontani"),G814&gt;0),E814*[1]Sheet1!$D$8+N814*[1]Sheet1!$E$8,IF(AND(D814="S. californicus",G814&gt;0),E814*[1]Sheet1!$D$9+N814*[1]Sheet1!$E$9,IF(D814="S. maritimus",F814*[1]Sheet1!$C$10+E814*[1]Sheet1!$D$10+G814*[1]Sheet1!$F$10+[1]Sheet1!$L$10,IF(D814="S. americanus",F814*[1]Sheet1!$C$6+E814*[1]Sheet1!$D$6+[1]Sheet1!$L$6,IF(AND(OR(D814="T. domingensis",D814="T. latifolia"),E814&gt;0),F814*[1]Sheet1!$C$4+E814*[1]Sheet1!$D$4+H814*[1]Sheet1!$J$4+I814*[1]Sheet1!$K$4+[1]Sheet1!$L$4,IF(AND(OR(D814="T. domingensis",D814="T. latifolia"),J814&gt;0),J814*[1]Sheet1!$G$5+K814*[1]Sheet1!$H$5+L814*[1]Sheet1!$I$5+[1]Sheet1!$L$5,0)))))))</f>
        <v>-0.10387699999999978</v>
      </c>
      <c r="P814" t="str">
        <f t="shared" si="37"/>
        <v xml:space="preserve"> </v>
      </c>
      <c r="S814">
        <f t="shared" si="38"/>
        <v>1.7907848397499999</v>
      </c>
    </row>
    <row r="815" spans="1:19">
      <c r="A815" s="5">
        <v>42501</v>
      </c>
      <c r="B815" t="s">
        <v>24</v>
      </c>
      <c r="C815">
        <v>32</v>
      </c>
      <c r="D815" t="s">
        <v>62</v>
      </c>
      <c r="E815">
        <v>137</v>
      </c>
      <c r="F815" s="6">
        <v>1.75</v>
      </c>
      <c r="G815">
        <v>6</v>
      </c>
      <c r="N815">
        <f t="shared" si="36"/>
        <v>109.84111286458332</v>
      </c>
      <c r="O815">
        <f>IF(AND(OR(D815="S. acutus",D815="S. californicus",D815="S. tabernaemontani"),G815=0),E815*[1]Sheet1!$D$7+[1]Sheet1!$L$7,IF(AND(OR(D815="S. acutus",D815="S. tabernaemontani"),G815&gt;0),E815*[1]Sheet1!$D$8+N815*[1]Sheet1!$E$8,IF(AND(D815="S. californicus",G815&gt;0),E815*[1]Sheet1!$D$9+N815*[1]Sheet1!$E$9,IF(D815="S. maritimus",F815*[1]Sheet1!$C$10+E815*[1]Sheet1!$D$10+G815*[1]Sheet1!$F$10+[1]Sheet1!$L$10,IF(D815="S. americanus",F815*[1]Sheet1!$C$6+E815*[1]Sheet1!$D$6+[1]Sheet1!$L$6,IF(AND(OR(D815="T. domingensis",D815="T. latifolia"),E815&gt;0),F815*[1]Sheet1!$C$4+E815*[1]Sheet1!$D$4+H815*[1]Sheet1!$J$4+I815*[1]Sheet1!$K$4+[1]Sheet1!$L$4,IF(AND(OR(D815="T. domingensis",D815="T. latifolia"),J815&gt;0),J815*[1]Sheet1!$G$5+K815*[1]Sheet1!$H$5+L815*[1]Sheet1!$I$5+[1]Sheet1!$L$5,0)))))))</f>
        <v>9.6905995433519792</v>
      </c>
      <c r="P815">
        <f t="shared" si="37"/>
        <v>9.6905995433519792</v>
      </c>
      <c r="S815">
        <f t="shared" si="38"/>
        <v>2.4052798437499998</v>
      </c>
    </row>
    <row r="816" spans="1:19">
      <c r="A816" s="5">
        <v>42501</v>
      </c>
      <c r="B816" t="s">
        <v>24</v>
      </c>
      <c r="C816">
        <v>32</v>
      </c>
      <c r="D816" t="s">
        <v>62</v>
      </c>
      <c r="E816">
        <v>142</v>
      </c>
      <c r="F816" s="6">
        <v>1.38</v>
      </c>
      <c r="G816">
        <v>2</v>
      </c>
      <c r="N816">
        <f t="shared" si="36"/>
        <v>70.796987285999975</v>
      </c>
      <c r="O816">
        <f>IF(AND(OR(D816="S. acutus",D816="S. californicus",D816="S. tabernaemontani"),G816=0),E816*[1]Sheet1!$D$7+[1]Sheet1!$L$7,IF(AND(OR(D816="S. acutus",D816="S. tabernaemontani"),G816&gt;0),E816*[1]Sheet1!$D$8+N816*[1]Sheet1!$E$8,IF(AND(D816="S. californicus",G816&gt;0),E816*[1]Sheet1!$D$9+N816*[1]Sheet1!$E$9,IF(D816="S. maritimus",F816*[1]Sheet1!$C$10+E816*[1]Sheet1!$D$10+G816*[1]Sheet1!$F$10+[1]Sheet1!$L$10,IF(D816="S. americanus",F816*[1]Sheet1!$C$6+E816*[1]Sheet1!$D$6+[1]Sheet1!$L$6,IF(AND(OR(D816="T. domingensis",D816="T. latifolia"),E816&gt;0),F816*[1]Sheet1!$C$4+E816*[1]Sheet1!$D$4+H816*[1]Sheet1!$J$4+I816*[1]Sheet1!$K$4+[1]Sheet1!$L$4,IF(AND(OR(D816="T. domingensis",D816="T. latifolia"),J816&gt;0),J816*[1]Sheet1!$G$5+K816*[1]Sheet1!$H$5+L816*[1]Sheet1!$I$5+[1]Sheet1!$L$5,0)))))))</f>
        <v>7.5612366447327624</v>
      </c>
      <c r="P816">
        <f t="shared" si="37"/>
        <v>7.5612366447327624</v>
      </c>
      <c r="S816">
        <f t="shared" si="38"/>
        <v>1.4957109989999997</v>
      </c>
    </row>
    <row r="817" spans="1:19">
      <c r="A817" s="5">
        <v>42501</v>
      </c>
      <c r="B817" t="s">
        <v>24</v>
      </c>
      <c r="C817">
        <v>32</v>
      </c>
      <c r="D817" t="s">
        <v>62</v>
      </c>
      <c r="E817">
        <v>207</v>
      </c>
      <c r="F817" s="6">
        <v>1.38</v>
      </c>
      <c r="G817">
        <v>5</v>
      </c>
      <c r="N817">
        <f t="shared" si="36"/>
        <v>103.20405893099998</v>
      </c>
      <c r="O817">
        <f>IF(AND(OR(D817="S. acutus",D817="S. californicus",D817="S. tabernaemontani"),G817=0),E817*[1]Sheet1!$D$7+[1]Sheet1!$L$7,IF(AND(OR(D817="S. acutus",D817="S. tabernaemontani"),G817&gt;0),E817*[1]Sheet1!$D$8+N817*[1]Sheet1!$E$8,IF(AND(D817="S. californicus",G817&gt;0),E817*[1]Sheet1!$D$9+N817*[1]Sheet1!$E$9,IF(D817="S. maritimus",F817*[1]Sheet1!$C$10+E817*[1]Sheet1!$D$10+G817*[1]Sheet1!$F$10+[1]Sheet1!$L$10,IF(D817="S. americanus",F817*[1]Sheet1!$C$6+E817*[1]Sheet1!$D$6+[1]Sheet1!$L$6,IF(AND(OR(D817="T. domingensis",D817="T. latifolia"),E817&gt;0),F817*[1]Sheet1!$C$4+E817*[1]Sheet1!$D$4+H817*[1]Sheet1!$J$4+I817*[1]Sheet1!$K$4+[1]Sheet1!$L$4,IF(AND(OR(D817="T. domingensis",D817="T. latifolia"),J817&gt;0),J817*[1]Sheet1!$G$5+K817*[1]Sheet1!$H$5+L817*[1]Sheet1!$I$5+[1]Sheet1!$L$5,0)))))))</f>
        <v>11.022366094786493</v>
      </c>
      <c r="P817">
        <f t="shared" si="37"/>
        <v>11.022366094786493</v>
      </c>
      <c r="S817">
        <f t="shared" si="38"/>
        <v>1.4957109989999997</v>
      </c>
    </row>
    <row r="818" spans="1:19">
      <c r="A818" s="5">
        <v>42501</v>
      </c>
      <c r="B818" t="s">
        <v>24</v>
      </c>
      <c r="C818">
        <v>32</v>
      </c>
      <c r="D818" t="s">
        <v>62</v>
      </c>
      <c r="E818">
        <v>186</v>
      </c>
      <c r="F818" s="6">
        <v>1.1499999999999999</v>
      </c>
      <c r="N818">
        <f t="shared" si="36"/>
        <v>64.398668012499982</v>
      </c>
      <c r="O818">
        <f>IF(AND(OR(D818="S. acutus",D818="S. californicus",D818="S. tabernaemontani"),G818=0),E818*[1]Sheet1!$D$7+[1]Sheet1!$L$7,IF(AND(OR(D818="S. acutus",D818="S. tabernaemontani"),G818&gt;0),E818*[1]Sheet1!$D$8+N818*[1]Sheet1!$E$8,IF(AND(D818="S. californicus",G818&gt;0),E818*[1]Sheet1!$D$9+N818*[1]Sheet1!$E$9,IF(D818="S. maritimus",F818*[1]Sheet1!$C$10+E818*[1]Sheet1!$D$10+G818*[1]Sheet1!$F$10+[1]Sheet1!$L$10,IF(D818="S. americanus",F818*[1]Sheet1!$C$6+E818*[1]Sheet1!$D$6+[1]Sheet1!$L$6,IF(AND(OR(D818="T. domingensis",D818="T. latifolia"),E818&gt;0),F818*[1]Sheet1!$C$4+E818*[1]Sheet1!$D$4+H818*[1]Sheet1!$J$4+I818*[1]Sheet1!$K$4+[1]Sheet1!$L$4,IF(AND(OR(D818="T. domingensis",D818="T. latifolia"),J818&gt;0),J818*[1]Sheet1!$G$5+K818*[1]Sheet1!$H$5+L818*[1]Sheet1!$I$5+[1]Sheet1!$L$5,0)))))))</f>
        <v>8.4489330000000002</v>
      </c>
      <c r="P818">
        <f t="shared" si="37"/>
        <v>8.4489330000000002</v>
      </c>
      <c r="S818">
        <f t="shared" si="38"/>
        <v>1.0386881937499999</v>
      </c>
    </row>
    <row r="819" spans="1:19">
      <c r="A819" s="5">
        <v>42501</v>
      </c>
      <c r="B819" t="s">
        <v>24</v>
      </c>
      <c r="C819">
        <v>32</v>
      </c>
      <c r="D819" t="s">
        <v>62</v>
      </c>
      <c r="E819">
        <v>228</v>
      </c>
      <c r="F819" s="6">
        <v>2</v>
      </c>
      <c r="G819">
        <v>3</v>
      </c>
      <c r="N819">
        <f t="shared" si="36"/>
        <v>238.76083999999997</v>
      </c>
      <c r="O819">
        <f>IF(AND(OR(D819="S. acutus",D819="S. californicus",D819="S. tabernaemontani"),G819=0),E819*[1]Sheet1!$D$7+[1]Sheet1!$L$7,IF(AND(OR(D819="S. acutus",D819="S. tabernaemontani"),G819&gt;0),E819*[1]Sheet1!$D$8+N819*[1]Sheet1!$E$8,IF(AND(D819="S. californicus",G819&gt;0),E819*[1]Sheet1!$D$9+N819*[1]Sheet1!$E$9,IF(D819="S. maritimus",F819*[1]Sheet1!$C$10+E819*[1]Sheet1!$D$10+G819*[1]Sheet1!$F$10+[1]Sheet1!$L$10,IF(D819="S. americanus",F819*[1]Sheet1!$C$6+E819*[1]Sheet1!$D$6+[1]Sheet1!$L$6,IF(AND(OR(D819="T. domingensis",D819="T. latifolia"),E819&gt;0),F819*[1]Sheet1!$C$4+E819*[1]Sheet1!$D$4+H819*[1]Sheet1!$J$4+I819*[1]Sheet1!$K$4+[1]Sheet1!$L$4,IF(AND(OR(D819="T. domingensis",D819="T. latifolia"),J819&gt;0),J819*[1]Sheet1!$G$5+K819*[1]Sheet1!$H$5+L819*[1]Sheet1!$I$5+[1]Sheet1!$L$5,0)))))))</f>
        <v>19.35483348616</v>
      </c>
      <c r="P819">
        <f t="shared" si="37"/>
        <v>19.35483348616</v>
      </c>
      <c r="S819">
        <f t="shared" si="38"/>
        <v>3.1415899999999999</v>
      </c>
    </row>
    <row r="820" spans="1:19">
      <c r="A820" s="5">
        <v>42501</v>
      </c>
      <c r="B820" t="s">
        <v>24</v>
      </c>
      <c r="C820">
        <v>32</v>
      </c>
      <c r="D820" t="s">
        <v>62</v>
      </c>
      <c r="E820">
        <v>209</v>
      </c>
      <c r="F820" s="6">
        <v>1.5</v>
      </c>
      <c r="G820">
        <v>2</v>
      </c>
      <c r="N820">
        <f t="shared" si="36"/>
        <v>123.11105812499999</v>
      </c>
      <c r="O820">
        <f>IF(AND(OR(D820="S. acutus",D820="S. californicus",D820="S. tabernaemontani"),G820=0),E820*[1]Sheet1!$D$7+[1]Sheet1!$L$7,IF(AND(OR(D820="S. acutus",D820="S. tabernaemontani"),G820&gt;0),E820*[1]Sheet1!$D$8+N820*[1]Sheet1!$E$8,IF(AND(D820="S. californicus",G820&gt;0),E820*[1]Sheet1!$D$9+N820*[1]Sheet1!$E$9,IF(D820="S. maritimus",F820*[1]Sheet1!$C$10+E820*[1]Sheet1!$D$10+G820*[1]Sheet1!$F$10+[1]Sheet1!$L$10,IF(D820="S. americanus",F820*[1]Sheet1!$C$6+E820*[1]Sheet1!$D$6+[1]Sheet1!$L$6,IF(AND(OR(D820="T. domingensis",D820="T. latifolia"),E820&gt;0),F820*[1]Sheet1!$C$4+E820*[1]Sheet1!$D$4+H820*[1]Sheet1!$J$4+I820*[1]Sheet1!$K$4+[1]Sheet1!$L$4,IF(AND(OR(D820="T. domingensis",D820="T. latifolia"),J820&gt;0),J820*[1]Sheet1!$G$5+K820*[1]Sheet1!$H$5+L820*[1]Sheet1!$I$5+[1]Sheet1!$L$5,0)))))))</f>
        <v>12.21946956630125</v>
      </c>
      <c r="P820">
        <f t="shared" si="37"/>
        <v>12.21946956630125</v>
      </c>
      <c r="S820">
        <f t="shared" si="38"/>
        <v>1.767144375</v>
      </c>
    </row>
    <row r="821" spans="1:19">
      <c r="A821" s="5">
        <v>42501</v>
      </c>
      <c r="B821" t="s">
        <v>24</v>
      </c>
      <c r="C821">
        <v>18</v>
      </c>
      <c r="D821" t="s">
        <v>61</v>
      </c>
      <c r="F821" s="6">
        <v>0.72</v>
      </c>
      <c r="J821">
        <f>71+100+112</f>
        <v>283</v>
      </c>
      <c r="K821">
        <v>3</v>
      </c>
      <c r="L821">
        <v>112</v>
      </c>
      <c r="N821" t="str">
        <f t="shared" si="36"/>
        <v>NA</v>
      </c>
      <c r="O821">
        <f>IF(AND(OR(D821="S. acutus",D821="S. californicus",D821="S. tabernaemontani"),G821=0),E821*[1]Sheet1!$D$7+[1]Sheet1!$L$7,IF(AND(OR(D821="S. acutus",D821="S. tabernaemontani"),G821&gt;0),E821*[1]Sheet1!$D$8+N821*[1]Sheet1!$E$8,IF(AND(D821="S. californicus",G821&gt;0),E821*[1]Sheet1!$D$9+N821*[1]Sheet1!$E$9,IF(D821="S. maritimus",F821*[1]Sheet1!$C$10+E821*[1]Sheet1!$D$10+G821*[1]Sheet1!$F$10+[1]Sheet1!$L$10,IF(D821="S. americanus",F821*[1]Sheet1!$C$6+E821*[1]Sheet1!$D$6+[1]Sheet1!$L$6,IF(AND(OR(D821="T. domingensis",D821="T. latifolia"),E821&gt;0),F821*[1]Sheet1!$C$4+E821*[1]Sheet1!$D$4+H821*[1]Sheet1!$J$4+I821*[1]Sheet1!$K$4+[1]Sheet1!$L$4,IF(AND(OR(D821="T. domingensis",D821="T. latifolia"),J821&gt;0),J821*[1]Sheet1!$G$5+K821*[1]Sheet1!$H$5+L821*[1]Sheet1!$I$5+[1]Sheet1!$L$5,0)))))))</f>
        <v>4.763149999999996</v>
      </c>
      <c r="P821">
        <f t="shared" si="37"/>
        <v>4.763149999999996</v>
      </c>
      <c r="S821">
        <f t="shared" si="38"/>
        <v>0.40715006399999998</v>
      </c>
    </row>
    <row r="822" spans="1:19">
      <c r="A822" s="5">
        <v>42501</v>
      </c>
      <c r="B822" t="s">
        <v>24</v>
      </c>
      <c r="C822">
        <v>18</v>
      </c>
      <c r="D822" t="s">
        <v>61</v>
      </c>
      <c r="F822" s="6">
        <v>4.57</v>
      </c>
      <c r="J822">
        <f>114+171+200+220+224</f>
        <v>929</v>
      </c>
      <c r="K822">
        <v>5</v>
      </c>
      <c r="L822">
        <v>224</v>
      </c>
      <c r="N822" t="str">
        <f t="shared" si="36"/>
        <v>NA</v>
      </c>
      <c r="O822">
        <f>IF(AND(OR(D822="S. acutus",D822="S. californicus",D822="S. tabernaemontani"),G822=0),E822*[1]Sheet1!$D$7+[1]Sheet1!$L$7,IF(AND(OR(D822="S. acutus",D822="S. tabernaemontani"),G822&gt;0),E822*[1]Sheet1!$D$8+N822*[1]Sheet1!$E$8,IF(AND(D822="S. californicus",G822&gt;0),E822*[1]Sheet1!$D$9+N822*[1]Sheet1!$E$9,IF(D822="S. maritimus",F822*[1]Sheet1!$C$10+E822*[1]Sheet1!$D$10+G822*[1]Sheet1!$F$10+[1]Sheet1!$L$10,IF(D822="S. americanus",F822*[1]Sheet1!$C$6+E822*[1]Sheet1!$D$6+[1]Sheet1!$L$6,IF(AND(OR(D822="T. domingensis",D822="T. latifolia"),E822&gt;0),F822*[1]Sheet1!$C$4+E822*[1]Sheet1!$D$4+H822*[1]Sheet1!$J$4+I822*[1]Sheet1!$K$4+[1]Sheet1!$L$4,IF(AND(OR(D822="T. domingensis",D822="T. latifolia"),J822&gt;0),J822*[1]Sheet1!$G$5+K822*[1]Sheet1!$H$5+L822*[1]Sheet1!$I$5+[1]Sheet1!$L$5,0)))))))</f>
        <v>17.544734000000005</v>
      </c>
      <c r="P822">
        <f t="shared" si="37"/>
        <v>17.544734000000005</v>
      </c>
      <c r="S822">
        <f t="shared" si="38"/>
        <v>16.40294824775</v>
      </c>
    </row>
    <row r="823" spans="1:19">
      <c r="A823" s="5">
        <v>42501</v>
      </c>
      <c r="B823" t="s">
        <v>24</v>
      </c>
      <c r="C823">
        <v>18</v>
      </c>
      <c r="D823" t="s">
        <v>61</v>
      </c>
      <c r="F823" s="6">
        <v>3.54</v>
      </c>
      <c r="J823">
        <f>146+164+168+149+192+230+233+246</f>
        <v>1528</v>
      </c>
      <c r="K823">
        <v>8</v>
      </c>
      <c r="L823">
        <v>246</v>
      </c>
      <c r="N823" t="str">
        <f t="shared" si="36"/>
        <v>NA</v>
      </c>
      <c r="O823">
        <f>IF(AND(OR(D823="S. acutus",D823="S. californicus",D823="S. tabernaemontani"),G823=0),E823*[1]Sheet1!$D$7+[1]Sheet1!$L$7,IF(AND(OR(D823="S. acutus",D823="S. tabernaemontani"),G823&gt;0),E823*[1]Sheet1!$D$8+N823*[1]Sheet1!$E$8,IF(AND(D823="S. californicus",G823&gt;0),E823*[1]Sheet1!$D$9+N823*[1]Sheet1!$E$9,IF(D823="S. maritimus",F823*[1]Sheet1!$C$10+E823*[1]Sheet1!$D$10+G823*[1]Sheet1!$F$10+[1]Sheet1!$L$10,IF(D823="S. americanus",F823*[1]Sheet1!$C$6+E823*[1]Sheet1!$D$6+[1]Sheet1!$L$6,IF(AND(OR(D823="T. domingensis",D823="T. latifolia"),E823&gt;0),F823*[1]Sheet1!$C$4+E823*[1]Sheet1!$D$4+H823*[1]Sheet1!$J$4+I823*[1]Sheet1!$K$4+[1]Sheet1!$L$4,IF(AND(OR(D823="T. domingensis",D823="T. latifolia"),J823&gt;0),J823*[1]Sheet1!$G$5+K823*[1]Sheet1!$H$5+L823*[1]Sheet1!$I$5+[1]Sheet1!$L$5,0)))))))</f>
        <v>46.009530000000019</v>
      </c>
      <c r="P823">
        <f t="shared" si="37"/>
        <v>46.009530000000019</v>
      </c>
      <c r="S823">
        <f t="shared" si="38"/>
        <v>9.8422873109999998</v>
      </c>
    </row>
    <row r="824" spans="1:19">
      <c r="A824" s="5">
        <v>42501</v>
      </c>
      <c r="B824" t="s">
        <v>24</v>
      </c>
      <c r="C824">
        <v>18</v>
      </c>
      <c r="D824" t="s">
        <v>61</v>
      </c>
      <c r="F824" s="6">
        <v>3.41</v>
      </c>
      <c r="J824">
        <f>109+149+152+168+191+198+206</f>
        <v>1173</v>
      </c>
      <c r="K824">
        <v>7</v>
      </c>
      <c r="L824">
        <v>206</v>
      </c>
      <c r="N824" t="str">
        <f t="shared" si="36"/>
        <v>NA</v>
      </c>
      <c r="O824">
        <f>IF(AND(OR(D824="S. acutus",D824="S. californicus",D824="S. tabernaemontani"),G824=0),E824*[1]Sheet1!$D$7+[1]Sheet1!$L$7,IF(AND(OR(D824="S. acutus",D824="S. tabernaemontani"),G824&gt;0),E824*[1]Sheet1!$D$8+N824*[1]Sheet1!$E$8,IF(AND(D824="S. californicus",G824&gt;0),E824*[1]Sheet1!$D$9+N824*[1]Sheet1!$E$9,IF(D824="S. maritimus",F824*[1]Sheet1!$C$10+E824*[1]Sheet1!$D$10+G824*[1]Sheet1!$F$10+[1]Sheet1!$L$10,IF(D824="S. americanus",F824*[1]Sheet1!$C$6+E824*[1]Sheet1!$D$6+[1]Sheet1!$L$6,IF(AND(OR(D824="T. domingensis",D824="T. latifolia"),E824&gt;0),F824*[1]Sheet1!$C$4+E824*[1]Sheet1!$D$4+H824*[1]Sheet1!$J$4+I824*[1]Sheet1!$K$4+[1]Sheet1!$L$4,IF(AND(OR(D824="T. domingensis",D824="T. latifolia"),J824&gt;0),J824*[1]Sheet1!$G$5+K824*[1]Sheet1!$H$5+L824*[1]Sheet1!$I$5+[1]Sheet1!$L$5,0)))))))</f>
        <v>31.798658000000003</v>
      </c>
      <c r="P824">
        <f t="shared" si="37"/>
        <v>31.798658000000003</v>
      </c>
      <c r="S824">
        <f t="shared" si="38"/>
        <v>9.1326806697500018</v>
      </c>
    </row>
    <row r="825" spans="1:19">
      <c r="A825" s="5">
        <v>42501</v>
      </c>
      <c r="B825" t="s">
        <v>24</v>
      </c>
      <c r="C825">
        <v>18</v>
      </c>
      <c r="D825" t="s">
        <v>61</v>
      </c>
      <c r="F825" s="6">
        <v>2.16</v>
      </c>
      <c r="J825">
        <f>92+110+108+149+164+180+201+213</f>
        <v>1217</v>
      </c>
      <c r="K825">
        <v>8</v>
      </c>
      <c r="L825">
        <v>213</v>
      </c>
      <c r="N825" t="str">
        <f t="shared" si="36"/>
        <v>NA</v>
      </c>
      <c r="O825">
        <f>IF(AND(OR(D825="S. acutus",D825="S. californicus",D825="S. tabernaemontani"),G825=0),E825*[1]Sheet1!$D$7+[1]Sheet1!$L$7,IF(AND(OR(D825="S. acutus",D825="S. tabernaemontani"),G825&gt;0),E825*[1]Sheet1!$D$8+N825*[1]Sheet1!$E$8,IF(AND(D825="S. californicus",G825&gt;0),E825*[1]Sheet1!$D$9+N825*[1]Sheet1!$E$9,IF(D825="S. maritimus",F825*[1]Sheet1!$C$10+E825*[1]Sheet1!$D$10+G825*[1]Sheet1!$F$10+[1]Sheet1!$L$10,IF(D825="S. americanus",F825*[1]Sheet1!$C$6+E825*[1]Sheet1!$D$6+[1]Sheet1!$L$6,IF(AND(OR(D825="T. domingensis",D825="T. latifolia"),E825&gt;0),F825*[1]Sheet1!$C$4+E825*[1]Sheet1!$D$4+H825*[1]Sheet1!$J$4+I825*[1]Sheet1!$K$4+[1]Sheet1!$L$4,IF(AND(OR(D825="T. domingensis",D825="T. latifolia"),J825&gt;0),J825*[1]Sheet1!$G$5+K825*[1]Sheet1!$H$5+L825*[1]Sheet1!$I$5+[1]Sheet1!$L$5,0)))))))</f>
        <v>26.792810000000017</v>
      </c>
      <c r="P825">
        <f t="shared" si="37"/>
        <v>26.792810000000017</v>
      </c>
      <c r="S825">
        <f t="shared" si="38"/>
        <v>3.6643505760000004</v>
      </c>
    </row>
    <row r="826" spans="1:19">
      <c r="A826" s="5">
        <v>42501</v>
      </c>
      <c r="B826" t="s">
        <v>24</v>
      </c>
      <c r="C826">
        <v>18</v>
      </c>
      <c r="D826" t="s">
        <v>61</v>
      </c>
      <c r="F826" s="6">
        <v>3.19</v>
      </c>
      <c r="J826">
        <f>118+151+171+179+167+165+220+236+247+260+261</f>
        <v>2175</v>
      </c>
      <c r="K826">
        <v>11</v>
      </c>
      <c r="L826">
        <v>261</v>
      </c>
      <c r="N826" t="str">
        <f t="shared" si="36"/>
        <v>NA</v>
      </c>
      <c r="O826">
        <f>IF(AND(OR(D826="S. acutus",D826="S. californicus",D826="S. tabernaemontani"),G826=0),E826*[1]Sheet1!$D$7+[1]Sheet1!$L$7,IF(AND(OR(D826="S. acutus",D826="S. tabernaemontani"),G826&gt;0),E826*[1]Sheet1!$D$8+N826*[1]Sheet1!$E$8,IF(AND(D826="S. californicus",G826&gt;0),E826*[1]Sheet1!$D$9+N826*[1]Sheet1!$E$9,IF(D826="S. maritimus",F826*[1]Sheet1!$C$10+E826*[1]Sheet1!$D$10+G826*[1]Sheet1!$F$10+[1]Sheet1!$L$10,IF(D826="S. americanus",F826*[1]Sheet1!$C$6+E826*[1]Sheet1!$D$6+[1]Sheet1!$L$6,IF(AND(OR(D826="T. domingensis",D826="T. latifolia"),E826&gt;0),F826*[1]Sheet1!$C$4+E826*[1]Sheet1!$D$4+H826*[1]Sheet1!$J$4+I826*[1]Sheet1!$K$4+[1]Sheet1!$L$4,IF(AND(OR(D826="T. domingensis",D826="T. latifolia"),J826&gt;0),J826*[1]Sheet1!$G$5+K826*[1]Sheet1!$H$5+L826*[1]Sheet1!$I$5+[1]Sheet1!$L$5,0)))))))</f>
        <v>81.083280999999999</v>
      </c>
      <c r="P826">
        <f t="shared" si="37"/>
        <v>81.083280999999999</v>
      </c>
      <c r="S826">
        <f t="shared" si="38"/>
        <v>7.9922834997500001</v>
      </c>
    </row>
    <row r="827" spans="1:19">
      <c r="A827" s="5">
        <v>42501</v>
      </c>
      <c r="B827" t="s">
        <v>24</v>
      </c>
      <c r="C827">
        <v>18</v>
      </c>
      <c r="D827" t="s">
        <v>61</v>
      </c>
      <c r="F827" s="6">
        <v>3.64</v>
      </c>
      <c r="J827">
        <f>130+131+139+150+210+205+232+231</f>
        <v>1428</v>
      </c>
      <c r="K827">
        <v>8</v>
      </c>
      <c r="L827">
        <v>231</v>
      </c>
      <c r="N827" t="str">
        <f t="shared" si="36"/>
        <v>NA</v>
      </c>
      <c r="O827">
        <f>IF(AND(OR(D827="S. acutus",D827="S. californicus",D827="S. tabernaemontani"),G827=0),E827*[1]Sheet1!$D$7+[1]Sheet1!$L$7,IF(AND(OR(D827="S. acutus",D827="S. tabernaemontani"),G827&gt;0),E827*[1]Sheet1!$D$8+N827*[1]Sheet1!$E$8,IF(AND(D827="S. californicus",G827&gt;0),E827*[1]Sheet1!$D$9+N827*[1]Sheet1!$E$9,IF(D827="S. maritimus",F827*[1]Sheet1!$C$10+E827*[1]Sheet1!$D$10+G827*[1]Sheet1!$F$10+[1]Sheet1!$L$10,IF(D827="S. americanus",F827*[1]Sheet1!$C$6+E827*[1]Sheet1!$D$6+[1]Sheet1!$L$6,IF(AND(OR(D827="T. domingensis",D827="T. latifolia"),E827&gt;0),F827*[1]Sheet1!$C$4+E827*[1]Sheet1!$D$4+H827*[1]Sheet1!$J$4+I827*[1]Sheet1!$K$4+[1]Sheet1!$L$4,IF(AND(OR(D827="T. domingensis",D827="T. latifolia"),J827&gt;0),J827*[1]Sheet1!$G$5+K827*[1]Sheet1!$H$5+L827*[1]Sheet1!$I$5+[1]Sheet1!$L$5,0)))))))</f>
        <v>41.152705000000033</v>
      </c>
      <c r="P827">
        <f t="shared" si="37"/>
        <v>41.152705000000033</v>
      </c>
      <c r="S827">
        <f t="shared" si="38"/>
        <v>10.406202716000001</v>
      </c>
    </row>
    <row r="828" spans="1:19">
      <c r="A828" s="5">
        <v>42501</v>
      </c>
      <c r="B828" t="s">
        <v>24</v>
      </c>
      <c r="C828">
        <v>18</v>
      </c>
      <c r="D828" t="s">
        <v>61</v>
      </c>
      <c r="F828" s="6">
        <v>2.86</v>
      </c>
      <c r="J828">
        <f>110+174+175+207+231+217</f>
        <v>1114</v>
      </c>
      <c r="K828">
        <v>6</v>
      </c>
      <c r="L828">
        <v>217</v>
      </c>
      <c r="N828" t="str">
        <f t="shared" si="36"/>
        <v>NA</v>
      </c>
      <c r="O828">
        <f>IF(AND(OR(D828="S. acutus",D828="S. californicus",D828="S. tabernaemontani"),G828=0),E828*[1]Sheet1!$D$7+[1]Sheet1!$L$7,IF(AND(OR(D828="S. acutus",D828="S. tabernaemontani"),G828&gt;0),E828*[1]Sheet1!$D$8+N828*[1]Sheet1!$E$8,IF(AND(D828="S. californicus",G828&gt;0),E828*[1]Sheet1!$D$9+N828*[1]Sheet1!$E$9,IF(D828="S. maritimus",F828*[1]Sheet1!$C$10+E828*[1]Sheet1!$D$10+G828*[1]Sheet1!$F$10+[1]Sheet1!$L$10,IF(D828="S. americanus",F828*[1]Sheet1!$C$6+E828*[1]Sheet1!$D$6+[1]Sheet1!$L$6,IF(AND(OR(D828="T. domingensis",D828="T. latifolia"),E828&gt;0),F828*[1]Sheet1!$C$4+E828*[1]Sheet1!$D$4+H828*[1]Sheet1!$J$4+I828*[1]Sheet1!$K$4+[1]Sheet1!$L$4,IF(AND(OR(D828="T. domingensis",D828="T. latifolia"),J828&gt;0),J828*[1]Sheet1!$G$5+K828*[1]Sheet1!$H$5+L828*[1]Sheet1!$I$5+[1]Sheet1!$L$5,0)))))))</f>
        <v>29.975771000000002</v>
      </c>
      <c r="P828">
        <f t="shared" si="37"/>
        <v>29.975771000000002</v>
      </c>
      <c r="S828">
        <f t="shared" si="38"/>
        <v>6.4242373909999992</v>
      </c>
    </row>
    <row r="829" spans="1:19">
      <c r="A829" s="5">
        <v>42501</v>
      </c>
      <c r="B829" t="s">
        <v>24</v>
      </c>
      <c r="C829">
        <v>18</v>
      </c>
      <c r="D829" t="s">
        <v>61</v>
      </c>
      <c r="F829" s="6">
        <v>3.5</v>
      </c>
      <c r="J829">
        <f>86+128+157+166+198+218+231+255+264</f>
        <v>1703</v>
      </c>
      <c r="K829">
        <v>9</v>
      </c>
      <c r="L829">
        <v>264</v>
      </c>
      <c r="N829" t="str">
        <f t="shared" si="36"/>
        <v>NA</v>
      </c>
      <c r="O829">
        <f>IF(AND(OR(D829="S. acutus",D829="S. californicus",D829="S. tabernaemontani"),G829=0),E829*[1]Sheet1!$D$7+[1]Sheet1!$L$7,IF(AND(OR(D829="S. acutus",D829="S. tabernaemontani"),G829&gt;0),E829*[1]Sheet1!$D$8+N829*[1]Sheet1!$E$8,IF(AND(D829="S. californicus",G829&gt;0),E829*[1]Sheet1!$D$9+N829*[1]Sheet1!$E$9,IF(D829="S. maritimus",F829*[1]Sheet1!$C$10+E829*[1]Sheet1!$D$10+G829*[1]Sheet1!$F$10+[1]Sheet1!$L$10,IF(D829="S. americanus",F829*[1]Sheet1!$C$6+E829*[1]Sheet1!$D$6+[1]Sheet1!$L$6,IF(AND(OR(D829="T. domingensis",D829="T. latifolia"),E829&gt;0),F829*[1]Sheet1!$C$4+E829*[1]Sheet1!$D$4+H829*[1]Sheet1!$J$4+I829*[1]Sheet1!$K$4+[1]Sheet1!$L$4,IF(AND(OR(D829="T. domingensis",D829="T. latifolia"),J829&gt;0),J829*[1]Sheet1!$G$5+K829*[1]Sheet1!$H$5+L829*[1]Sheet1!$I$5+[1]Sheet1!$L$5,0)))))))</f>
        <v>49.971892000000018</v>
      </c>
      <c r="P829">
        <f t="shared" si="37"/>
        <v>49.971892000000018</v>
      </c>
      <c r="S829">
        <f t="shared" si="38"/>
        <v>9.6211193749999993</v>
      </c>
    </row>
    <row r="830" spans="1:19">
      <c r="A830" s="5">
        <v>42501</v>
      </c>
      <c r="B830" t="s">
        <v>24</v>
      </c>
      <c r="C830">
        <v>18</v>
      </c>
      <c r="D830" t="s">
        <v>61</v>
      </c>
      <c r="F830" s="6">
        <v>3.04</v>
      </c>
      <c r="J830">
        <f>85+88+119+151+153+175+187</f>
        <v>958</v>
      </c>
      <c r="K830">
        <v>7</v>
      </c>
      <c r="L830">
        <v>187</v>
      </c>
      <c r="N830" t="str">
        <f t="shared" si="36"/>
        <v>NA</v>
      </c>
      <c r="O830">
        <f>IF(AND(OR(D830="S. acutus",D830="S. californicus",D830="S. tabernaemontani"),G830=0),E830*[1]Sheet1!$D$7+[1]Sheet1!$L$7,IF(AND(OR(D830="S. acutus",D830="S. tabernaemontani"),G830&gt;0),E830*[1]Sheet1!$D$8+N830*[1]Sheet1!$E$8,IF(AND(D830="S. californicus",G830&gt;0),E830*[1]Sheet1!$D$9+N830*[1]Sheet1!$E$9,IF(D830="S. maritimus",F830*[1]Sheet1!$C$10+E830*[1]Sheet1!$D$10+G830*[1]Sheet1!$F$10+[1]Sheet1!$L$10,IF(D830="S. americanus",F830*[1]Sheet1!$C$6+E830*[1]Sheet1!$D$6+[1]Sheet1!$L$6,IF(AND(OR(D830="T. domingensis",D830="T. latifolia"),E830&gt;0),F830*[1]Sheet1!$C$4+E830*[1]Sheet1!$D$4+H830*[1]Sheet1!$J$4+I830*[1]Sheet1!$K$4+[1]Sheet1!$L$4,IF(AND(OR(D830="T. domingensis",D830="T. latifolia"),J830&gt;0),J830*[1]Sheet1!$G$5+K830*[1]Sheet1!$H$5+L830*[1]Sheet1!$I$5+[1]Sheet1!$L$5,0)))))))</f>
        <v>17.364988000000004</v>
      </c>
      <c r="P830">
        <f t="shared" si="37"/>
        <v>17.364988000000004</v>
      </c>
      <c r="S830">
        <f t="shared" si="38"/>
        <v>7.2583295359999997</v>
      </c>
    </row>
    <row r="831" spans="1:19">
      <c r="A831" s="5">
        <v>42501</v>
      </c>
      <c r="B831" t="s">
        <v>24</v>
      </c>
      <c r="C831">
        <v>18</v>
      </c>
      <c r="D831" t="s">
        <v>61</v>
      </c>
      <c r="F831" s="6">
        <v>1.18</v>
      </c>
      <c r="J831">
        <f>83+85+127+134</f>
        <v>429</v>
      </c>
      <c r="K831">
        <v>4</v>
      </c>
      <c r="L831">
        <v>134</v>
      </c>
      <c r="N831" t="str">
        <f t="shared" si="36"/>
        <v>NA</v>
      </c>
      <c r="O831">
        <f>IF(AND(OR(D831="S. acutus",D831="S. californicus",D831="S. tabernaemontani"),G831=0),E831*[1]Sheet1!$D$7+[1]Sheet1!$L$7,IF(AND(OR(D831="S. acutus",D831="S. tabernaemontani"),G831&gt;0),E831*[1]Sheet1!$D$8+N831*[1]Sheet1!$E$8,IF(AND(D831="S. californicus",G831&gt;0),E831*[1]Sheet1!$D$9+N831*[1]Sheet1!$E$9,IF(D831="S. maritimus",F831*[1]Sheet1!$C$10+E831*[1]Sheet1!$D$10+G831*[1]Sheet1!$F$10+[1]Sheet1!$L$10,IF(D831="S. americanus",F831*[1]Sheet1!$C$6+E831*[1]Sheet1!$D$6+[1]Sheet1!$L$6,IF(AND(OR(D831="T. domingensis",D831="T. latifolia"),E831&gt;0),F831*[1]Sheet1!$C$4+E831*[1]Sheet1!$D$4+H831*[1]Sheet1!$J$4+I831*[1]Sheet1!$K$4+[1]Sheet1!$L$4,IF(AND(OR(D831="T. domingensis",D831="T. latifolia"),J831&gt;0),J831*[1]Sheet1!$G$5+K831*[1]Sheet1!$H$5+L831*[1]Sheet1!$I$5+[1]Sheet1!$L$5,0)))))))</f>
        <v>4.8016369999999959</v>
      </c>
      <c r="P831">
        <f t="shared" si="37"/>
        <v>4.8016369999999959</v>
      </c>
      <c r="S831">
        <f t="shared" si="38"/>
        <v>1.0935874789999998</v>
      </c>
    </row>
    <row r="832" spans="1:19">
      <c r="A832" s="5">
        <v>42501</v>
      </c>
      <c r="B832" t="s">
        <v>24</v>
      </c>
      <c r="C832">
        <v>18</v>
      </c>
      <c r="D832" t="s">
        <v>61</v>
      </c>
      <c r="F832" s="6">
        <v>2</v>
      </c>
      <c r="J832">
        <f>66+99+100+122+129+138+140</f>
        <v>794</v>
      </c>
      <c r="K832">
        <v>7</v>
      </c>
      <c r="L832">
        <v>140</v>
      </c>
      <c r="N832" t="str">
        <f t="shared" si="36"/>
        <v>NA</v>
      </c>
      <c r="O832">
        <f>IF(AND(OR(D832="S. acutus",D832="S. californicus",D832="S. tabernaemontani"),G832=0),E832*[1]Sheet1!$D$7+[1]Sheet1!$L$7,IF(AND(OR(D832="S. acutus",D832="S. tabernaemontani"),G832&gt;0),E832*[1]Sheet1!$D$8+N832*[1]Sheet1!$E$8,IF(AND(D832="S. californicus",G832&gt;0),E832*[1]Sheet1!$D$9+N832*[1]Sheet1!$E$9,IF(D832="S. maritimus",F832*[1]Sheet1!$C$10+E832*[1]Sheet1!$D$10+G832*[1]Sheet1!$F$10+[1]Sheet1!$L$10,IF(D832="S. americanus",F832*[1]Sheet1!$C$6+E832*[1]Sheet1!$D$6+[1]Sheet1!$L$6,IF(AND(OR(D832="T. domingensis",D832="T. latifolia"),E832&gt;0),F832*[1]Sheet1!$C$4+E832*[1]Sheet1!$D$4+H832*[1]Sheet1!$J$4+I832*[1]Sheet1!$K$4+[1]Sheet1!$L$4,IF(AND(OR(D832="T. domingensis",D832="T. latifolia"),J832&gt;0),J832*[1]Sheet1!$G$5+K832*[1]Sheet1!$H$5+L832*[1]Sheet1!$I$5+[1]Sheet1!$L$5,0)))))))</f>
        <v>16.147683000000015</v>
      </c>
      <c r="P832">
        <f t="shared" si="37"/>
        <v>16.147683000000015</v>
      </c>
      <c r="S832">
        <f t="shared" si="38"/>
        <v>3.1415899999999999</v>
      </c>
    </row>
    <row r="833" spans="1:19">
      <c r="A833" s="5">
        <v>42501</v>
      </c>
      <c r="B833" t="s">
        <v>24</v>
      </c>
      <c r="C833">
        <v>18</v>
      </c>
      <c r="D833" t="s">
        <v>61</v>
      </c>
      <c r="F833" s="6">
        <v>2.8</v>
      </c>
      <c r="J833">
        <f>91+121+117+154+157+166</f>
        <v>806</v>
      </c>
      <c r="K833">
        <v>6</v>
      </c>
      <c r="L833">
        <v>166</v>
      </c>
      <c r="N833" t="str">
        <f t="shared" si="36"/>
        <v>NA</v>
      </c>
      <c r="O833">
        <f>IF(AND(OR(D833="S. acutus",D833="S. californicus",D833="S. tabernaemontani"),G833=0),E833*[1]Sheet1!$D$7+[1]Sheet1!$L$7,IF(AND(OR(D833="S. acutus",D833="S. tabernaemontani"),G833&gt;0),E833*[1]Sheet1!$D$8+N833*[1]Sheet1!$E$8,IF(AND(D833="S. californicus",G833&gt;0),E833*[1]Sheet1!$D$9+N833*[1]Sheet1!$E$9,IF(D833="S. maritimus",F833*[1]Sheet1!$C$10+E833*[1]Sheet1!$D$10+G833*[1]Sheet1!$F$10+[1]Sheet1!$L$10,IF(D833="S. americanus",F833*[1]Sheet1!$C$6+E833*[1]Sheet1!$D$6+[1]Sheet1!$L$6,IF(AND(OR(D833="T. domingensis",D833="T. latifolia"),E833&gt;0),F833*[1]Sheet1!$C$4+E833*[1]Sheet1!$D$4+H833*[1]Sheet1!$J$4+I833*[1]Sheet1!$K$4+[1]Sheet1!$L$4,IF(AND(OR(D833="T. domingensis",D833="T. latifolia"),J833&gt;0),J833*[1]Sheet1!$G$5+K833*[1]Sheet1!$H$5+L833*[1]Sheet1!$I$5+[1]Sheet1!$L$5,0)))))))</f>
        <v>16.462725999999996</v>
      </c>
      <c r="P833">
        <f t="shared" si="37"/>
        <v>16.462725999999996</v>
      </c>
      <c r="S833">
        <f t="shared" si="38"/>
        <v>6.1575163999999987</v>
      </c>
    </row>
    <row r="834" spans="1:19">
      <c r="A834" s="5">
        <v>42501</v>
      </c>
      <c r="B834" t="s">
        <v>24</v>
      </c>
      <c r="C834">
        <v>18</v>
      </c>
      <c r="D834" t="s">
        <v>61</v>
      </c>
      <c r="F834" s="6">
        <v>1.72</v>
      </c>
      <c r="J834">
        <f>96+113+132+146+174+183</f>
        <v>844</v>
      </c>
      <c r="K834">
        <v>6</v>
      </c>
      <c r="L834">
        <v>183</v>
      </c>
      <c r="N834" t="str">
        <f t="shared" si="36"/>
        <v>NA</v>
      </c>
      <c r="O834">
        <f>IF(AND(OR(D834="S. acutus",D834="S. californicus",D834="S. tabernaemontani"),G834=0),E834*[1]Sheet1!$D$7+[1]Sheet1!$L$7,IF(AND(OR(D834="S. acutus",D834="S. tabernaemontani"),G834&gt;0),E834*[1]Sheet1!$D$8+N834*[1]Sheet1!$E$8,IF(AND(D834="S. californicus",G834&gt;0),E834*[1]Sheet1!$D$9+N834*[1]Sheet1!$E$9,IF(D834="S. maritimus",F834*[1]Sheet1!$C$10+E834*[1]Sheet1!$D$10+G834*[1]Sheet1!$F$10+[1]Sheet1!$L$10,IF(D834="S. americanus",F834*[1]Sheet1!$C$6+E834*[1]Sheet1!$D$6+[1]Sheet1!$L$6,IF(AND(OR(D834="T. domingensis",D834="T. latifolia"),E834&gt;0),F834*[1]Sheet1!$C$4+E834*[1]Sheet1!$D$4+H834*[1]Sheet1!$J$4+I834*[1]Sheet1!$K$4+[1]Sheet1!$L$4,IF(AND(OR(D834="T. domingensis",D834="T. latifolia"),J834&gt;0),J834*[1]Sheet1!$G$5+K834*[1]Sheet1!$H$5+L834*[1]Sheet1!$I$5+[1]Sheet1!$L$5,0)))))))</f>
        <v>14.904251000000002</v>
      </c>
      <c r="P834">
        <f t="shared" si="37"/>
        <v>14.904251000000002</v>
      </c>
      <c r="S834">
        <f t="shared" si="38"/>
        <v>2.3235199639999995</v>
      </c>
    </row>
    <row r="835" spans="1:19">
      <c r="A835" s="5">
        <v>42501</v>
      </c>
      <c r="B835" t="s">
        <v>24</v>
      </c>
      <c r="C835">
        <v>18</v>
      </c>
      <c r="D835" t="s">
        <v>61</v>
      </c>
      <c r="F835" s="6">
        <v>1.0900000000000001</v>
      </c>
      <c r="J835">
        <f>68+95+48+110+115</f>
        <v>436</v>
      </c>
      <c r="K835">
        <v>5</v>
      </c>
      <c r="L835">
        <v>115</v>
      </c>
      <c r="N835" t="str">
        <f t="shared" si="36"/>
        <v>NA</v>
      </c>
      <c r="O835">
        <f>IF(AND(OR(D835="S. acutus",D835="S. californicus",D835="S. tabernaemontani"),G835=0),E835*[1]Sheet1!$D$7+[1]Sheet1!$L$7,IF(AND(OR(D835="S. acutus",D835="S. tabernaemontani"),G835&gt;0),E835*[1]Sheet1!$D$8+N835*[1]Sheet1!$E$8,IF(AND(D835="S. californicus",G835&gt;0),E835*[1]Sheet1!$D$9+N835*[1]Sheet1!$E$9,IF(D835="S. maritimus",F835*[1]Sheet1!$C$10+E835*[1]Sheet1!$D$10+G835*[1]Sheet1!$F$10+[1]Sheet1!$L$10,IF(D835="S. americanus",F835*[1]Sheet1!$C$6+E835*[1]Sheet1!$D$6+[1]Sheet1!$L$6,IF(AND(OR(D835="T. domingensis",D835="T. latifolia"),E835&gt;0),F835*[1]Sheet1!$C$4+E835*[1]Sheet1!$D$4+H835*[1]Sheet1!$J$4+I835*[1]Sheet1!$K$4+[1]Sheet1!$L$4,IF(AND(OR(D835="T. domingensis",D835="T. latifolia"),J835&gt;0),J835*[1]Sheet1!$G$5+K835*[1]Sheet1!$H$5+L835*[1]Sheet1!$I$5+[1]Sheet1!$L$5,0)))))))</f>
        <v>4.1592240000000018</v>
      </c>
      <c r="P835">
        <f t="shared" si="37"/>
        <v>4.1592240000000018</v>
      </c>
      <c r="S835">
        <f t="shared" si="38"/>
        <v>0.93313076975000009</v>
      </c>
    </row>
    <row r="836" spans="1:19">
      <c r="A836" s="5">
        <v>42501</v>
      </c>
      <c r="B836" t="s">
        <v>24</v>
      </c>
      <c r="C836">
        <v>18</v>
      </c>
      <c r="D836" t="s">
        <v>61</v>
      </c>
      <c r="F836" s="6">
        <v>3.15</v>
      </c>
      <c r="J836">
        <f>116+153+164+182+184+214+229+243+253+260</f>
        <v>1998</v>
      </c>
      <c r="K836">
        <v>10</v>
      </c>
      <c r="L836">
        <v>260</v>
      </c>
      <c r="N836" t="str">
        <f t="shared" ref="N836:N899" si="39">IF(OR(D836="S. acutus", D836="S. tabernaemontani", D836="S. californicus"),(1/3)*(3.14159)*((F836/2)^2)*E836,"NA")</f>
        <v>NA</v>
      </c>
      <c r="O836">
        <f>IF(AND(OR(D836="S. acutus",D836="S. californicus",D836="S. tabernaemontani"),G836=0),E836*[1]Sheet1!$D$7+[1]Sheet1!$L$7,IF(AND(OR(D836="S. acutus",D836="S. tabernaemontani"),G836&gt;0),E836*[1]Sheet1!$D$8+N836*[1]Sheet1!$E$8,IF(AND(D836="S. californicus",G836&gt;0),E836*[1]Sheet1!$D$9+N836*[1]Sheet1!$E$9,IF(D836="S. maritimus",F836*[1]Sheet1!$C$10+E836*[1]Sheet1!$D$10+G836*[1]Sheet1!$F$10+[1]Sheet1!$L$10,IF(D836="S. americanus",F836*[1]Sheet1!$C$6+E836*[1]Sheet1!$D$6+[1]Sheet1!$L$6,IF(AND(OR(D836="T. domingensis",D836="T. latifolia"),E836&gt;0),F836*[1]Sheet1!$C$4+E836*[1]Sheet1!$D$4+H836*[1]Sheet1!$J$4+I836*[1]Sheet1!$K$4+[1]Sheet1!$L$4,IF(AND(OR(D836="T. domingensis",D836="T. latifolia"),J836&gt;0),J836*[1]Sheet1!$G$5+K836*[1]Sheet1!$H$5+L836*[1]Sheet1!$I$5+[1]Sheet1!$L$5,0)))))))</f>
        <v>71.812244000000021</v>
      </c>
      <c r="P836">
        <f t="shared" ref="P836:P899" si="40">IF(O836&lt;0," ",O836)</f>
        <v>71.812244000000021</v>
      </c>
      <c r="S836">
        <f t="shared" ref="S836:S899" si="41">3.14159*((F836/2)^2)</f>
        <v>7.7931066937499995</v>
      </c>
    </row>
    <row r="837" spans="1:19">
      <c r="A837" s="5">
        <v>42501</v>
      </c>
      <c r="B837" t="s">
        <v>24</v>
      </c>
      <c r="C837">
        <v>18</v>
      </c>
      <c r="D837" t="s">
        <v>61</v>
      </c>
      <c r="F837" s="6">
        <v>1.51</v>
      </c>
      <c r="J837">
        <f>76+81+96+100+61+66</f>
        <v>480</v>
      </c>
      <c r="K837">
        <v>6</v>
      </c>
      <c r="L837">
        <v>100</v>
      </c>
      <c r="N837" t="str">
        <f t="shared" si="39"/>
        <v>NA</v>
      </c>
      <c r="O837">
        <f>IF(AND(OR(D837="S. acutus",D837="S. californicus",D837="S. tabernaemontani"),G837=0),E837*[1]Sheet1!$D$7+[1]Sheet1!$L$7,IF(AND(OR(D837="S. acutus",D837="S. tabernaemontani"),G837&gt;0),E837*[1]Sheet1!$D$8+N837*[1]Sheet1!$E$8,IF(AND(D837="S. californicus",G837&gt;0),E837*[1]Sheet1!$D$9+N837*[1]Sheet1!$E$9,IF(D837="S. maritimus",F837*[1]Sheet1!$C$10+E837*[1]Sheet1!$D$10+G837*[1]Sheet1!$F$10+[1]Sheet1!$L$10,IF(D837="S. americanus",F837*[1]Sheet1!$C$6+E837*[1]Sheet1!$D$6+[1]Sheet1!$L$6,IF(AND(OR(D837="T. domingensis",D837="T. latifolia"),E837&gt;0),F837*[1]Sheet1!$C$4+E837*[1]Sheet1!$D$4+H837*[1]Sheet1!$J$4+I837*[1]Sheet1!$K$4+[1]Sheet1!$L$4,IF(AND(OR(D837="T. domingensis",D837="T. latifolia"),J837&gt;0),J837*[1]Sheet1!$G$5+K837*[1]Sheet1!$H$5+L837*[1]Sheet1!$I$5+[1]Sheet1!$L$5,0)))))))</f>
        <v>5.7807659999999998</v>
      </c>
      <c r="P837">
        <f t="shared" si="40"/>
        <v>5.7807659999999998</v>
      </c>
      <c r="S837">
        <f t="shared" si="41"/>
        <v>1.7907848397499999</v>
      </c>
    </row>
    <row r="838" spans="1:19">
      <c r="A838" s="5">
        <v>42501</v>
      </c>
      <c r="B838" t="s">
        <v>24</v>
      </c>
      <c r="C838">
        <v>18</v>
      </c>
      <c r="D838" t="s">
        <v>61</v>
      </c>
      <c r="F838" s="6">
        <v>3.31</v>
      </c>
      <c r="J838">
        <f>119+163+171+188+212+217+243+253+253+270</f>
        <v>2089</v>
      </c>
      <c r="K838">
        <v>10</v>
      </c>
      <c r="L838">
        <v>270</v>
      </c>
      <c r="N838" t="str">
        <f t="shared" si="39"/>
        <v>NA</v>
      </c>
      <c r="O838">
        <f>IF(AND(OR(D838="S. acutus",D838="S. californicus",D838="S. tabernaemontani"),G838=0),E838*[1]Sheet1!$D$7+[1]Sheet1!$L$7,IF(AND(OR(D838="S. acutus",D838="S. tabernaemontani"),G838&gt;0),E838*[1]Sheet1!$D$8+N838*[1]Sheet1!$E$8,IF(AND(D838="S. californicus",G838&gt;0),E838*[1]Sheet1!$D$9+N838*[1]Sheet1!$E$9,IF(D838="S. maritimus",F838*[1]Sheet1!$C$10+E838*[1]Sheet1!$D$10+G838*[1]Sheet1!$F$10+[1]Sheet1!$L$10,IF(D838="S. americanus",F838*[1]Sheet1!$C$6+E838*[1]Sheet1!$D$6+[1]Sheet1!$L$6,IF(AND(OR(D838="T. domingensis",D838="T. latifolia"),E838&gt;0),F838*[1]Sheet1!$C$4+E838*[1]Sheet1!$D$4+H838*[1]Sheet1!$J$4+I838*[1]Sheet1!$K$4+[1]Sheet1!$L$4,IF(AND(OR(D838="T. domingensis",D838="T. latifolia"),J838&gt;0),J838*[1]Sheet1!$G$5+K838*[1]Sheet1!$H$5+L838*[1]Sheet1!$I$5+[1]Sheet1!$L$5,0)))))))</f>
        <v>77.331499000000008</v>
      </c>
      <c r="P838">
        <f t="shared" si="40"/>
        <v>77.331499000000008</v>
      </c>
      <c r="S838">
        <f t="shared" si="41"/>
        <v>8.6048935497500008</v>
      </c>
    </row>
    <row r="839" spans="1:19">
      <c r="A839" s="5">
        <v>42501</v>
      </c>
      <c r="B839" t="s">
        <v>24</v>
      </c>
      <c r="C839">
        <v>18</v>
      </c>
      <c r="D839" t="s">
        <v>61</v>
      </c>
      <c r="F839" s="6">
        <v>1.1599999999999999</v>
      </c>
      <c r="J839">
        <f>66+88+90+117+120+164</f>
        <v>645</v>
      </c>
      <c r="K839">
        <v>6</v>
      </c>
      <c r="L839">
        <v>164</v>
      </c>
      <c r="N839" t="str">
        <f t="shared" si="39"/>
        <v>NA</v>
      </c>
      <c r="O839">
        <f>IF(AND(OR(D839="S. acutus",D839="S. californicus",D839="S. tabernaemontani"),G839=0),E839*[1]Sheet1!$D$7+[1]Sheet1!$L$7,IF(AND(OR(D839="S. acutus",D839="S. tabernaemontani"),G839&gt;0),E839*[1]Sheet1!$D$8+N839*[1]Sheet1!$E$8,IF(AND(D839="S. californicus",G839&gt;0),E839*[1]Sheet1!$D$9+N839*[1]Sheet1!$E$9,IF(D839="S. maritimus",F839*[1]Sheet1!$C$10+E839*[1]Sheet1!$D$10+G839*[1]Sheet1!$F$10+[1]Sheet1!$L$10,IF(D839="S. americanus",F839*[1]Sheet1!$C$6+E839*[1]Sheet1!$D$6+[1]Sheet1!$L$6,IF(AND(OR(D839="T. domingensis",D839="T. latifolia"),E839&gt;0),F839*[1]Sheet1!$C$4+E839*[1]Sheet1!$D$4+H839*[1]Sheet1!$J$4+I839*[1]Sheet1!$K$4+[1]Sheet1!$L$4,IF(AND(OR(D839="T. domingensis",D839="T. latifolia"),J839&gt;0),J839*[1]Sheet1!$G$5+K839*[1]Sheet1!$H$5+L839*[1]Sheet1!$I$5+[1]Sheet1!$L$5,0)))))))</f>
        <v>1.9706609999999998</v>
      </c>
      <c r="P839">
        <f t="shared" si="40"/>
        <v>1.9706609999999998</v>
      </c>
      <c r="S839">
        <f t="shared" si="41"/>
        <v>1.0568308759999998</v>
      </c>
    </row>
    <row r="840" spans="1:19">
      <c r="A840" s="5">
        <v>42501</v>
      </c>
      <c r="B840" t="s">
        <v>24</v>
      </c>
      <c r="C840">
        <v>18</v>
      </c>
      <c r="D840" t="s">
        <v>61</v>
      </c>
      <c r="F840" s="6">
        <v>3.67</v>
      </c>
      <c r="J840">
        <f>143+153+192+222+243+254+264+280+281</f>
        <v>2032</v>
      </c>
      <c r="K840">
        <v>9</v>
      </c>
      <c r="L840">
        <v>281</v>
      </c>
      <c r="N840" t="str">
        <f t="shared" si="39"/>
        <v>NA</v>
      </c>
      <c r="O840">
        <f>IF(AND(OR(D840="S. acutus",D840="S. californicus",D840="S. tabernaemontani"),G840=0),E840*[1]Sheet1!$D$7+[1]Sheet1!$L$7,IF(AND(OR(D840="S. acutus",D840="S. tabernaemontani"),G840&gt;0),E840*[1]Sheet1!$D$8+N840*[1]Sheet1!$E$8,IF(AND(D840="S. californicus",G840&gt;0),E840*[1]Sheet1!$D$9+N840*[1]Sheet1!$E$9,IF(D840="S. maritimus",F840*[1]Sheet1!$C$10+E840*[1]Sheet1!$D$10+G840*[1]Sheet1!$F$10+[1]Sheet1!$L$10,IF(D840="S. americanus",F840*[1]Sheet1!$C$6+E840*[1]Sheet1!$D$6+[1]Sheet1!$L$6,IF(AND(OR(D840="T. domingensis",D840="T. latifolia"),E840&gt;0),F840*[1]Sheet1!$C$4+E840*[1]Sheet1!$D$4+H840*[1]Sheet1!$J$4+I840*[1]Sheet1!$K$4+[1]Sheet1!$L$4,IF(AND(OR(D840="T. domingensis",D840="T. latifolia"),J840&gt;0),J840*[1]Sheet1!$G$5+K840*[1]Sheet1!$H$5+L840*[1]Sheet1!$I$5+[1]Sheet1!$L$5,0)))))))</f>
        <v>75.696122000000003</v>
      </c>
      <c r="P840">
        <f t="shared" si="40"/>
        <v>75.696122000000003</v>
      </c>
      <c r="S840">
        <f t="shared" si="41"/>
        <v>10.57844038775</v>
      </c>
    </row>
    <row r="841" spans="1:19">
      <c r="A841" s="5">
        <v>42501</v>
      </c>
      <c r="B841" t="s">
        <v>24</v>
      </c>
      <c r="C841">
        <v>18</v>
      </c>
      <c r="D841" t="s">
        <v>61</v>
      </c>
      <c r="F841" s="6">
        <v>1.81</v>
      </c>
      <c r="J841">
        <f>75+100+122+126+141+160</f>
        <v>724</v>
      </c>
      <c r="K841">
        <v>6</v>
      </c>
      <c r="L841">
        <v>160</v>
      </c>
      <c r="N841" t="str">
        <f t="shared" si="39"/>
        <v>NA</v>
      </c>
      <c r="O841">
        <f>IF(AND(OR(D841="S. acutus",D841="S. californicus",D841="S. tabernaemontani"),G841=0),E841*[1]Sheet1!$D$7+[1]Sheet1!$L$7,IF(AND(OR(D841="S. acutus",D841="S. tabernaemontani"),G841&gt;0),E841*[1]Sheet1!$D$8+N841*[1]Sheet1!$E$8,IF(AND(D841="S. californicus",G841&gt;0),E841*[1]Sheet1!$D$9+N841*[1]Sheet1!$E$9,IF(D841="S. maritimus",F841*[1]Sheet1!$C$10+E841*[1]Sheet1!$D$10+G841*[1]Sheet1!$F$10+[1]Sheet1!$L$10,IF(D841="S. americanus",F841*[1]Sheet1!$C$6+E841*[1]Sheet1!$D$6+[1]Sheet1!$L$6,IF(AND(OR(D841="T. domingensis",D841="T. latifolia"),E841&gt;0),F841*[1]Sheet1!$C$4+E841*[1]Sheet1!$D$4+H841*[1]Sheet1!$J$4+I841*[1]Sheet1!$K$4+[1]Sheet1!$L$4,IF(AND(OR(D841="T. domingensis",D841="T. latifolia"),J841&gt;0),J841*[1]Sheet1!$G$5+K841*[1]Sheet1!$H$5+L841*[1]Sheet1!$I$5+[1]Sheet1!$L$5,0)))))))</f>
        <v>10.582285999999996</v>
      </c>
      <c r="P841">
        <f t="shared" si="40"/>
        <v>10.582285999999996</v>
      </c>
      <c r="S841">
        <f t="shared" si="41"/>
        <v>2.5730407497500001</v>
      </c>
    </row>
    <row r="842" spans="1:19">
      <c r="A842" s="5">
        <v>42501</v>
      </c>
      <c r="B842" t="s">
        <v>24</v>
      </c>
      <c r="C842">
        <v>18</v>
      </c>
      <c r="D842" t="s">
        <v>61</v>
      </c>
      <c r="F842" s="6">
        <v>4.8099999999999996</v>
      </c>
      <c r="J842">
        <f>76+102+136+164+161+191+211+212+231+228</f>
        <v>1712</v>
      </c>
      <c r="K842">
        <v>10</v>
      </c>
      <c r="L842">
        <v>231</v>
      </c>
      <c r="N842" t="str">
        <f t="shared" si="39"/>
        <v>NA</v>
      </c>
      <c r="O842">
        <f>IF(AND(OR(D842="S. acutus",D842="S. californicus",D842="S. tabernaemontani"),G842=0),E842*[1]Sheet1!$D$7+[1]Sheet1!$L$7,IF(AND(OR(D842="S. acutus",D842="S. tabernaemontani"),G842&gt;0),E842*[1]Sheet1!$D$8+N842*[1]Sheet1!$E$8,IF(AND(D842="S. californicus",G842&gt;0),E842*[1]Sheet1!$D$9+N842*[1]Sheet1!$E$9,IF(D842="S. maritimus",F842*[1]Sheet1!$C$10+E842*[1]Sheet1!$D$10+G842*[1]Sheet1!$F$10+[1]Sheet1!$L$10,IF(D842="S. americanus",F842*[1]Sheet1!$C$6+E842*[1]Sheet1!$D$6+[1]Sheet1!$L$6,IF(AND(OR(D842="T. domingensis",D842="T. latifolia"),E842&gt;0),F842*[1]Sheet1!$C$4+E842*[1]Sheet1!$D$4+H842*[1]Sheet1!$J$4+I842*[1]Sheet1!$K$4+[1]Sheet1!$L$4,IF(AND(OR(D842="T. domingensis",D842="T. latifolia"),J842&gt;0),J842*[1]Sheet1!$G$5+K842*[1]Sheet1!$H$5+L842*[1]Sheet1!$I$5+[1]Sheet1!$L$5,0)))))))</f>
        <v>53.734419000000024</v>
      </c>
      <c r="P842">
        <f t="shared" si="40"/>
        <v>53.734419000000024</v>
      </c>
      <c r="S842">
        <f t="shared" si="41"/>
        <v>18.171035099749997</v>
      </c>
    </row>
    <row r="843" spans="1:19">
      <c r="A843" s="5">
        <v>42501</v>
      </c>
      <c r="B843" t="s">
        <v>24</v>
      </c>
      <c r="C843">
        <v>18</v>
      </c>
      <c r="D843" t="s">
        <v>61</v>
      </c>
      <c r="F843" s="6">
        <v>1.3</v>
      </c>
      <c r="J843">
        <f>68+95+110+126+140</f>
        <v>539</v>
      </c>
      <c r="K843">
        <v>5</v>
      </c>
      <c r="L843">
        <v>140</v>
      </c>
      <c r="N843" t="str">
        <f t="shared" si="39"/>
        <v>NA</v>
      </c>
      <c r="O843">
        <f>IF(AND(OR(D843="S. acutus",D843="S. californicus",D843="S. tabernaemontani"),G843=0),E843*[1]Sheet1!$D$7+[1]Sheet1!$L$7,IF(AND(OR(D843="S. acutus",D843="S. tabernaemontani"),G843&gt;0),E843*[1]Sheet1!$D$8+N843*[1]Sheet1!$E$8,IF(AND(D843="S. californicus",G843&gt;0),E843*[1]Sheet1!$D$9+N843*[1]Sheet1!$E$9,IF(D843="S. maritimus",F843*[1]Sheet1!$C$10+E843*[1]Sheet1!$D$10+G843*[1]Sheet1!$F$10+[1]Sheet1!$L$10,IF(D843="S. americanus",F843*[1]Sheet1!$C$6+E843*[1]Sheet1!$D$6+[1]Sheet1!$L$6,IF(AND(OR(D843="T. domingensis",D843="T. latifolia"),E843&gt;0),F843*[1]Sheet1!$C$4+E843*[1]Sheet1!$D$4+H843*[1]Sheet1!$J$4+I843*[1]Sheet1!$K$4+[1]Sheet1!$L$4,IF(AND(OR(D843="T. domingensis",D843="T. latifolia"),J843&gt;0),J843*[1]Sheet1!$G$5+K843*[1]Sheet1!$H$5+L843*[1]Sheet1!$I$5+[1]Sheet1!$L$5,0)))))))</f>
        <v>6.284864000000006</v>
      </c>
      <c r="P843">
        <f t="shared" si="40"/>
        <v>6.284864000000006</v>
      </c>
      <c r="S843">
        <f t="shared" si="41"/>
        <v>1.3273217750000001</v>
      </c>
    </row>
    <row r="844" spans="1:19">
      <c r="A844" s="5">
        <v>42501</v>
      </c>
      <c r="B844" t="s">
        <v>24</v>
      </c>
      <c r="C844">
        <v>18</v>
      </c>
      <c r="D844" t="s">
        <v>61</v>
      </c>
      <c r="F844" s="6">
        <v>1.34</v>
      </c>
      <c r="J844">
        <f>62+76+100+120</f>
        <v>358</v>
      </c>
      <c r="K844">
        <v>4</v>
      </c>
      <c r="L844">
        <v>123</v>
      </c>
      <c r="N844" t="str">
        <f t="shared" si="39"/>
        <v>NA</v>
      </c>
      <c r="O844">
        <f>IF(AND(OR(D844="S. acutus",D844="S. californicus",D844="S. tabernaemontani"),G844=0),E844*[1]Sheet1!$D$7+[1]Sheet1!$L$7,IF(AND(OR(D844="S. acutus",D844="S. tabernaemontani"),G844&gt;0),E844*[1]Sheet1!$D$8+N844*[1]Sheet1!$E$8,IF(AND(D844="S. californicus",G844&gt;0),E844*[1]Sheet1!$D$9+N844*[1]Sheet1!$E$9,IF(D844="S. maritimus",F844*[1]Sheet1!$C$10+E844*[1]Sheet1!$D$10+G844*[1]Sheet1!$F$10+[1]Sheet1!$L$10,IF(D844="S. americanus",F844*[1]Sheet1!$C$6+E844*[1]Sheet1!$D$6+[1]Sheet1!$L$6,IF(AND(OR(D844="T. domingensis",D844="T. latifolia"),E844&gt;0),F844*[1]Sheet1!$C$4+E844*[1]Sheet1!$D$4+H844*[1]Sheet1!$J$4+I844*[1]Sheet1!$K$4+[1]Sheet1!$L$4,IF(AND(OR(D844="T. domingensis",D844="T. latifolia"),J844&gt;0),J844*[1]Sheet1!$G$5+K844*[1]Sheet1!$H$5+L844*[1]Sheet1!$I$5+[1]Sheet1!$L$5,0)))))))</f>
        <v>1.4587269999999997</v>
      </c>
      <c r="P844">
        <f t="shared" si="40"/>
        <v>1.4587269999999997</v>
      </c>
      <c r="S844">
        <f t="shared" si="41"/>
        <v>1.4102597510000001</v>
      </c>
    </row>
    <row r="845" spans="1:19">
      <c r="A845" s="5">
        <v>42501</v>
      </c>
      <c r="B845" t="s">
        <v>24</v>
      </c>
      <c r="C845">
        <v>18</v>
      </c>
      <c r="D845" t="s">
        <v>61</v>
      </c>
      <c r="F845" s="6">
        <v>1.87</v>
      </c>
      <c r="J845">
        <f>103+126+134+162+192+200</f>
        <v>917</v>
      </c>
      <c r="K845">
        <v>6</v>
      </c>
      <c r="L845">
        <v>200</v>
      </c>
      <c r="N845" t="str">
        <f t="shared" si="39"/>
        <v>NA</v>
      </c>
      <c r="O845">
        <f>IF(AND(OR(D845="S. acutus",D845="S. californicus",D845="S. tabernaemontani"),G845=0),E845*[1]Sheet1!$D$7+[1]Sheet1!$L$7,IF(AND(OR(D845="S. acutus",D845="S. tabernaemontani"),G845&gt;0),E845*[1]Sheet1!$D$8+N845*[1]Sheet1!$E$8,IF(AND(D845="S. californicus",G845&gt;0),E845*[1]Sheet1!$D$9+N845*[1]Sheet1!$E$9,IF(D845="S. maritimus",F845*[1]Sheet1!$C$10+E845*[1]Sheet1!$D$10+G845*[1]Sheet1!$F$10+[1]Sheet1!$L$10,IF(D845="S. americanus",F845*[1]Sheet1!$C$6+E845*[1]Sheet1!$D$6+[1]Sheet1!$L$6,IF(AND(OR(D845="T. domingensis",D845="T. latifolia"),E845&gt;0),F845*[1]Sheet1!$C$4+E845*[1]Sheet1!$D$4+H845*[1]Sheet1!$J$4+I845*[1]Sheet1!$K$4+[1]Sheet1!$L$4,IF(AND(OR(D845="T. domingensis",D845="T. latifolia"),J845&gt;0),J845*[1]Sheet1!$G$5+K845*[1]Sheet1!$H$5+L845*[1]Sheet1!$I$5+[1]Sheet1!$L$5,0)))))))</f>
        <v>16.627201000000007</v>
      </c>
      <c r="P845">
        <f t="shared" si="40"/>
        <v>16.627201000000007</v>
      </c>
      <c r="S845">
        <f t="shared" si="41"/>
        <v>2.7464565177500004</v>
      </c>
    </row>
    <row r="846" spans="1:19">
      <c r="A846" s="5">
        <v>42501</v>
      </c>
      <c r="B846" t="s">
        <v>24</v>
      </c>
      <c r="C846">
        <v>18</v>
      </c>
      <c r="D846" t="s">
        <v>61</v>
      </c>
      <c r="F846" s="6">
        <v>1.49</v>
      </c>
      <c r="J846">
        <f>82+100+111+127+125</f>
        <v>545</v>
      </c>
      <c r="K846">
        <v>5</v>
      </c>
      <c r="L846">
        <v>125</v>
      </c>
      <c r="N846" t="str">
        <f t="shared" si="39"/>
        <v>NA</v>
      </c>
      <c r="O846">
        <f>IF(AND(OR(D846="S. acutus",D846="S. californicus",D846="S. tabernaemontani"),G846=0),E846*[1]Sheet1!$D$7+[1]Sheet1!$L$7,IF(AND(OR(D846="S. acutus",D846="S. tabernaemontani"),G846&gt;0),E846*[1]Sheet1!$D$8+N846*[1]Sheet1!$E$8,IF(AND(D846="S. californicus",G846&gt;0),E846*[1]Sheet1!$D$9+N846*[1]Sheet1!$E$9,IF(D846="S. maritimus",F846*[1]Sheet1!$C$10+E846*[1]Sheet1!$D$10+G846*[1]Sheet1!$F$10+[1]Sheet1!$L$10,IF(D846="S. americanus",F846*[1]Sheet1!$C$6+E846*[1]Sheet1!$D$6+[1]Sheet1!$L$6,IF(AND(OR(D846="T. domingensis",D846="T. latifolia"),E846&gt;0),F846*[1]Sheet1!$C$4+E846*[1]Sheet1!$D$4+H846*[1]Sheet1!$J$4+I846*[1]Sheet1!$K$4+[1]Sheet1!$L$4,IF(AND(OR(D846="T. domingensis",D846="T. latifolia"),J846&gt;0),J846*[1]Sheet1!$G$5+K846*[1]Sheet1!$H$5+L846*[1]Sheet1!$I$5+[1]Sheet1!$L$5,0)))))))</f>
        <v>11.366069000000003</v>
      </c>
      <c r="P846">
        <f t="shared" si="40"/>
        <v>11.366069000000003</v>
      </c>
      <c r="S846">
        <f t="shared" si="41"/>
        <v>1.7436609897499999</v>
      </c>
    </row>
    <row r="847" spans="1:19">
      <c r="A847" s="5">
        <v>42501</v>
      </c>
      <c r="B847" t="s">
        <v>24</v>
      </c>
      <c r="C847">
        <v>18</v>
      </c>
      <c r="D847" t="s">
        <v>61</v>
      </c>
      <c r="F847" s="6">
        <v>1.52</v>
      </c>
      <c r="J847">
        <f>92+101+130+143+157+167</f>
        <v>790</v>
      </c>
      <c r="K847">
        <v>6</v>
      </c>
      <c r="L847">
        <v>167</v>
      </c>
      <c r="N847" t="str">
        <f t="shared" si="39"/>
        <v>NA</v>
      </c>
      <c r="O847">
        <f>IF(AND(OR(D847="S. acutus",D847="S. californicus",D847="S. tabernaemontani"),G847=0),E847*[1]Sheet1!$D$7+[1]Sheet1!$L$7,IF(AND(OR(D847="S. acutus",D847="S. tabernaemontani"),G847&gt;0),E847*[1]Sheet1!$D$8+N847*[1]Sheet1!$E$8,IF(AND(D847="S. californicus",G847&gt;0),E847*[1]Sheet1!$D$9+N847*[1]Sheet1!$E$9,IF(D847="S. maritimus",F847*[1]Sheet1!$C$10+E847*[1]Sheet1!$D$10+G847*[1]Sheet1!$F$10+[1]Sheet1!$L$10,IF(D847="S. americanus",F847*[1]Sheet1!$C$6+E847*[1]Sheet1!$D$6+[1]Sheet1!$L$6,IF(AND(OR(D847="T. domingensis",D847="T. latifolia"),E847&gt;0),F847*[1]Sheet1!$C$4+E847*[1]Sheet1!$D$4+H847*[1]Sheet1!$J$4+I847*[1]Sheet1!$K$4+[1]Sheet1!$L$4,IF(AND(OR(D847="T. domingensis",D847="T. latifolia"),J847&gt;0),J847*[1]Sheet1!$G$5+K847*[1]Sheet1!$H$5+L847*[1]Sheet1!$I$5+[1]Sheet1!$L$5,0)))))))</f>
        <v>14.661401000000005</v>
      </c>
      <c r="P847">
        <f t="shared" si="40"/>
        <v>14.661401000000005</v>
      </c>
      <c r="S847">
        <f t="shared" si="41"/>
        <v>1.8145823839999999</v>
      </c>
    </row>
    <row r="848" spans="1:19">
      <c r="A848" s="5">
        <v>42501</v>
      </c>
      <c r="B848" t="s">
        <v>24</v>
      </c>
      <c r="C848">
        <v>12</v>
      </c>
      <c r="D848" t="s">
        <v>62</v>
      </c>
      <c r="E848">
        <v>11</v>
      </c>
      <c r="F848" s="6">
        <v>0.3</v>
      </c>
      <c r="N848">
        <f t="shared" si="39"/>
        <v>0.25918117499999999</v>
      </c>
      <c r="O848">
        <f>IF(AND(OR(D848="S. acutus",D848="S. californicus",D848="S. tabernaemontani"),G848=0),E848*[1]Sheet1!$D$7+[1]Sheet1!$L$7,IF(AND(OR(D848="S. acutus",D848="S. tabernaemontani"),G848&gt;0),E848*[1]Sheet1!$D$8+N848*[1]Sheet1!$E$8,IF(AND(D848="S. californicus",G848&gt;0),E848*[1]Sheet1!$D$9+N848*[1]Sheet1!$E$9,IF(D848="S. maritimus",F848*[1]Sheet1!$C$10+E848*[1]Sheet1!$D$10+G848*[1]Sheet1!$F$10+[1]Sheet1!$L$10,IF(D848="S. americanus",F848*[1]Sheet1!$C$6+E848*[1]Sheet1!$D$6+[1]Sheet1!$L$6,IF(AND(OR(D848="T. domingensis",D848="T. latifolia"),E848&gt;0),F848*[1]Sheet1!$C$4+E848*[1]Sheet1!$D$4+H848*[1]Sheet1!$J$4+I848*[1]Sheet1!$K$4+[1]Sheet1!$L$4,IF(AND(OR(D848="T. domingensis",D848="T. latifolia"),J848&gt;0),J848*[1]Sheet1!$G$5+K848*[1]Sheet1!$H$5+L848*[1]Sheet1!$I$5+[1]Sheet1!$L$5,0)))))))</f>
        <v>-3.8194419999999996</v>
      </c>
      <c r="P848" t="str">
        <f t="shared" si="40"/>
        <v xml:space="preserve"> </v>
      </c>
      <c r="S848">
        <f t="shared" si="41"/>
        <v>7.0685774999999992E-2</v>
      </c>
    </row>
    <row r="849" spans="1:19">
      <c r="A849" s="5">
        <v>42501</v>
      </c>
      <c r="B849" t="s">
        <v>24</v>
      </c>
      <c r="C849">
        <v>12</v>
      </c>
      <c r="D849" t="s">
        <v>62</v>
      </c>
      <c r="E849">
        <v>12</v>
      </c>
      <c r="F849" s="6">
        <v>0.75</v>
      </c>
      <c r="N849">
        <f t="shared" si="39"/>
        <v>1.7671443749999998</v>
      </c>
      <c r="O849">
        <f>IF(AND(OR(D849="S. acutus",D849="S. californicus",D849="S. tabernaemontani"),G849=0),E849*[1]Sheet1!$D$7+[1]Sheet1!$L$7,IF(AND(OR(D849="S. acutus",D849="S. tabernaemontani"),G849&gt;0),E849*[1]Sheet1!$D$8+N849*[1]Sheet1!$E$8,IF(AND(D849="S. californicus",G849&gt;0),E849*[1]Sheet1!$D$9+N849*[1]Sheet1!$E$9,IF(D849="S. maritimus",F849*[1]Sheet1!$C$10+E849*[1]Sheet1!$D$10+G849*[1]Sheet1!$F$10+[1]Sheet1!$L$10,IF(D849="S. americanus",F849*[1]Sheet1!$C$6+E849*[1]Sheet1!$D$6+[1]Sheet1!$L$6,IF(AND(OR(D849="T. domingensis",D849="T. latifolia"),E849&gt;0),F849*[1]Sheet1!$C$4+E849*[1]Sheet1!$D$4+H849*[1]Sheet1!$J$4+I849*[1]Sheet1!$K$4+[1]Sheet1!$L$4,IF(AND(OR(D849="T. domingensis",D849="T. latifolia"),J849&gt;0),J849*[1]Sheet1!$G$5+K849*[1]Sheet1!$H$5+L849*[1]Sheet1!$I$5+[1]Sheet1!$L$5,0)))))))</f>
        <v>-3.7493369999999997</v>
      </c>
      <c r="P849" t="str">
        <f t="shared" si="40"/>
        <v xml:space="preserve"> </v>
      </c>
      <c r="S849">
        <f t="shared" si="41"/>
        <v>0.44178609375</v>
      </c>
    </row>
    <row r="850" spans="1:19">
      <c r="A850" s="5">
        <v>42501</v>
      </c>
      <c r="B850" t="s">
        <v>24</v>
      </c>
      <c r="C850">
        <v>12</v>
      </c>
      <c r="D850" t="s">
        <v>62</v>
      </c>
      <c r="E850">
        <v>18</v>
      </c>
      <c r="F850" s="6">
        <v>0.11</v>
      </c>
      <c r="N850">
        <f t="shared" si="39"/>
        <v>5.7019858499999992E-2</v>
      </c>
      <c r="O850">
        <f>IF(AND(OR(D850="S. acutus",D850="S. californicus",D850="S. tabernaemontani"),G850=0),E850*[1]Sheet1!$D$7+[1]Sheet1!$L$7,IF(AND(OR(D850="S. acutus",D850="S. tabernaemontani"),G850&gt;0),E850*[1]Sheet1!$D$8+N850*[1]Sheet1!$E$8,IF(AND(D850="S. californicus",G850&gt;0),E850*[1]Sheet1!$D$9+N850*[1]Sheet1!$E$9,IF(D850="S. maritimus",F850*[1]Sheet1!$C$10+E850*[1]Sheet1!$D$10+G850*[1]Sheet1!$F$10+[1]Sheet1!$L$10,IF(D850="S. americanus",F850*[1]Sheet1!$C$6+E850*[1]Sheet1!$D$6+[1]Sheet1!$L$6,IF(AND(OR(D850="T. domingensis",D850="T. latifolia"),E850&gt;0),F850*[1]Sheet1!$C$4+E850*[1]Sheet1!$D$4+H850*[1]Sheet1!$J$4+I850*[1]Sheet1!$K$4+[1]Sheet1!$L$4,IF(AND(OR(D850="T. domingensis",D850="T. latifolia"),J850&gt;0),J850*[1]Sheet1!$G$5+K850*[1]Sheet1!$H$5+L850*[1]Sheet1!$I$5+[1]Sheet1!$L$5,0)))))))</f>
        <v>-3.3287069999999996</v>
      </c>
      <c r="P850" t="str">
        <f t="shared" si="40"/>
        <v xml:space="preserve"> </v>
      </c>
      <c r="S850">
        <f t="shared" si="41"/>
        <v>9.5033097499999993E-3</v>
      </c>
    </row>
    <row r="851" spans="1:19">
      <c r="A851" s="5">
        <v>42501</v>
      </c>
      <c r="B851" t="s">
        <v>24</v>
      </c>
      <c r="C851">
        <v>12</v>
      </c>
      <c r="D851" t="s">
        <v>62</v>
      </c>
      <c r="E851">
        <v>21</v>
      </c>
      <c r="F851" s="6">
        <v>0.21</v>
      </c>
      <c r="N851">
        <f t="shared" si="39"/>
        <v>0.24245220824999994</v>
      </c>
      <c r="O851">
        <f>IF(AND(OR(D851="S. acutus",D851="S. californicus",D851="S. tabernaemontani"),G851=0),E851*[1]Sheet1!$D$7+[1]Sheet1!$L$7,IF(AND(OR(D851="S. acutus",D851="S. tabernaemontani"),G851&gt;0),E851*[1]Sheet1!$D$8+N851*[1]Sheet1!$E$8,IF(AND(D851="S. californicus",G851&gt;0),E851*[1]Sheet1!$D$9+N851*[1]Sheet1!$E$9,IF(D851="S. maritimus",F851*[1]Sheet1!$C$10+E851*[1]Sheet1!$D$10+G851*[1]Sheet1!$F$10+[1]Sheet1!$L$10,IF(D851="S. americanus",F851*[1]Sheet1!$C$6+E851*[1]Sheet1!$D$6+[1]Sheet1!$L$6,IF(AND(OR(D851="T. domingensis",D851="T. latifolia"),E851&gt;0),F851*[1]Sheet1!$C$4+E851*[1]Sheet1!$D$4+H851*[1]Sheet1!$J$4+I851*[1]Sheet1!$K$4+[1]Sheet1!$L$4,IF(AND(OR(D851="T. domingensis",D851="T. latifolia"),J851&gt;0),J851*[1]Sheet1!$G$5+K851*[1]Sheet1!$H$5+L851*[1]Sheet1!$I$5+[1]Sheet1!$L$5,0)))))))</f>
        <v>-3.1183920000000001</v>
      </c>
      <c r="P851" t="str">
        <f t="shared" si="40"/>
        <v xml:space="preserve"> </v>
      </c>
      <c r="S851">
        <f t="shared" si="41"/>
        <v>3.4636029749999991E-2</v>
      </c>
    </row>
    <row r="852" spans="1:19">
      <c r="A852" s="5">
        <v>42501</v>
      </c>
      <c r="B852" t="s">
        <v>24</v>
      </c>
      <c r="C852">
        <v>12</v>
      </c>
      <c r="D852" t="s">
        <v>64</v>
      </c>
      <c r="F852" s="6">
        <v>2.35</v>
      </c>
      <c r="J852">
        <f>51+100+94+138+148+167+176</f>
        <v>874</v>
      </c>
      <c r="K852">
        <v>7</v>
      </c>
      <c r="L852">
        <v>176</v>
      </c>
      <c r="N852" t="str">
        <f t="shared" si="39"/>
        <v>NA</v>
      </c>
      <c r="O852">
        <f>IF(AND(OR(D852="S. acutus",D852="S. californicus",D852="S. tabernaemontani"),G852=0),E852*[1]Sheet1!$D$7+[1]Sheet1!$L$7,IF(AND(OR(D852="S. acutus",D852="S. tabernaemontani"),G852&gt;0),E852*[1]Sheet1!$D$8+N852*[1]Sheet1!$E$8,IF(AND(D852="S. californicus",G852&gt;0),E852*[1]Sheet1!$D$9+N852*[1]Sheet1!$E$9,IF(D852="S. maritimus",F852*[1]Sheet1!$C$10+E852*[1]Sheet1!$D$10+G852*[1]Sheet1!$F$10+[1]Sheet1!$L$10,IF(D852="S. americanus",F852*[1]Sheet1!$C$6+E852*[1]Sheet1!$D$6+[1]Sheet1!$L$6,IF(AND(OR(D852="T. domingensis",D852="T. latifolia"),E852&gt;0),F852*[1]Sheet1!$C$4+E852*[1]Sheet1!$D$4+H852*[1]Sheet1!$J$4+I852*[1]Sheet1!$K$4+[1]Sheet1!$L$4,IF(AND(OR(D852="T. domingensis",D852="T. latifolia"),J852&gt;0),J852*[1]Sheet1!$G$5+K852*[1]Sheet1!$H$5+L852*[1]Sheet1!$I$5+[1]Sheet1!$L$5,0)))))))</f>
        <v>12.803263000000008</v>
      </c>
      <c r="P852">
        <f t="shared" si="40"/>
        <v>12.803263000000008</v>
      </c>
      <c r="S852">
        <f t="shared" si="41"/>
        <v>4.3373576937500005</v>
      </c>
    </row>
    <row r="853" spans="1:19">
      <c r="A853" s="5">
        <v>42501</v>
      </c>
      <c r="B853" t="s">
        <v>24</v>
      </c>
      <c r="C853">
        <v>12</v>
      </c>
      <c r="D853" t="s">
        <v>64</v>
      </c>
      <c r="F853" s="6">
        <v>4.66</v>
      </c>
      <c r="J853">
        <f>146+164+210</f>
        <v>520</v>
      </c>
      <c r="K853">
        <v>3</v>
      </c>
      <c r="L853">
        <v>210</v>
      </c>
      <c r="N853" t="str">
        <f t="shared" si="39"/>
        <v>NA</v>
      </c>
      <c r="O853">
        <f>IF(AND(OR(D853="S. acutus",D853="S. californicus",D853="S. tabernaemontani"),G853=0),E853*[1]Sheet1!$D$7+[1]Sheet1!$L$7,IF(AND(OR(D853="S. acutus",D853="S. tabernaemontani"),G853&gt;0),E853*[1]Sheet1!$D$8+N853*[1]Sheet1!$E$8,IF(AND(D853="S. californicus",G853&gt;0),E853*[1]Sheet1!$D$9+N853*[1]Sheet1!$E$9,IF(D853="S. maritimus",F853*[1]Sheet1!$C$10+E853*[1]Sheet1!$D$10+G853*[1]Sheet1!$F$10+[1]Sheet1!$L$10,IF(D853="S. americanus",F853*[1]Sheet1!$C$6+E853*[1]Sheet1!$D$6+[1]Sheet1!$L$6,IF(AND(OR(D853="T. domingensis",D853="T. latifolia"),E853&gt;0),F853*[1]Sheet1!$C$4+E853*[1]Sheet1!$D$4+H853*[1]Sheet1!$J$4+I853*[1]Sheet1!$K$4+[1]Sheet1!$L$4,IF(AND(OR(D853="T. domingensis",D853="T. latifolia"),J853&gt;0),J853*[1]Sheet1!$G$5+K853*[1]Sheet1!$H$5+L853*[1]Sheet1!$I$5+[1]Sheet1!$L$5,0)))))))</f>
        <v>-2.538924999999999</v>
      </c>
      <c r="P853" t="str">
        <f t="shared" si="40"/>
        <v xml:space="preserve"> </v>
      </c>
      <c r="S853">
        <f t="shared" si="41"/>
        <v>17.055377951000001</v>
      </c>
    </row>
    <row r="854" spans="1:19">
      <c r="A854" s="7">
        <v>42503</v>
      </c>
      <c r="B854" s="6" t="s">
        <v>57</v>
      </c>
      <c r="C854" s="6">
        <v>50</v>
      </c>
      <c r="D854" s="6" t="s">
        <v>62</v>
      </c>
      <c r="E854">
        <v>192</v>
      </c>
      <c r="F854" s="6">
        <v>2.38</v>
      </c>
      <c r="G854" s="6">
        <v>18</v>
      </c>
      <c r="N854">
        <f t="shared" si="39"/>
        <v>284.72355833599994</v>
      </c>
      <c r="O854">
        <f>IF(AND(OR(D854="S. acutus",D854="S. californicus",D854="S. tabernaemontani"),G854=0),E854*[1]Sheet1!$D$7+[1]Sheet1!$L$7,IF(AND(OR(D854="S. acutus",D854="S. tabernaemontani"),G854&gt;0),E854*[1]Sheet1!$D$8+N854*[1]Sheet1!$E$8,IF(AND(D854="S. californicus",G854&gt;0),E854*[1]Sheet1!$D$9+N854*[1]Sheet1!$E$9,IF(D854="S. maritimus",F854*[1]Sheet1!$C$10+E854*[1]Sheet1!$D$10+G854*[1]Sheet1!$F$10+[1]Sheet1!$L$10,IF(D854="S. americanus",F854*[1]Sheet1!$C$6+E854*[1]Sheet1!$D$6+[1]Sheet1!$L$6,IF(AND(OR(D854="T. domingensis",D854="T. latifolia"),E854&gt;0),F854*[1]Sheet1!$C$4+E854*[1]Sheet1!$D$4+H854*[1]Sheet1!$J$4+I854*[1]Sheet1!$K$4+[1]Sheet1!$L$4,IF(AND(OR(D854="T. domingensis",D854="T. latifolia"),J854&gt;0),J854*[1]Sheet1!$G$5+K854*[1]Sheet1!$H$5+L854*[1]Sheet1!$I$5+[1]Sheet1!$L$5,0)))))))</f>
        <v>21.123917703470461</v>
      </c>
      <c r="P854">
        <f t="shared" si="40"/>
        <v>21.123917703470461</v>
      </c>
      <c r="S854">
        <f t="shared" si="41"/>
        <v>4.4488055989999999</v>
      </c>
    </row>
    <row r="855" spans="1:19">
      <c r="A855" s="7">
        <v>42503</v>
      </c>
      <c r="B855" s="6" t="s">
        <v>57</v>
      </c>
      <c r="C855" s="6">
        <v>50</v>
      </c>
      <c r="D855" s="6" t="s">
        <v>62</v>
      </c>
      <c r="E855">
        <v>280</v>
      </c>
      <c r="F855" s="6">
        <v>2.42</v>
      </c>
      <c r="G855" s="6">
        <v>13</v>
      </c>
      <c r="N855">
        <f t="shared" si="39"/>
        <v>429.29617910666661</v>
      </c>
      <c r="O855">
        <f>IF(AND(OR(D855="S. acutus",D855="S. californicus",D855="S. tabernaemontani"),G855=0),E855*[1]Sheet1!$D$7+[1]Sheet1!$L$7,IF(AND(OR(D855="S. acutus",D855="S. tabernaemontani"),G855&gt;0),E855*[1]Sheet1!$D$8+N855*[1]Sheet1!$E$8,IF(AND(D855="S. californicus",G855&gt;0),E855*[1]Sheet1!$D$9+N855*[1]Sheet1!$E$9,IF(D855="S. maritimus",F855*[1]Sheet1!$C$10+E855*[1]Sheet1!$D$10+G855*[1]Sheet1!$F$10+[1]Sheet1!$L$10,IF(D855="S. americanus",F855*[1]Sheet1!$C$6+E855*[1]Sheet1!$D$6+[1]Sheet1!$L$6,IF(AND(OR(D855="T. domingensis",D855="T. latifolia"),E855&gt;0),F855*[1]Sheet1!$C$4+E855*[1]Sheet1!$D$4+H855*[1]Sheet1!$J$4+I855*[1]Sheet1!$K$4+[1]Sheet1!$L$4,IF(AND(OR(D855="T. domingensis",D855="T. latifolia"),J855&gt;0),J855*[1]Sheet1!$G$5+K855*[1]Sheet1!$H$5+L855*[1]Sheet1!$I$5+[1]Sheet1!$L$5,0)))))))</f>
        <v>31.617435833797892</v>
      </c>
      <c r="P855">
        <f t="shared" si="40"/>
        <v>31.617435833797892</v>
      </c>
      <c r="S855">
        <f t="shared" si="41"/>
        <v>4.5996019189999995</v>
      </c>
    </row>
    <row r="856" spans="1:19">
      <c r="A856" s="7">
        <v>42503</v>
      </c>
      <c r="B856" s="6" t="s">
        <v>57</v>
      </c>
      <c r="C856" s="6">
        <v>50</v>
      </c>
      <c r="D856" s="6" t="s">
        <v>62</v>
      </c>
      <c r="E856">
        <v>229</v>
      </c>
      <c r="F856" s="6">
        <v>2.44</v>
      </c>
      <c r="N856">
        <f t="shared" si="39"/>
        <v>356.93028177466658</v>
      </c>
      <c r="O856">
        <f>IF(AND(OR(D856="S. acutus",D856="S. californicus",D856="S. tabernaemontani"),G856=0),E856*[1]Sheet1!$D$7+[1]Sheet1!$L$7,IF(AND(OR(D856="S. acutus",D856="S. tabernaemontani"),G856&gt;0),E856*[1]Sheet1!$D$8+N856*[1]Sheet1!$E$8,IF(AND(D856="S. californicus",G856&gt;0),E856*[1]Sheet1!$D$9+N856*[1]Sheet1!$E$9,IF(D856="S. maritimus",F856*[1]Sheet1!$C$10+E856*[1]Sheet1!$D$10+G856*[1]Sheet1!$F$10+[1]Sheet1!$L$10,IF(D856="S. americanus",F856*[1]Sheet1!$C$6+E856*[1]Sheet1!$D$6+[1]Sheet1!$L$6,IF(AND(OR(D856="T. domingensis",D856="T. latifolia"),E856&gt;0),F856*[1]Sheet1!$C$4+E856*[1]Sheet1!$D$4+H856*[1]Sheet1!$J$4+I856*[1]Sheet1!$K$4+[1]Sheet1!$L$4,IF(AND(OR(D856="T. domingensis",D856="T. latifolia"),J856&gt;0),J856*[1]Sheet1!$G$5+K856*[1]Sheet1!$H$5+L856*[1]Sheet1!$I$5+[1]Sheet1!$L$5,0)))))))</f>
        <v>11.463448</v>
      </c>
      <c r="P856">
        <f t="shared" si="40"/>
        <v>11.463448</v>
      </c>
      <c r="S856">
        <f t="shared" si="41"/>
        <v>4.6759425559999999</v>
      </c>
    </row>
    <row r="857" spans="1:19">
      <c r="A857" s="7">
        <v>42503</v>
      </c>
      <c r="B857" s="6" t="s">
        <v>57</v>
      </c>
      <c r="C857" s="6">
        <v>50</v>
      </c>
      <c r="D857" s="6" t="s">
        <v>62</v>
      </c>
      <c r="E857">
        <v>264</v>
      </c>
      <c r="F857" s="6">
        <v>2.33</v>
      </c>
      <c r="G857" s="6">
        <v>2</v>
      </c>
      <c r="N857">
        <f t="shared" si="39"/>
        <v>375.21831492199999</v>
      </c>
      <c r="O857">
        <f>IF(AND(OR(D857="S. acutus",D857="S. californicus",D857="S. tabernaemontani"),G857=0),E857*[1]Sheet1!$D$7+[1]Sheet1!$L$7,IF(AND(OR(D857="S. acutus",D857="S. tabernaemontani"),G857&gt;0),E857*[1]Sheet1!$D$8+N857*[1]Sheet1!$E$8,IF(AND(D857="S. californicus",G857&gt;0),E857*[1]Sheet1!$D$9+N857*[1]Sheet1!$E$9,IF(D857="S. maritimus",F857*[1]Sheet1!$C$10+E857*[1]Sheet1!$D$10+G857*[1]Sheet1!$F$10+[1]Sheet1!$L$10,IF(D857="S. americanus",F857*[1]Sheet1!$C$6+E857*[1]Sheet1!$D$6+[1]Sheet1!$L$6,IF(AND(OR(D857="T. domingensis",D857="T. latifolia"),E857&gt;0),F857*[1]Sheet1!$C$4+E857*[1]Sheet1!$D$4+H857*[1]Sheet1!$J$4+I857*[1]Sheet1!$K$4+[1]Sheet1!$L$4,IF(AND(OR(D857="T. domingensis",D857="T. latifolia"),J857&gt;0),J857*[1]Sheet1!$G$5+K857*[1]Sheet1!$H$5+L857*[1]Sheet1!$I$5+[1]Sheet1!$L$5,0)))))))</f>
        <v>28.10665149481143</v>
      </c>
      <c r="P857">
        <f t="shared" si="40"/>
        <v>28.10665149481143</v>
      </c>
      <c r="S857">
        <f t="shared" si="41"/>
        <v>4.2638444877500001</v>
      </c>
    </row>
    <row r="858" spans="1:19">
      <c r="A858" s="7">
        <v>42503</v>
      </c>
      <c r="B858" s="6" t="s">
        <v>57</v>
      </c>
      <c r="C858" s="6">
        <v>50</v>
      </c>
      <c r="D858" s="6" t="s">
        <v>62</v>
      </c>
      <c r="E858">
        <v>222</v>
      </c>
      <c r="F858" s="6">
        <v>1.7</v>
      </c>
      <c r="N858">
        <f t="shared" si="39"/>
        <v>167.96510934999995</v>
      </c>
      <c r="O858">
        <f>IF(AND(OR(D858="S. acutus",D858="S. californicus",D858="S. tabernaemontani"),G858=0),E858*[1]Sheet1!$D$7+[1]Sheet1!$L$7,IF(AND(OR(D858="S. acutus",D858="S. tabernaemontani"),G858&gt;0),E858*[1]Sheet1!$D$8+N858*[1]Sheet1!$E$8,IF(AND(D858="S. californicus",G858&gt;0),E858*[1]Sheet1!$D$9+N858*[1]Sheet1!$E$9,IF(D858="S. maritimus",F858*[1]Sheet1!$C$10+E858*[1]Sheet1!$D$10+G858*[1]Sheet1!$F$10+[1]Sheet1!$L$10,IF(D858="S. americanus",F858*[1]Sheet1!$C$6+E858*[1]Sheet1!$D$6+[1]Sheet1!$L$6,IF(AND(OR(D858="T. domingensis",D858="T. latifolia"),E858&gt;0),F858*[1]Sheet1!$C$4+E858*[1]Sheet1!$D$4+H858*[1]Sheet1!$J$4+I858*[1]Sheet1!$K$4+[1]Sheet1!$L$4,IF(AND(OR(D858="T. domingensis",D858="T. latifolia"),J858&gt;0),J858*[1]Sheet1!$G$5+K858*[1]Sheet1!$H$5+L858*[1]Sheet1!$I$5+[1]Sheet1!$L$5,0)))))))</f>
        <v>10.972712999999999</v>
      </c>
      <c r="P858">
        <f t="shared" si="40"/>
        <v>10.972712999999999</v>
      </c>
      <c r="S858">
        <f t="shared" si="41"/>
        <v>2.2697987749999995</v>
      </c>
    </row>
    <row r="859" spans="1:19">
      <c r="A859" s="7">
        <v>42503</v>
      </c>
      <c r="B859" s="6" t="s">
        <v>57</v>
      </c>
      <c r="C859" s="6">
        <v>50</v>
      </c>
      <c r="D859" s="6" t="s">
        <v>62</v>
      </c>
      <c r="E859">
        <v>298</v>
      </c>
      <c r="F859" s="6">
        <v>2.4500000000000002</v>
      </c>
      <c r="N859">
        <f t="shared" si="39"/>
        <v>468.29195037916674</v>
      </c>
      <c r="O859">
        <f>IF(AND(OR(D859="S. acutus",D859="S. californicus",D859="S. tabernaemontani"),G859=0),E859*[1]Sheet1!$D$7+[1]Sheet1!$L$7,IF(AND(OR(D859="S. acutus",D859="S. tabernaemontani"),G859&gt;0),E859*[1]Sheet1!$D$8+N859*[1]Sheet1!$E$8,IF(AND(D859="S. californicus",G859&gt;0),E859*[1]Sheet1!$D$9+N859*[1]Sheet1!$E$9,IF(D859="S. maritimus",F859*[1]Sheet1!$C$10+E859*[1]Sheet1!$D$10+G859*[1]Sheet1!$F$10+[1]Sheet1!$L$10,IF(D859="S. americanus",F859*[1]Sheet1!$C$6+E859*[1]Sheet1!$D$6+[1]Sheet1!$L$6,IF(AND(OR(D859="T. domingensis",D859="T. latifolia"),E859&gt;0),F859*[1]Sheet1!$C$4+E859*[1]Sheet1!$D$4+H859*[1]Sheet1!$J$4+I859*[1]Sheet1!$K$4+[1]Sheet1!$L$4,IF(AND(OR(D859="T. domingensis",D859="T. latifolia"),J859&gt;0),J859*[1]Sheet1!$G$5+K859*[1]Sheet1!$H$5+L859*[1]Sheet1!$I$5+[1]Sheet1!$L$5,0)))))))</f>
        <v>16.300693000000003</v>
      </c>
      <c r="P859">
        <f t="shared" si="40"/>
        <v>16.300693000000003</v>
      </c>
      <c r="S859">
        <f t="shared" si="41"/>
        <v>4.7143484937500011</v>
      </c>
    </row>
    <row r="860" spans="1:19">
      <c r="A860" s="7">
        <v>42503</v>
      </c>
      <c r="B860" s="6" t="s">
        <v>57</v>
      </c>
      <c r="C860" s="6">
        <v>50</v>
      </c>
      <c r="D860" s="6" t="s">
        <v>62</v>
      </c>
      <c r="E860">
        <v>231</v>
      </c>
      <c r="F860" s="6">
        <v>2.08</v>
      </c>
      <c r="G860" s="6">
        <v>16</v>
      </c>
      <c r="N860">
        <f t="shared" si="39"/>
        <v>261.64166828800001</v>
      </c>
      <c r="O860">
        <f>IF(AND(OR(D860="S. acutus",D860="S. californicus",D860="S. tabernaemontani"),G860=0),E860*[1]Sheet1!$D$7+[1]Sheet1!$L$7,IF(AND(OR(D860="S. acutus",D860="S. tabernaemontani"),G860&gt;0),E860*[1]Sheet1!$D$8+N860*[1]Sheet1!$E$8,IF(AND(D860="S. californicus",G860&gt;0),E860*[1]Sheet1!$D$9+N860*[1]Sheet1!$E$9,IF(D860="S. maritimus",F860*[1]Sheet1!$C$10+E860*[1]Sheet1!$D$10+G860*[1]Sheet1!$F$10+[1]Sheet1!$L$10,IF(D860="S. americanus",F860*[1]Sheet1!$C$6+E860*[1]Sheet1!$D$6+[1]Sheet1!$L$6,IF(AND(OR(D860="T. domingensis",D860="T. latifolia"),E860&gt;0),F860*[1]Sheet1!$C$4+E860*[1]Sheet1!$D$4+H860*[1]Sheet1!$J$4+I860*[1]Sheet1!$K$4+[1]Sheet1!$L$4,IF(AND(OR(D860="T. domingensis",D860="T. latifolia"),J860&gt;0),J860*[1]Sheet1!$G$5+K860*[1]Sheet1!$H$5+L860*[1]Sheet1!$I$5+[1]Sheet1!$L$5,0)))))))</f>
        <v>20.747943176842114</v>
      </c>
      <c r="P860">
        <f t="shared" si="40"/>
        <v>20.747943176842114</v>
      </c>
      <c r="S860">
        <f t="shared" si="41"/>
        <v>3.3979437440000004</v>
      </c>
    </row>
    <row r="861" spans="1:19">
      <c r="A861" s="7">
        <v>42503</v>
      </c>
      <c r="B861" s="6" t="s">
        <v>57</v>
      </c>
      <c r="C861" s="6">
        <v>50</v>
      </c>
      <c r="D861" s="6" t="s">
        <v>62</v>
      </c>
      <c r="E861">
        <v>276</v>
      </c>
      <c r="F861" s="6">
        <v>2.2999999999999998</v>
      </c>
      <c r="G861" s="6">
        <v>10</v>
      </c>
      <c r="N861">
        <f t="shared" si="39"/>
        <v>382.2372552999999</v>
      </c>
      <c r="O861">
        <f>IF(AND(OR(D861="S. acutus",D861="S. californicus",D861="S. tabernaemontani"),G861=0),E861*[1]Sheet1!$D$7+[1]Sheet1!$L$7,IF(AND(OR(D861="S. acutus",D861="S. tabernaemontani"),G861&gt;0),E861*[1]Sheet1!$D$8+N861*[1]Sheet1!$E$8,IF(AND(D861="S. californicus",G861&gt;0),E861*[1]Sheet1!$D$9+N861*[1]Sheet1!$E$9,IF(D861="S. maritimus",F861*[1]Sheet1!$C$10+E861*[1]Sheet1!$D$10+G861*[1]Sheet1!$F$10+[1]Sheet1!$L$10,IF(D861="S. americanus",F861*[1]Sheet1!$C$6+E861*[1]Sheet1!$D$6+[1]Sheet1!$L$6,IF(AND(OR(D861="T. domingensis",D861="T. latifolia"),E861&gt;0),F861*[1]Sheet1!$C$4+E861*[1]Sheet1!$D$4+H861*[1]Sheet1!$J$4+I861*[1]Sheet1!$K$4+[1]Sheet1!$L$4,IF(AND(OR(D861="T. domingensis",D861="T. latifolia"),J861&gt;0),J861*[1]Sheet1!$G$5+K861*[1]Sheet1!$H$5+L861*[1]Sheet1!$I$5+[1]Sheet1!$L$5,0)))))))</f>
        <v>28.805385062172196</v>
      </c>
      <c r="P861">
        <f t="shared" si="40"/>
        <v>28.805385062172196</v>
      </c>
      <c r="S861">
        <f t="shared" si="41"/>
        <v>4.1547527749999995</v>
      </c>
    </row>
    <row r="862" spans="1:19">
      <c r="A862" s="7">
        <v>42503</v>
      </c>
      <c r="B862" s="7" t="s">
        <v>57</v>
      </c>
      <c r="C862" s="6">
        <v>50</v>
      </c>
      <c r="D862" s="6" t="s">
        <v>62</v>
      </c>
      <c r="E862">
        <v>325</v>
      </c>
      <c r="F862" s="6">
        <v>1.86</v>
      </c>
      <c r="N862">
        <f t="shared" si="39"/>
        <v>294.35912902500002</v>
      </c>
      <c r="O862">
        <f>IF(AND(OR(D862="S. acutus",D862="S. californicus",D862="S. tabernaemontani"),G862=0),E862*[1]Sheet1!$D$7+[1]Sheet1!$L$7,IF(AND(OR(D862="S. acutus",D862="S. tabernaemontani"),G862&gt;0),E862*[1]Sheet1!$D$8+N862*[1]Sheet1!$E$8,IF(AND(D862="S. californicus",G862&gt;0),E862*[1]Sheet1!$D$9+N862*[1]Sheet1!$E$9,IF(D862="S. maritimus",F862*[1]Sheet1!$C$10+E862*[1]Sheet1!$D$10+G862*[1]Sheet1!$F$10+[1]Sheet1!$L$10,IF(D862="S. americanus",F862*[1]Sheet1!$C$6+E862*[1]Sheet1!$D$6+[1]Sheet1!$L$6,IF(AND(OR(D862="T. domingensis",D862="T. latifolia"),E862&gt;0),F862*[1]Sheet1!$C$4+E862*[1]Sheet1!$D$4+H862*[1]Sheet1!$J$4+I862*[1]Sheet1!$K$4+[1]Sheet1!$L$4,IF(AND(OR(D862="T. domingensis",D862="T. latifolia"),J862&gt;0),J862*[1]Sheet1!$G$5+K862*[1]Sheet1!$H$5+L862*[1]Sheet1!$I$5+[1]Sheet1!$L$5,0)))))))</f>
        <v>18.193528000000001</v>
      </c>
      <c r="P862">
        <f t="shared" si="40"/>
        <v>18.193528000000001</v>
      </c>
      <c r="S862">
        <f t="shared" si="41"/>
        <v>2.7171611910000002</v>
      </c>
    </row>
    <row r="863" spans="1:19">
      <c r="A863" s="7">
        <v>42503</v>
      </c>
      <c r="B863" s="6" t="s">
        <v>57</v>
      </c>
      <c r="C863" s="6">
        <v>50</v>
      </c>
      <c r="D863" s="6" t="s">
        <v>62</v>
      </c>
      <c r="E863">
        <v>93</v>
      </c>
      <c r="F863" s="6">
        <v>1.07</v>
      </c>
      <c r="N863">
        <f t="shared" si="39"/>
        <v>27.875249530249995</v>
      </c>
      <c r="O863">
        <f>IF(AND(OR(D863="S. acutus",D863="S. californicus",D863="S. tabernaemontani"),G863=0),E863*[1]Sheet1!$D$7+[1]Sheet1!$L$7,IF(AND(OR(D863="S. acutus",D863="S. tabernaemontani"),G863&gt;0),E863*[1]Sheet1!$D$8+N863*[1]Sheet1!$E$8,IF(AND(D863="S. californicus",G863&gt;0),E863*[1]Sheet1!$D$9+N863*[1]Sheet1!$E$9,IF(D863="S. maritimus",F863*[1]Sheet1!$C$10+E863*[1]Sheet1!$D$10+G863*[1]Sheet1!$F$10+[1]Sheet1!$L$10,IF(D863="S. americanus",F863*[1]Sheet1!$C$6+E863*[1]Sheet1!$D$6+[1]Sheet1!$L$6,IF(AND(OR(D863="T. domingensis",D863="T. latifolia"),E863&gt;0),F863*[1]Sheet1!$C$4+E863*[1]Sheet1!$D$4+H863*[1]Sheet1!$J$4+I863*[1]Sheet1!$K$4+[1]Sheet1!$L$4,IF(AND(OR(D863="T. domingensis",D863="T. latifolia"),J863&gt;0),J863*[1]Sheet1!$G$5+K863*[1]Sheet1!$H$5+L863*[1]Sheet1!$I$5+[1]Sheet1!$L$5,0)))))))</f>
        <v>1.9291680000000007</v>
      </c>
      <c r="P863">
        <f t="shared" si="40"/>
        <v>1.9291680000000007</v>
      </c>
      <c r="S863">
        <f t="shared" si="41"/>
        <v>0.89920159774999997</v>
      </c>
    </row>
    <row r="864" spans="1:19">
      <c r="A864" s="7">
        <v>42503</v>
      </c>
      <c r="B864" s="6" t="s">
        <v>57</v>
      </c>
      <c r="C864" s="6">
        <v>50</v>
      </c>
      <c r="D864" s="6" t="s">
        <v>62</v>
      </c>
      <c r="E864">
        <v>360</v>
      </c>
      <c r="F864" s="6">
        <v>1.37</v>
      </c>
      <c r="G864" s="6">
        <v>22</v>
      </c>
      <c r="N864">
        <f t="shared" si="39"/>
        <v>176.89350813000001</v>
      </c>
      <c r="O864">
        <f>IF(AND(OR(D864="S. acutus",D864="S. californicus",D864="S. tabernaemontani"),G864=0),E864*[1]Sheet1!$D$7+[1]Sheet1!$L$7,IF(AND(OR(D864="S. acutus",D864="S. tabernaemontani"),G864&gt;0),E864*[1]Sheet1!$D$8+N864*[1]Sheet1!$E$8,IF(AND(D864="S. californicus",G864&gt;0),E864*[1]Sheet1!$D$9+N864*[1]Sheet1!$E$9,IF(D864="S. maritimus",F864*[1]Sheet1!$C$10+E864*[1]Sheet1!$D$10+G864*[1]Sheet1!$F$10+[1]Sheet1!$L$10,IF(D864="S. americanus",F864*[1]Sheet1!$C$6+E864*[1]Sheet1!$D$6+[1]Sheet1!$L$6,IF(AND(OR(D864="T. domingensis",D864="T. latifolia"),E864&gt;0),F864*[1]Sheet1!$C$4+E864*[1]Sheet1!$D$4+H864*[1]Sheet1!$J$4+I864*[1]Sheet1!$K$4+[1]Sheet1!$L$4,IF(AND(OR(D864="T. domingensis",D864="T. latifolia"),J864&gt;0),J864*[1]Sheet1!$G$5+K864*[1]Sheet1!$H$5+L864*[1]Sheet1!$I$5+[1]Sheet1!$L$5,0)))))))</f>
        <v>19.019852187889619</v>
      </c>
      <c r="P864">
        <f t="shared" si="40"/>
        <v>19.019852187889619</v>
      </c>
      <c r="S864">
        <f t="shared" si="41"/>
        <v>1.4741125677500002</v>
      </c>
    </row>
    <row r="865" spans="1:19">
      <c r="A865" s="7">
        <v>42503</v>
      </c>
      <c r="B865" s="6" t="s">
        <v>57</v>
      </c>
      <c r="C865" s="6">
        <v>50</v>
      </c>
      <c r="D865" s="6" t="s">
        <v>62</v>
      </c>
      <c r="E865">
        <v>275</v>
      </c>
      <c r="F865" s="6">
        <v>2.4700000000000002</v>
      </c>
      <c r="G865" s="6">
        <v>14</v>
      </c>
      <c r="N865">
        <f t="shared" si="39"/>
        <v>439.23289737708336</v>
      </c>
      <c r="O865">
        <f>IF(AND(OR(D865="S. acutus",D865="S. californicus",D865="S. tabernaemontani"),G865=0),E865*[1]Sheet1!$D$7+[1]Sheet1!$L$7,IF(AND(OR(D865="S. acutus",D865="S. tabernaemontani"),G865&gt;0),E865*[1]Sheet1!$D$8+N865*[1]Sheet1!$E$8,IF(AND(D865="S. californicus",G865&gt;0),E865*[1]Sheet1!$D$9+N865*[1]Sheet1!$E$9,IF(D865="S. maritimus",F865*[1]Sheet1!$C$10+E865*[1]Sheet1!$D$10+G865*[1]Sheet1!$F$10+[1]Sheet1!$L$10,IF(D865="S. americanus",F865*[1]Sheet1!$C$6+E865*[1]Sheet1!$D$6+[1]Sheet1!$L$6,IF(AND(OR(D865="T. domingensis",D865="T. latifolia"),E865&gt;0),F865*[1]Sheet1!$C$4+E865*[1]Sheet1!$D$4+H865*[1]Sheet1!$J$4+I865*[1]Sheet1!$K$4+[1]Sheet1!$L$4,IF(AND(OR(D865="T. domingensis",D865="T. latifolia"),J865&gt;0),J865*[1]Sheet1!$G$5+K865*[1]Sheet1!$H$5+L865*[1]Sheet1!$I$5+[1]Sheet1!$L$5,0)))))))</f>
        <v>32.068058123325912</v>
      </c>
      <c r="P865">
        <f t="shared" si="40"/>
        <v>32.068058123325912</v>
      </c>
      <c r="S865">
        <f t="shared" si="41"/>
        <v>4.7916316077500003</v>
      </c>
    </row>
    <row r="866" spans="1:19">
      <c r="A866" s="7">
        <v>42503</v>
      </c>
      <c r="B866" s="6" t="s">
        <v>57</v>
      </c>
      <c r="C866" s="6">
        <v>50</v>
      </c>
      <c r="D866" s="6" t="s">
        <v>62</v>
      </c>
      <c r="E866">
        <v>354</v>
      </c>
      <c r="F866" s="6">
        <v>2.5499999999999998</v>
      </c>
      <c r="G866" s="6">
        <v>24</v>
      </c>
      <c r="N866">
        <f t="shared" si="39"/>
        <v>602.63157476249989</v>
      </c>
      <c r="O866">
        <f>IF(AND(OR(D866="S. acutus",D866="S. californicus",D866="S. tabernaemontani"),G866=0),E866*[1]Sheet1!$D$7+[1]Sheet1!$L$7,IF(AND(OR(D866="S. acutus",D866="S. tabernaemontani"),G866&gt;0),E866*[1]Sheet1!$D$8+N866*[1]Sheet1!$E$8,IF(AND(D866="S. californicus",G866&gt;0),E866*[1]Sheet1!$D$9+N866*[1]Sheet1!$E$9,IF(D866="S. maritimus",F866*[1]Sheet1!$C$10+E866*[1]Sheet1!$D$10+G866*[1]Sheet1!$F$10+[1]Sheet1!$L$10,IF(D866="S. americanus",F866*[1]Sheet1!$C$6+E866*[1]Sheet1!$D$6+[1]Sheet1!$L$6,IF(AND(OR(D866="T. domingensis",D866="T. latifolia"),E866&gt;0),F866*[1]Sheet1!$C$4+E866*[1]Sheet1!$D$4+H866*[1]Sheet1!$J$4+I866*[1]Sheet1!$K$4+[1]Sheet1!$L$4,IF(AND(OR(D866="T. domingensis",D866="T. latifolia"),J866&gt;0),J866*[1]Sheet1!$G$5+K866*[1]Sheet1!$H$5+L866*[1]Sheet1!$I$5+[1]Sheet1!$L$5,0)))))))</f>
        <v>43.426907842852422</v>
      </c>
      <c r="P866">
        <f t="shared" si="40"/>
        <v>43.426907842852422</v>
      </c>
      <c r="S866">
        <f t="shared" si="41"/>
        <v>5.1070472437499994</v>
      </c>
    </row>
    <row r="867" spans="1:19">
      <c r="A867" s="7">
        <v>42503</v>
      </c>
      <c r="B867" s="6" t="s">
        <v>57</v>
      </c>
      <c r="C867" s="6">
        <v>50</v>
      </c>
      <c r="D867" s="6" t="s">
        <v>62</v>
      </c>
      <c r="E867">
        <v>224</v>
      </c>
      <c r="F867" s="6">
        <v>1.87</v>
      </c>
      <c r="N867">
        <f t="shared" si="39"/>
        <v>205.06875332533332</v>
      </c>
      <c r="O867">
        <f>IF(AND(OR(D867="S. acutus",D867="S. californicus",D867="S. tabernaemontani"),G867=0),E867*[1]Sheet1!$D$7+[1]Sheet1!$L$7,IF(AND(OR(D867="S. acutus",D867="S. tabernaemontani"),G867&gt;0),E867*[1]Sheet1!$D$8+N867*[1]Sheet1!$E$8,IF(AND(D867="S. californicus",G867&gt;0),E867*[1]Sheet1!$D$9+N867*[1]Sheet1!$E$9,IF(D867="S. maritimus",F867*[1]Sheet1!$C$10+E867*[1]Sheet1!$D$10+G867*[1]Sheet1!$F$10+[1]Sheet1!$L$10,IF(D867="S. americanus",F867*[1]Sheet1!$C$6+E867*[1]Sheet1!$D$6+[1]Sheet1!$L$6,IF(AND(OR(D867="T. domingensis",D867="T. latifolia"),E867&gt;0),F867*[1]Sheet1!$C$4+E867*[1]Sheet1!$D$4+H867*[1]Sheet1!$J$4+I867*[1]Sheet1!$K$4+[1]Sheet1!$L$4,IF(AND(OR(D867="T. domingensis",D867="T. latifolia"),J867&gt;0),J867*[1]Sheet1!$G$5+K867*[1]Sheet1!$H$5+L867*[1]Sheet1!$I$5+[1]Sheet1!$L$5,0)))))))</f>
        <v>11.112923000000002</v>
      </c>
      <c r="P867">
        <f t="shared" si="40"/>
        <v>11.112923000000002</v>
      </c>
      <c r="S867">
        <f t="shared" si="41"/>
        <v>2.7464565177500004</v>
      </c>
    </row>
    <row r="868" spans="1:19">
      <c r="A868" s="7">
        <v>42503</v>
      </c>
      <c r="B868" s="6" t="s">
        <v>57</v>
      </c>
      <c r="C868" s="6">
        <v>50</v>
      </c>
      <c r="D868" s="6" t="s">
        <v>62</v>
      </c>
      <c r="E868">
        <v>129</v>
      </c>
      <c r="F868" s="6">
        <v>1.87</v>
      </c>
      <c r="N868">
        <f t="shared" si="39"/>
        <v>118.09763026325</v>
      </c>
      <c r="O868">
        <f>IF(AND(OR(D868="S. acutus",D868="S. californicus",D868="S. tabernaemontani"),G868=0),E868*[1]Sheet1!$D$7+[1]Sheet1!$L$7,IF(AND(OR(D868="S. acutus",D868="S. tabernaemontani"),G868&gt;0),E868*[1]Sheet1!$D$8+N868*[1]Sheet1!$E$8,IF(AND(D868="S. californicus",G868&gt;0),E868*[1]Sheet1!$D$9+N868*[1]Sheet1!$E$9,IF(D868="S. maritimus",F868*[1]Sheet1!$C$10+E868*[1]Sheet1!$D$10+G868*[1]Sheet1!$F$10+[1]Sheet1!$L$10,IF(D868="S. americanus",F868*[1]Sheet1!$C$6+E868*[1]Sheet1!$D$6+[1]Sheet1!$L$6,IF(AND(OR(D868="T. domingensis",D868="T. latifolia"),E868&gt;0),F868*[1]Sheet1!$C$4+E868*[1]Sheet1!$D$4+H868*[1]Sheet1!$J$4+I868*[1]Sheet1!$K$4+[1]Sheet1!$L$4,IF(AND(OR(D868="T. domingensis",D868="T. latifolia"),J868&gt;0),J868*[1]Sheet1!$G$5+K868*[1]Sheet1!$H$5+L868*[1]Sheet1!$I$5+[1]Sheet1!$L$5,0)))))))</f>
        <v>4.4529480000000001</v>
      </c>
      <c r="P868">
        <f t="shared" si="40"/>
        <v>4.4529480000000001</v>
      </c>
      <c r="S868">
        <f t="shared" si="41"/>
        <v>2.7464565177500004</v>
      </c>
    </row>
    <row r="869" spans="1:19">
      <c r="A869" s="7">
        <v>42503</v>
      </c>
      <c r="B869" s="6" t="s">
        <v>57</v>
      </c>
      <c r="C869" s="6">
        <v>50</v>
      </c>
      <c r="D869" s="6" t="s">
        <v>62</v>
      </c>
      <c r="E869">
        <v>272</v>
      </c>
      <c r="F869" s="6">
        <v>2.42</v>
      </c>
      <c r="N869">
        <f t="shared" si="39"/>
        <v>417.03057398933328</v>
      </c>
      <c r="O869">
        <f>IF(AND(OR(D869="S. acutus",D869="S. californicus",D869="S. tabernaemontani"),G869=0),E869*[1]Sheet1!$D$7+[1]Sheet1!$L$7,IF(AND(OR(D869="S. acutus",D869="S. tabernaemontani"),G869&gt;0),E869*[1]Sheet1!$D$8+N869*[1]Sheet1!$E$8,IF(AND(D869="S. californicus",G869&gt;0),E869*[1]Sheet1!$D$9+N869*[1]Sheet1!$E$9,IF(D869="S. maritimus",F869*[1]Sheet1!$C$10+E869*[1]Sheet1!$D$10+G869*[1]Sheet1!$F$10+[1]Sheet1!$L$10,IF(D869="S. americanus",F869*[1]Sheet1!$C$6+E869*[1]Sheet1!$D$6+[1]Sheet1!$L$6,IF(AND(OR(D869="T. domingensis",D869="T. latifolia"),E869&gt;0),F869*[1]Sheet1!$C$4+E869*[1]Sheet1!$D$4+H869*[1]Sheet1!$J$4+I869*[1]Sheet1!$K$4+[1]Sheet1!$L$4,IF(AND(OR(D869="T. domingensis",D869="T. latifolia"),J869&gt;0),J869*[1]Sheet1!$G$5+K869*[1]Sheet1!$H$5+L869*[1]Sheet1!$I$5+[1]Sheet1!$L$5,0)))))))</f>
        <v>14.477963000000003</v>
      </c>
      <c r="P869">
        <f t="shared" si="40"/>
        <v>14.477963000000003</v>
      </c>
      <c r="S869">
        <f t="shared" si="41"/>
        <v>4.5996019189999995</v>
      </c>
    </row>
    <row r="870" spans="1:19">
      <c r="A870" s="7">
        <v>42503</v>
      </c>
      <c r="B870" s="6" t="s">
        <v>57</v>
      </c>
      <c r="C870" s="6">
        <v>50</v>
      </c>
      <c r="D870" s="6" t="s">
        <v>62</v>
      </c>
      <c r="E870">
        <v>301</v>
      </c>
      <c r="F870" s="6">
        <v>2.76</v>
      </c>
      <c r="N870">
        <f t="shared" si="39"/>
        <v>600.27868093199982</v>
      </c>
      <c r="O870">
        <f>IF(AND(OR(D870="S. acutus",D870="S. californicus",D870="S. tabernaemontani"),G870=0),E870*[1]Sheet1!$D$7+[1]Sheet1!$L$7,IF(AND(OR(D870="S. acutus",D870="S. tabernaemontani"),G870&gt;0),E870*[1]Sheet1!$D$8+N870*[1]Sheet1!$E$8,IF(AND(D870="S. californicus",G870&gt;0),E870*[1]Sheet1!$D$9+N870*[1]Sheet1!$E$9,IF(D870="S. maritimus",F870*[1]Sheet1!$C$10+E870*[1]Sheet1!$D$10+G870*[1]Sheet1!$F$10+[1]Sheet1!$L$10,IF(D870="S. americanus",F870*[1]Sheet1!$C$6+E870*[1]Sheet1!$D$6+[1]Sheet1!$L$6,IF(AND(OR(D870="T. domingensis",D870="T. latifolia"),E870&gt;0),F870*[1]Sheet1!$C$4+E870*[1]Sheet1!$D$4+H870*[1]Sheet1!$J$4+I870*[1]Sheet1!$K$4+[1]Sheet1!$L$4,IF(AND(OR(D870="T. domingensis",D870="T. latifolia"),J870&gt;0),J870*[1]Sheet1!$G$5+K870*[1]Sheet1!$H$5+L870*[1]Sheet1!$I$5+[1]Sheet1!$L$5,0)))))))</f>
        <v>16.511008</v>
      </c>
      <c r="P870">
        <f t="shared" si="40"/>
        <v>16.511008</v>
      </c>
      <c r="S870">
        <f t="shared" si="41"/>
        <v>5.9828439959999988</v>
      </c>
    </row>
    <row r="871" spans="1:19">
      <c r="A871" s="7">
        <v>42503</v>
      </c>
      <c r="B871" s="6" t="s">
        <v>57</v>
      </c>
      <c r="C871" s="6">
        <v>50</v>
      </c>
      <c r="D871" s="6" t="s">
        <v>62</v>
      </c>
      <c r="E871">
        <v>277</v>
      </c>
      <c r="F871" s="6">
        <v>1.96</v>
      </c>
      <c r="G871" s="6">
        <v>16</v>
      </c>
      <c r="N871">
        <f t="shared" si="39"/>
        <v>278.5865669906666</v>
      </c>
      <c r="O871">
        <f>IF(AND(OR(D871="S. acutus",D871="S. californicus",D871="S. tabernaemontani"),G871=0),E871*[1]Sheet1!$D$7+[1]Sheet1!$L$7,IF(AND(OR(D871="S. acutus",D871="S. tabernaemontani"),G871&gt;0),E871*[1]Sheet1!$D$8+N871*[1]Sheet1!$E$8,IF(AND(D871="S. californicus",G871&gt;0),E871*[1]Sheet1!$D$9+N871*[1]Sheet1!$E$9,IF(D871="S. maritimus",F871*[1]Sheet1!$C$10+E871*[1]Sheet1!$D$10+G871*[1]Sheet1!$F$10+[1]Sheet1!$L$10,IF(D871="S. americanus",F871*[1]Sheet1!$C$6+E871*[1]Sheet1!$D$6+[1]Sheet1!$L$6,IF(AND(OR(D871="T. domingensis",D871="T. latifolia"),E871&gt;0),F871*[1]Sheet1!$C$4+E871*[1]Sheet1!$D$4+H871*[1]Sheet1!$J$4+I871*[1]Sheet1!$K$4+[1]Sheet1!$L$4,IF(AND(OR(D871="T. domingensis",D871="T. latifolia"),J871&gt;0),J871*[1]Sheet1!$G$5+K871*[1]Sheet1!$H$5+L871*[1]Sheet1!$I$5+[1]Sheet1!$L$5,0)))))))</f>
        <v>22.851928864619705</v>
      </c>
      <c r="P871">
        <f t="shared" si="40"/>
        <v>22.851928864619705</v>
      </c>
      <c r="S871">
        <f t="shared" si="41"/>
        <v>3.0171830359999996</v>
      </c>
    </row>
    <row r="872" spans="1:19">
      <c r="A872" s="7">
        <v>42503</v>
      </c>
      <c r="B872" s="6" t="s">
        <v>57</v>
      </c>
      <c r="C872" s="6">
        <v>50</v>
      </c>
      <c r="D872" s="6" t="s">
        <v>62</v>
      </c>
      <c r="E872">
        <v>206</v>
      </c>
      <c r="F872" s="6">
        <v>2.02</v>
      </c>
      <c r="N872">
        <f t="shared" si="39"/>
        <v>220.05853585133332</v>
      </c>
      <c r="O872">
        <f>IF(AND(OR(D872="S. acutus",D872="S. californicus",D872="S. tabernaemontani"),G872=0),E872*[1]Sheet1!$D$7+[1]Sheet1!$L$7,IF(AND(OR(D872="S. acutus",D872="S. tabernaemontani"),G872&gt;0),E872*[1]Sheet1!$D$8+N872*[1]Sheet1!$E$8,IF(AND(D872="S. californicus",G872&gt;0),E872*[1]Sheet1!$D$9+N872*[1]Sheet1!$E$9,IF(D872="S. maritimus",F872*[1]Sheet1!$C$10+E872*[1]Sheet1!$D$10+G872*[1]Sheet1!$F$10+[1]Sheet1!$L$10,IF(D872="S. americanus",F872*[1]Sheet1!$C$6+E872*[1]Sheet1!$D$6+[1]Sheet1!$L$6,IF(AND(OR(D872="T. domingensis",D872="T. latifolia"),E872&gt;0),F872*[1]Sheet1!$C$4+E872*[1]Sheet1!$D$4+H872*[1]Sheet1!$J$4+I872*[1]Sheet1!$K$4+[1]Sheet1!$L$4,IF(AND(OR(D872="T. domingensis",D872="T. latifolia"),J872&gt;0),J872*[1]Sheet1!$G$5+K872*[1]Sheet1!$H$5+L872*[1]Sheet1!$I$5+[1]Sheet1!$L$5,0)))))))</f>
        <v>9.851033000000001</v>
      </c>
      <c r="P872">
        <f t="shared" si="40"/>
        <v>9.851033000000001</v>
      </c>
      <c r="S872">
        <f t="shared" si="41"/>
        <v>3.2047359589999997</v>
      </c>
    </row>
    <row r="873" spans="1:19">
      <c r="A873" s="7">
        <v>42503</v>
      </c>
      <c r="B873" s="6" t="s">
        <v>57</v>
      </c>
      <c r="C873" s="6">
        <v>50</v>
      </c>
      <c r="D873" s="6" t="s">
        <v>62</v>
      </c>
      <c r="E873">
        <v>330</v>
      </c>
      <c r="F873" s="6">
        <v>2.77</v>
      </c>
      <c r="G873" s="6">
        <v>9</v>
      </c>
      <c r="N873">
        <f t="shared" si="39"/>
        <v>662.89041255249992</v>
      </c>
      <c r="O873">
        <f>IF(AND(OR(D873="S. acutus",D873="S. californicus",D873="S. tabernaemontani"),G873=0),E873*[1]Sheet1!$D$7+[1]Sheet1!$L$7,IF(AND(OR(D873="S. acutus",D873="S. tabernaemontani"),G873&gt;0),E873*[1]Sheet1!$D$8+N873*[1]Sheet1!$E$8,IF(AND(D873="S. californicus",G873&gt;0),E873*[1]Sheet1!$D$9+N873*[1]Sheet1!$E$9,IF(D873="S. maritimus",F873*[1]Sheet1!$C$10+E873*[1]Sheet1!$D$10+G873*[1]Sheet1!$F$10+[1]Sheet1!$L$10,IF(D873="S. americanus",F873*[1]Sheet1!$C$6+E873*[1]Sheet1!$D$6+[1]Sheet1!$L$6,IF(AND(OR(D873="T. domingensis",D873="T. latifolia"),E873&gt;0),F873*[1]Sheet1!$C$4+E873*[1]Sheet1!$D$4+H873*[1]Sheet1!$J$4+I873*[1]Sheet1!$K$4+[1]Sheet1!$L$4,IF(AND(OR(D873="T. domingensis",D873="T. latifolia"),J873&gt;0),J873*[1]Sheet1!$G$5+K873*[1]Sheet1!$H$5+L873*[1]Sheet1!$I$5+[1]Sheet1!$L$5,0)))))))</f>
        <v>46.314429653552878</v>
      </c>
      <c r="P873">
        <f t="shared" si="40"/>
        <v>46.314429653552878</v>
      </c>
      <c r="S873">
        <f t="shared" si="41"/>
        <v>6.0262764777499997</v>
      </c>
    </row>
    <row r="874" spans="1:19">
      <c r="A874" s="7">
        <v>42503</v>
      </c>
      <c r="B874" s="6" t="s">
        <v>57</v>
      </c>
      <c r="C874" s="6">
        <v>50</v>
      </c>
      <c r="D874" s="6" t="s">
        <v>62</v>
      </c>
      <c r="E874">
        <v>193</v>
      </c>
      <c r="F874" s="6">
        <v>1.7</v>
      </c>
      <c r="G874" s="6">
        <v>19</v>
      </c>
      <c r="N874">
        <f t="shared" si="39"/>
        <v>146.02372119166662</v>
      </c>
      <c r="O874">
        <f>IF(AND(OR(D874="S. acutus",D874="S. californicus",D874="S. tabernaemontani"),G874=0),E874*[1]Sheet1!$D$7+[1]Sheet1!$L$7,IF(AND(OR(D874="S. acutus",D874="S. tabernaemontani"),G874&gt;0),E874*[1]Sheet1!$D$8+N874*[1]Sheet1!$E$8,IF(AND(D874="S. californicus",G874&gt;0),E874*[1]Sheet1!$D$9+N874*[1]Sheet1!$E$9,IF(D874="S. maritimus",F874*[1]Sheet1!$C$10+E874*[1]Sheet1!$D$10+G874*[1]Sheet1!$F$10+[1]Sheet1!$L$10,IF(D874="S. americanus",F874*[1]Sheet1!$C$6+E874*[1]Sheet1!$D$6+[1]Sheet1!$L$6,IF(AND(OR(D874="T. domingensis",D874="T. latifolia"),E874&gt;0),F874*[1]Sheet1!$C$4+E874*[1]Sheet1!$D$4+H874*[1]Sheet1!$J$4+I874*[1]Sheet1!$K$4+[1]Sheet1!$L$4,IF(AND(OR(D874="T. domingensis",D874="T. latifolia"),J874&gt;0),J874*[1]Sheet1!$G$5+K874*[1]Sheet1!$H$5+L874*[1]Sheet1!$I$5+[1]Sheet1!$L$5,0)))))))</f>
        <v>13.149036896008182</v>
      </c>
      <c r="P874">
        <f t="shared" si="40"/>
        <v>13.149036896008182</v>
      </c>
      <c r="S874">
        <f t="shared" si="41"/>
        <v>2.2697987749999995</v>
      </c>
    </row>
    <row r="875" spans="1:19">
      <c r="A875" s="7">
        <v>42503</v>
      </c>
      <c r="B875" s="6" t="s">
        <v>57</v>
      </c>
      <c r="C875" s="6">
        <v>50</v>
      </c>
      <c r="D875" s="6" t="s">
        <v>62</v>
      </c>
      <c r="E875">
        <v>336</v>
      </c>
      <c r="F875" s="6">
        <v>2.56</v>
      </c>
      <c r="G875" s="6">
        <v>9</v>
      </c>
      <c r="N875">
        <f t="shared" si="39"/>
        <v>576.48427827199998</v>
      </c>
      <c r="O875">
        <f>IF(AND(OR(D875="S. acutus",D875="S. californicus",D875="S. tabernaemontani"),G875=0),E875*[1]Sheet1!$D$7+[1]Sheet1!$L$7,IF(AND(OR(D875="S. acutus",D875="S. tabernaemontani"),G875&gt;0),E875*[1]Sheet1!$D$8+N875*[1]Sheet1!$E$8,IF(AND(D875="S. californicus",G875&gt;0),E875*[1]Sheet1!$D$9+N875*[1]Sheet1!$E$9,IF(D875="S. maritimus",F875*[1]Sheet1!$C$10+E875*[1]Sheet1!$D$10+G875*[1]Sheet1!$F$10+[1]Sheet1!$L$10,IF(D875="S. americanus",F875*[1]Sheet1!$C$6+E875*[1]Sheet1!$D$6+[1]Sheet1!$L$6,IF(AND(OR(D875="T. domingensis",D875="T. latifolia"),E875&gt;0),F875*[1]Sheet1!$C$4+E875*[1]Sheet1!$D$4+H875*[1]Sheet1!$J$4+I875*[1]Sheet1!$K$4+[1]Sheet1!$L$4,IF(AND(OR(D875="T. domingensis",D875="T. latifolia"),J875&gt;0),J875*[1]Sheet1!$G$5+K875*[1]Sheet1!$H$5+L875*[1]Sheet1!$I$5+[1]Sheet1!$L$5,0)))))))</f>
        <v>41.478003865059328</v>
      </c>
      <c r="P875">
        <f t="shared" si="40"/>
        <v>41.478003865059328</v>
      </c>
      <c r="S875">
        <f t="shared" si="41"/>
        <v>5.147181056</v>
      </c>
    </row>
    <row r="876" spans="1:19">
      <c r="A876" s="7">
        <v>42503</v>
      </c>
      <c r="B876" s="6" t="s">
        <v>57</v>
      </c>
      <c r="C876" s="6">
        <v>50</v>
      </c>
      <c r="D876" s="6" t="s">
        <v>62</v>
      </c>
      <c r="E876">
        <v>314</v>
      </c>
      <c r="F876" s="6">
        <v>2.5499999999999998</v>
      </c>
      <c r="G876" s="6">
        <v>19</v>
      </c>
      <c r="N876">
        <f t="shared" si="39"/>
        <v>534.53761151249989</v>
      </c>
      <c r="O876">
        <f>IF(AND(OR(D876="S. acutus",D876="S. californicus",D876="S. tabernaemontani"),G876=0),E876*[1]Sheet1!$D$7+[1]Sheet1!$L$7,IF(AND(OR(D876="S. acutus",D876="S. tabernaemontani"),G876&gt;0),E876*[1]Sheet1!$D$8+N876*[1]Sheet1!$E$8,IF(AND(D876="S. californicus",G876&gt;0),E876*[1]Sheet1!$D$9+N876*[1]Sheet1!$E$9,IF(D876="S. maritimus",F876*[1]Sheet1!$C$10+E876*[1]Sheet1!$D$10+G876*[1]Sheet1!$F$10+[1]Sheet1!$L$10,IF(D876="S. americanus",F876*[1]Sheet1!$C$6+E876*[1]Sheet1!$D$6+[1]Sheet1!$L$6,IF(AND(OR(D876="T. domingensis",D876="T. latifolia"),E876&gt;0),F876*[1]Sheet1!$C$4+E876*[1]Sheet1!$D$4+H876*[1]Sheet1!$J$4+I876*[1]Sheet1!$K$4+[1]Sheet1!$L$4,IF(AND(OR(D876="T. domingensis",D876="T. latifolia"),J876&gt;0),J876*[1]Sheet1!$G$5+K876*[1]Sheet1!$H$5+L876*[1]Sheet1!$I$5+[1]Sheet1!$L$5,0)))))))</f>
        <v>38.519912606371918</v>
      </c>
      <c r="P876">
        <f t="shared" si="40"/>
        <v>38.519912606371918</v>
      </c>
      <c r="S876">
        <f t="shared" si="41"/>
        <v>5.1070472437499994</v>
      </c>
    </row>
    <row r="877" spans="1:19">
      <c r="A877" s="7">
        <v>42503</v>
      </c>
      <c r="B877" s="6" t="s">
        <v>57</v>
      </c>
      <c r="C877" s="6">
        <v>50</v>
      </c>
      <c r="D877" s="6" t="s">
        <v>62</v>
      </c>
      <c r="E877">
        <v>301</v>
      </c>
      <c r="F877" s="6">
        <v>2.7</v>
      </c>
      <c r="G877" s="6">
        <v>6</v>
      </c>
      <c r="N877">
        <f t="shared" si="39"/>
        <v>574.46329342500007</v>
      </c>
      <c r="O877">
        <f>IF(AND(OR(D877="S. acutus",D877="S. californicus",D877="S. tabernaemontani"),G877=0),E877*[1]Sheet1!$D$7+[1]Sheet1!$L$7,IF(AND(OR(D877="S. acutus",D877="S. tabernaemontani"),G877&gt;0),E877*[1]Sheet1!$D$8+N877*[1]Sheet1!$E$8,IF(AND(D877="S. californicus",G877&gt;0),E877*[1]Sheet1!$D$9+N877*[1]Sheet1!$E$9,IF(D877="S. maritimus",F877*[1]Sheet1!$C$10+E877*[1]Sheet1!$D$10+G877*[1]Sheet1!$F$10+[1]Sheet1!$L$10,IF(D877="S. americanus",F877*[1]Sheet1!$C$6+E877*[1]Sheet1!$D$6+[1]Sheet1!$L$6,IF(AND(OR(D877="T. domingensis",D877="T. latifolia"),E877&gt;0),F877*[1]Sheet1!$C$4+E877*[1]Sheet1!$D$4+H877*[1]Sheet1!$J$4+I877*[1]Sheet1!$K$4+[1]Sheet1!$L$4,IF(AND(OR(D877="T. domingensis",D877="T. latifolia"),J877&gt;0),J877*[1]Sheet1!$G$5+K877*[1]Sheet1!$H$5+L877*[1]Sheet1!$I$5+[1]Sheet1!$L$5,0)))))))</f>
        <v>40.504169584993456</v>
      </c>
      <c r="P877">
        <f t="shared" si="40"/>
        <v>40.504169584993456</v>
      </c>
      <c r="S877">
        <f t="shared" si="41"/>
        <v>5.7255477750000008</v>
      </c>
    </row>
    <row r="878" spans="1:19">
      <c r="A878" s="7">
        <v>42503</v>
      </c>
      <c r="B878" s="6" t="s">
        <v>57</v>
      </c>
      <c r="C878" s="6">
        <v>50</v>
      </c>
      <c r="D878" s="6" t="s">
        <v>62</v>
      </c>
      <c r="E878">
        <v>259</v>
      </c>
      <c r="F878" s="6">
        <v>2.2000000000000002</v>
      </c>
      <c r="N878">
        <f t="shared" si="39"/>
        <v>328.18096336666667</v>
      </c>
      <c r="O878">
        <f>IF(AND(OR(D878="S. acutus",D878="S. californicus",D878="S. tabernaemontani"),G878=0),E878*[1]Sheet1!$D$7+[1]Sheet1!$L$7,IF(AND(OR(D878="S. acutus",D878="S. tabernaemontani"),G878&gt;0),E878*[1]Sheet1!$D$8+N878*[1]Sheet1!$E$8,IF(AND(D878="S. californicus",G878&gt;0),E878*[1]Sheet1!$D$9+N878*[1]Sheet1!$E$9,IF(D878="S. maritimus",F878*[1]Sheet1!$C$10+E878*[1]Sheet1!$D$10+G878*[1]Sheet1!$F$10+[1]Sheet1!$L$10,IF(D878="S. americanus",F878*[1]Sheet1!$C$6+E878*[1]Sheet1!$D$6+[1]Sheet1!$L$6,IF(AND(OR(D878="T. domingensis",D878="T. latifolia"),E878&gt;0),F878*[1]Sheet1!$C$4+E878*[1]Sheet1!$D$4+H878*[1]Sheet1!$J$4+I878*[1]Sheet1!$K$4+[1]Sheet1!$L$4,IF(AND(OR(D878="T. domingensis",D878="T. latifolia"),J878&gt;0),J878*[1]Sheet1!$G$5+K878*[1]Sheet1!$H$5+L878*[1]Sheet1!$I$5+[1]Sheet1!$L$5,0)))))))</f>
        <v>13.566598000000003</v>
      </c>
      <c r="P878">
        <f t="shared" si="40"/>
        <v>13.566598000000003</v>
      </c>
      <c r="S878">
        <f t="shared" si="41"/>
        <v>3.8013239000000003</v>
      </c>
    </row>
    <row r="879" spans="1:19">
      <c r="A879" s="7">
        <v>42503</v>
      </c>
      <c r="B879" s="6" t="s">
        <v>57</v>
      </c>
      <c r="C879" s="6">
        <v>50</v>
      </c>
      <c r="D879" s="6" t="s">
        <v>62</v>
      </c>
      <c r="E879">
        <v>305</v>
      </c>
      <c r="F879" s="6">
        <v>2.15</v>
      </c>
      <c r="N879">
        <f t="shared" si="39"/>
        <v>369.10082761458324</v>
      </c>
      <c r="O879">
        <f>IF(AND(OR(D879="S. acutus",D879="S. californicus",D879="S. tabernaemontani"),G879=0),E879*[1]Sheet1!$D$7+[1]Sheet1!$L$7,IF(AND(OR(D879="S. acutus",D879="S. tabernaemontani"),G879&gt;0),E879*[1]Sheet1!$D$8+N879*[1]Sheet1!$E$8,IF(AND(D879="S. californicus",G879&gt;0),E879*[1]Sheet1!$D$9+N879*[1]Sheet1!$E$9,IF(D879="S. maritimus",F879*[1]Sheet1!$C$10+E879*[1]Sheet1!$D$10+G879*[1]Sheet1!$F$10+[1]Sheet1!$L$10,IF(D879="S. americanus",F879*[1]Sheet1!$C$6+E879*[1]Sheet1!$D$6+[1]Sheet1!$L$6,IF(AND(OR(D879="T. domingensis",D879="T. latifolia"),E879&gt;0),F879*[1]Sheet1!$C$4+E879*[1]Sheet1!$D$4+H879*[1]Sheet1!$J$4+I879*[1]Sheet1!$K$4+[1]Sheet1!$L$4,IF(AND(OR(D879="T. domingensis",D879="T. latifolia"),J879&gt;0),J879*[1]Sheet1!$G$5+K879*[1]Sheet1!$H$5+L879*[1]Sheet1!$I$5+[1]Sheet1!$L$5,0)))))))</f>
        <v>16.791428</v>
      </c>
      <c r="P879">
        <f t="shared" si="40"/>
        <v>16.791428</v>
      </c>
      <c r="S879">
        <f t="shared" si="41"/>
        <v>3.6304999437499994</v>
      </c>
    </row>
    <row r="880" spans="1:19">
      <c r="A880" s="7">
        <v>42503</v>
      </c>
      <c r="B880" s="6" t="s">
        <v>57</v>
      </c>
      <c r="C880" s="6">
        <v>50</v>
      </c>
      <c r="D880" s="6" t="s">
        <v>62</v>
      </c>
      <c r="E880">
        <v>252</v>
      </c>
      <c r="F880" s="6">
        <v>1.92</v>
      </c>
      <c r="G880" s="6">
        <v>13</v>
      </c>
      <c r="N880">
        <f t="shared" si="39"/>
        <v>243.20430489599997</v>
      </c>
      <c r="O880">
        <f>IF(AND(OR(D880="S. acutus",D880="S. californicus",D880="S. tabernaemontani"),G880=0),E880*[1]Sheet1!$D$7+[1]Sheet1!$L$7,IF(AND(OR(D880="S. acutus",D880="S. tabernaemontani"),G880&gt;0),E880*[1]Sheet1!$D$8+N880*[1]Sheet1!$E$8,IF(AND(D880="S. californicus",G880&gt;0),E880*[1]Sheet1!$D$9+N880*[1]Sheet1!$E$9,IF(D880="S. maritimus",F880*[1]Sheet1!$C$10+E880*[1]Sheet1!$D$10+G880*[1]Sheet1!$F$10+[1]Sheet1!$L$10,IF(D880="S. americanus",F880*[1]Sheet1!$C$6+E880*[1]Sheet1!$D$6+[1]Sheet1!$L$6,IF(AND(OR(D880="T. domingensis",D880="T. latifolia"),E880&gt;0),F880*[1]Sheet1!$C$4+E880*[1]Sheet1!$D$4+H880*[1]Sheet1!$J$4+I880*[1]Sheet1!$K$4+[1]Sheet1!$L$4,IF(AND(OR(D880="T. domingensis",D880="T. latifolia"),J880&gt;0),J880*[1]Sheet1!$G$5+K880*[1]Sheet1!$H$5+L880*[1]Sheet1!$I$5+[1]Sheet1!$L$5,0)))))))</f>
        <v>20.198952280571902</v>
      </c>
      <c r="P880">
        <f t="shared" si="40"/>
        <v>20.198952280571902</v>
      </c>
      <c r="S880">
        <f t="shared" si="41"/>
        <v>2.8952893439999996</v>
      </c>
    </row>
    <row r="881" spans="1:19">
      <c r="A881" s="7">
        <v>42503</v>
      </c>
      <c r="B881" s="6" t="s">
        <v>57</v>
      </c>
      <c r="C881" s="6">
        <v>50</v>
      </c>
      <c r="D881" s="6" t="s">
        <v>62</v>
      </c>
      <c r="E881">
        <v>315</v>
      </c>
      <c r="F881" s="6">
        <v>2.77</v>
      </c>
      <c r="G881" s="6">
        <v>30</v>
      </c>
      <c r="N881">
        <f t="shared" si="39"/>
        <v>632.75903016374991</v>
      </c>
      <c r="O881">
        <f>IF(AND(OR(D881="S. acutus",D881="S. californicus",D881="S. tabernaemontani"),G881=0),E881*[1]Sheet1!$D$7+[1]Sheet1!$L$7,IF(AND(OR(D881="S. acutus",D881="S. tabernaemontani"),G881&gt;0),E881*[1]Sheet1!$D$8+N881*[1]Sheet1!$E$8,IF(AND(D881="S. californicus",G881&gt;0),E881*[1]Sheet1!$D$9+N881*[1]Sheet1!$E$9,IF(D881="S. maritimus",F881*[1]Sheet1!$C$10+E881*[1]Sheet1!$D$10+G881*[1]Sheet1!$F$10+[1]Sheet1!$L$10,IF(D881="S. americanus",F881*[1]Sheet1!$C$6+E881*[1]Sheet1!$D$6+[1]Sheet1!$L$6,IF(AND(OR(D881="T. domingensis",D881="T. latifolia"),E881&gt;0),F881*[1]Sheet1!$C$4+E881*[1]Sheet1!$D$4+H881*[1]Sheet1!$J$4+I881*[1]Sheet1!$K$4+[1]Sheet1!$L$4,IF(AND(OR(D881="T. domingensis",D881="T. latifolia"),J881&gt;0),J881*[1]Sheet1!$G$5+K881*[1]Sheet1!$H$5+L881*[1]Sheet1!$I$5+[1]Sheet1!$L$5,0)))))))</f>
        <v>44.209228305664112</v>
      </c>
      <c r="P881">
        <f t="shared" si="40"/>
        <v>44.209228305664112</v>
      </c>
      <c r="S881">
        <f t="shared" si="41"/>
        <v>6.0262764777499997</v>
      </c>
    </row>
    <row r="882" spans="1:19">
      <c r="A882" s="7">
        <v>42503</v>
      </c>
      <c r="B882" s="6" t="s">
        <v>57</v>
      </c>
      <c r="C882" s="6">
        <v>50</v>
      </c>
      <c r="D882" s="6" t="s">
        <v>62</v>
      </c>
      <c r="E882">
        <v>358</v>
      </c>
      <c r="F882" s="6">
        <v>3.03</v>
      </c>
      <c r="G882" s="6">
        <v>16</v>
      </c>
      <c r="N882">
        <f t="shared" si="39"/>
        <v>860.47160499149982</v>
      </c>
      <c r="O882">
        <f>IF(AND(OR(D882="S. acutus",D882="S. californicus",D882="S. tabernaemontani"),G882=0),E882*[1]Sheet1!$D$7+[1]Sheet1!$L$7,IF(AND(OR(D882="S. acutus",D882="S. tabernaemontani"),G882&gt;0),E882*[1]Sheet1!$D$8+N882*[1]Sheet1!$E$8,IF(AND(D882="S. californicus",G882&gt;0),E882*[1]Sheet1!$D$9+N882*[1]Sheet1!$E$9,IF(D882="S. maritimus",F882*[1]Sheet1!$C$10+E882*[1]Sheet1!$D$10+G882*[1]Sheet1!$F$10+[1]Sheet1!$L$10,IF(D882="S. americanus",F882*[1]Sheet1!$C$6+E882*[1]Sheet1!$D$6+[1]Sheet1!$L$6,IF(AND(OR(D882="T. domingensis",D882="T. latifolia"),E882&gt;0),F882*[1]Sheet1!$C$4+E882*[1]Sheet1!$D$4+H882*[1]Sheet1!$J$4+I882*[1]Sheet1!$K$4+[1]Sheet1!$L$4,IF(AND(OR(D882="T. domingensis",D882="T. latifolia"),J882&gt;0),J882*[1]Sheet1!$G$5+K882*[1]Sheet1!$H$5+L882*[1]Sheet1!$I$5+[1]Sheet1!$L$5,0)))))))</f>
        <v>58.395548146279765</v>
      </c>
      <c r="P882">
        <f t="shared" si="40"/>
        <v>58.395548146279765</v>
      </c>
      <c r="S882">
        <f t="shared" si="41"/>
        <v>7.2106559077499996</v>
      </c>
    </row>
    <row r="883" spans="1:19">
      <c r="A883" s="7">
        <v>42503</v>
      </c>
      <c r="B883" s="6" t="s">
        <v>57</v>
      </c>
      <c r="C883" s="6">
        <v>50</v>
      </c>
      <c r="D883" s="6" t="s">
        <v>62</v>
      </c>
      <c r="E883">
        <v>161</v>
      </c>
      <c r="F883" s="6">
        <v>2.9</v>
      </c>
      <c r="G883" s="6">
        <v>7</v>
      </c>
      <c r="N883">
        <f t="shared" si="39"/>
        <v>354.47868965833334</v>
      </c>
      <c r="O883">
        <f>IF(AND(OR(D883="S. acutus",D883="S. californicus",D883="S. tabernaemontani"),G883=0),E883*[1]Sheet1!$D$7+[1]Sheet1!$L$7,IF(AND(OR(D883="S. acutus",D883="S. tabernaemontani"),G883&gt;0),E883*[1]Sheet1!$D$8+N883*[1]Sheet1!$E$8,IF(AND(D883="S. californicus",G883&gt;0),E883*[1]Sheet1!$D$9+N883*[1]Sheet1!$E$9,IF(D883="S. maritimus",F883*[1]Sheet1!$C$10+E883*[1]Sheet1!$D$10+G883*[1]Sheet1!$F$10+[1]Sheet1!$L$10,IF(D883="S. americanus",F883*[1]Sheet1!$C$6+E883*[1]Sheet1!$D$6+[1]Sheet1!$L$6,IF(AND(OR(D883="T. domingensis",D883="T. latifolia"),E883&gt;0),F883*[1]Sheet1!$C$4+E883*[1]Sheet1!$D$4+H883*[1]Sheet1!$J$4+I883*[1]Sheet1!$K$4+[1]Sheet1!$L$4,IF(AND(OR(D883="T. domingensis",D883="T. latifolia"),J883&gt;0),J883*[1]Sheet1!$G$5+K883*[1]Sheet1!$H$5+L883*[1]Sheet1!$I$5+[1]Sheet1!$L$5,0)))))))</f>
        <v>24.387673547354719</v>
      </c>
      <c r="P883">
        <f t="shared" si="40"/>
        <v>24.387673547354719</v>
      </c>
      <c r="S883">
        <f t="shared" si="41"/>
        <v>6.6051929749999996</v>
      </c>
    </row>
    <row r="884" spans="1:19">
      <c r="A884" s="7">
        <v>42503</v>
      </c>
      <c r="B884" s="6" t="s">
        <v>57</v>
      </c>
      <c r="C884" s="6">
        <v>50</v>
      </c>
      <c r="D884" s="6" t="s">
        <v>62</v>
      </c>
      <c r="E884">
        <v>260</v>
      </c>
      <c r="F884" s="6">
        <v>2.5</v>
      </c>
      <c r="N884">
        <f t="shared" si="39"/>
        <v>425.4236458333333</v>
      </c>
      <c r="O884">
        <f>IF(AND(OR(D884="S. acutus",D884="S. californicus",D884="S. tabernaemontani"),G884=0),E884*[1]Sheet1!$D$7+[1]Sheet1!$L$7,IF(AND(OR(D884="S. acutus",D884="S. tabernaemontani"),G884&gt;0),E884*[1]Sheet1!$D$8+N884*[1]Sheet1!$E$8,IF(AND(D884="S. californicus",G884&gt;0),E884*[1]Sheet1!$D$9+N884*[1]Sheet1!$E$9,IF(D884="S. maritimus",F884*[1]Sheet1!$C$10+E884*[1]Sheet1!$D$10+G884*[1]Sheet1!$F$10+[1]Sheet1!$L$10,IF(D884="S. americanus",F884*[1]Sheet1!$C$6+E884*[1]Sheet1!$D$6+[1]Sheet1!$L$6,IF(AND(OR(D884="T. domingensis",D884="T. latifolia"),E884&gt;0),F884*[1]Sheet1!$C$4+E884*[1]Sheet1!$D$4+H884*[1]Sheet1!$J$4+I884*[1]Sheet1!$K$4+[1]Sheet1!$L$4,IF(AND(OR(D884="T. domingensis",D884="T. latifolia"),J884&gt;0),J884*[1]Sheet1!$G$5+K884*[1]Sheet1!$H$5+L884*[1]Sheet1!$I$5+[1]Sheet1!$L$5,0)))))))</f>
        <v>13.636703000000001</v>
      </c>
      <c r="P884">
        <f t="shared" si="40"/>
        <v>13.636703000000001</v>
      </c>
      <c r="S884">
        <f t="shared" si="41"/>
        <v>4.9087343749999999</v>
      </c>
    </row>
    <row r="885" spans="1:19">
      <c r="A885" s="7">
        <v>42503</v>
      </c>
      <c r="B885" s="6" t="s">
        <v>57</v>
      </c>
      <c r="C885" s="6">
        <v>50</v>
      </c>
      <c r="D885" s="6" t="s">
        <v>62</v>
      </c>
      <c r="E885">
        <v>331</v>
      </c>
      <c r="F885" s="6">
        <v>2</v>
      </c>
      <c r="G885" s="6">
        <v>24</v>
      </c>
      <c r="N885">
        <f t="shared" si="39"/>
        <v>346.62209666666661</v>
      </c>
      <c r="O885">
        <f>IF(AND(OR(D885="S. acutus",D885="S. californicus",D885="S. tabernaemontani"),G885=0),E885*[1]Sheet1!$D$7+[1]Sheet1!$L$7,IF(AND(OR(D885="S. acutus",D885="S. tabernaemontani"),G885&gt;0),E885*[1]Sheet1!$D$8+N885*[1]Sheet1!$E$8,IF(AND(D885="S. californicus",G885&gt;0),E885*[1]Sheet1!$D$9+N885*[1]Sheet1!$E$9,IF(D885="S. maritimus",F885*[1]Sheet1!$C$10+E885*[1]Sheet1!$D$10+G885*[1]Sheet1!$F$10+[1]Sheet1!$L$10,IF(D885="S. americanus",F885*[1]Sheet1!$C$6+E885*[1]Sheet1!$D$6+[1]Sheet1!$L$6,IF(AND(OR(D885="T. domingensis",D885="T. latifolia"),E885&gt;0),F885*[1]Sheet1!$C$4+E885*[1]Sheet1!$D$4+H885*[1]Sheet1!$J$4+I885*[1]Sheet1!$K$4+[1]Sheet1!$L$4,IF(AND(OR(D885="T. domingensis",D885="T. latifolia"),J885&gt;0),J885*[1]Sheet1!$G$5+K885*[1]Sheet1!$H$5+L885*[1]Sheet1!$I$5+[1]Sheet1!$L$5,0)))))))</f>
        <v>28.098464403153329</v>
      </c>
      <c r="P885">
        <f t="shared" si="40"/>
        <v>28.098464403153329</v>
      </c>
      <c r="S885">
        <f t="shared" si="41"/>
        <v>3.1415899999999999</v>
      </c>
    </row>
    <row r="886" spans="1:19">
      <c r="A886" s="7">
        <v>42503</v>
      </c>
      <c r="B886" s="6" t="s">
        <v>57</v>
      </c>
      <c r="C886" s="6">
        <v>50</v>
      </c>
      <c r="D886" s="6" t="s">
        <v>62</v>
      </c>
      <c r="E886">
        <v>231</v>
      </c>
      <c r="F886" s="6">
        <v>2.5</v>
      </c>
      <c r="G886" s="6">
        <v>14</v>
      </c>
      <c r="N886">
        <f t="shared" si="39"/>
        <v>377.97254687499998</v>
      </c>
      <c r="O886">
        <f>IF(AND(OR(D886="S. acutus",D886="S. californicus",D886="S. tabernaemontani"),G886=0),E886*[1]Sheet1!$D$7+[1]Sheet1!$L$7,IF(AND(OR(D886="S. acutus",D886="S. tabernaemontani"),G886&gt;0),E886*[1]Sheet1!$D$8+N886*[1]Sheet1!$E$8,IF(AND(D886="S. californicus",G886&gt;0),E886*[1]Sheet1!$D$9+N886*[1]Sheet1!$E$9,IF(D886="S. maritimus",F886*[1]Sheet1!$C$10+E886*[1]Sheet1!$D$10+G886*[1]Sheet1!$F$10+[1]Sheet1!$L$10,IF(D886="S. americanus",F886*[1]Sheet1!$C$6+E886*[1]Sheet1!$D$6+[1]Sheet1!$L$6,IF(AND(OR(D886="T. domingensis",D886="T. latifolia"),E886&gt;0),F886*[1]Sheet1!$C$4+E886*[1]Sheet1!$D$4+H886*[1]Sheet1!$J$4+I886*[1]Sheet1!$K$4+[1]Sheet1!$L$4,IF(AND(OR(D886="T. domingensis",D886="T. latifolia"),J886&gt;0),J886*[1]Sheet1!$G$5+K886*[1]Sheet1!$H$5+L886*[1]Sheet1!$I$5+[1]Sheet1!$L$5,0)))))))</f>
        <v>27.457210268468753</v>
      </c>
      <c r="P886">
        <f t="shared" si="40"/>
        <v>27.457210268468753</v>
      </c>
      <c r="S886">
        <f t="shared" si="41"/>
        <v>4.9087343749999999</v>
      </c>
    </row>
    <row r="887" spans="1:19">
      <c r="A887" s="7">
        <v>42503</v>
      </c>
      <c r="B887" s="6" t="s">
        <v>57</v>
      </c>
      <c r="C887" s="6">
        <v>50</v>
      </c>
      <c r="D887" s="6" t="s">
        <v>62</v>
      </c>
      <c r="E887">
        <v>246</v>
      </c>
      <c r="F887" s="6">
        <v>1.87</v>
      </c>
      <c r="G887" s="6">
        <v>25</v>
      </c>
      <c r="N887">
        <f t="shared" si="39"/>
        <v>225.2094344555</v>
      </c>
      <c r="O887">
        <f>IF(AND(OR(D887="S. acutus",D887="S. californicus",D887="S. tabernaemontani"),G887=0),E887*[1]Sheet1!$D$7+[1]Sheet1!$L$7,IF(AND(OR(D887="S. acutus",D887="S. tabernaemontani"),G887&gt;0),E887*[1]Sheet1!$D$8+N887*[1]Sheet1!$E$8,IF(AND(D887="S. californicus",G887&gt;0),E887*[1]Sheet1!$D$9+N887*[1]Sheet1!$E$9,IF(D887="S. maritimus",F887*[1]Sheet1!$C$10+E887*[1]Sheet1!$D$10+G887*[1]Sheet1!$F$10+[1]Sheet1!$L$10,IF(D887="S. americanus",F887*[1]Sheet1!$C$6+E887*[1]Sheet1!$D$6+[1]Sheet1!$L$6,IF(AND(OR(D887="T. domingensis",D887="T. latifolia"),E887&gt;0),F887*[1]Sheet1!$C$4+E887*[1]Sheet1!$D$4+H887*[1]Sheet1!$J$4+I887*[1]Sheet1!$K$4+[1]Sheet1!$L$4,IF(AND(OR(D887="T. domingensis",D887="T. latifolia"),J887&gt;0),J887*[1]Sheet1!$G$5+K887*[1]Sheet1!$H$5+L887*[1]Sheet1!$I$5+[1]Sheet1!$L$5,0)))))))</f>
        <v>19.014154522786509</v>
      </c>
      <c r="P887">
        <f t="shared" si="40"/>
        <v>19.014154522786509</v>
      </c>
      <c r="S887">
        <f t="shared" si="41"/>
        <v>2.7464565177500004</v>
      </c>
    </row>
    <row r="888" spans="1:19">
      <c r="A888" s="7">
        <v>42503</v>
      </c>
      <c r="B888" s="6" t="s">
        <v>57</v>
      </c>
      <c r="C888" s="6">
        <v>50</v>
      </c>
      <c r="D888" s="6" t="s">
        <v>62</v>
      </c>
      <c r="E888">
        <v>209</v>
      </c>
      <c r="F888" s="6">
        <v>2.1800000000000002</v>
      </c>
      <c r="G888" s="6">
        <v>19</v>
      </c>
      <c r="N888">
        <f t="shared" si="39"/>
        <v>260.03244117033336</v>
      </c>
      <c r="O888">
        <f>IF(AND(OR(D888="S. acutus",D888="S. californicus",D888="S. tabernaemontani"),G888=0),E888*[1]Sheet1!$D$7+[1]Sheet1!$L$7,IF(AND(OR(D888="S. acutus",D888="S. tabernaemontani"),G888&gt;0),E888*[1]Sheet1!$D$8+N888*[1]Sheet1!$E$8,IF(AND(D888="S. californicus",G888&gt;0),E888*[1]Sheet1!$D$9+N888*[1]Sheet1!$E$9,IF(D888="S. maritimus",F888*[1]Sheet1!$C$10+E888*[1]Sheet1!$D$10+G888*[1]Sheet1!$F$10+[1]Sheet1!$L$10,IF(D888="S. americanus",F888*[1]Sheet1!$C$6+E888*[1]Sheet1!$D$6+[1]Sheet1!$L$6,IF(AND(OR(D888="T. domingensis",D888="T. latifolia"),E888&gt;0),F888*[1]Sheet1!$C$4+E888*[1]Sheet1!$D$4+H888*[1]Sheet1!$J$4+I888*[1]Sheet1!$K$4+[1]Sheet1!$L$4,IF(AND(OR(D888="T. domingensis",D888="T. latifolia"),J888&gt;0),J888*[1]Sheet1!$G$5+K888*[1]Sheet1!$H$5+L888*[1]Sheet1!$I$5+[1]Sheet1!$L$5,0)))))))</f>
        <v>20.116273412057808</v>
      </c>
      <c r="P888">
        <f t="shared" si="40"/>
        <v>20.116273412057808</v>
      </c>
      <c r="S888">
        <f t="shared" si="41"/>
        <v>3.7325230790000004</v>
      </c>
    </row>
    <row r="889" spans="1:19">
      <c r="A889" s="7">
        <v>42503</v>
      </c>
      <c r="B889" s="6" t="s">
        <v>57</v>
      </c>
      <c r="C889" s="6">
        <v>50</v>
      </c>
      <c r="D889" s="6" t="s">
        <v>62</v>
      </c>
      <c r="E889">
        <v>313</v>
      </c>
      <c r="F889" s="6">
        <v>2.65</v>
      </c>
      <c r="G889" s="6">
        <v>16</v>
      </c>
      <c r="N889">
        <f t="shared" si="39"/>
        <v>575.44569479791664</v>
      </c>
      <c r="O889">
        <f>IF(AND(OR(D889="S. acutus",D889="S. californicus",D889="S. tabernaemontani"),G889=0),E889*[1]Sheet1!$D$7+[1]Sheet1!$L$7,IF(AND(OR(D889="S. acutus",D889="S. tabernaemontani"),G889&gt;0),E889*[1]Sheet1!$D$8+N889*[1]Sheet1!$E$8,IF(AND(D889="S. californicus",G889&gt;0),E889*[1]Sheet1!$D$9+N889*[1]Sheet1!$E$9,IF(D889="S. maritimus",F889*[1]Sheet1!$C$10+E889*[1]Sheet1!$D$10+G889*[1]Sheet1!$F$10+[1]Sheet1!$L$10,IF(D889="S. americanus",F889*[1]Sheet1!$C$6+E889*[1]Sheet1!$D$6+[1]Sheet1!$L$6,IF(AND(OR(D889="T. domingensis",D889="T. latifolia"),E889&gt;0),F889*[1]Sheet1!$C$4+E889*[1]Sheet1!$D$4+H889*[1]Sheet1!$J$4+I889*[1]Sheet1!$K$4+[1]Sheet1!$L$4,IF(AND(OR(D889="T. domingensis",D889="T. latifolia"),J889&gt;0),J889*[1]Sheet1!$G$5+K889*[1]Sheet1!$H$5+L889*[1]Sheet1!$I$5+[1]Sheet1!$L$5,0)))))))</f>
        <v>40.854751801775045</v>
      </c>
      <c r="P889">
        <f t="shared" si="40"/>
        <v>40.854751801775045</v>
      </c>
      <c r="S889">
        <f t="shared" si="41"/>
        <v>5.5154539437499999</v>
      </c>
    </row>
    <row r="890" spans="1:19">
      <c r="A890" s="7">
        <v>42503</v>
      </c>
      <c r="B890" s="6" t="s">
        <v>57</v>
      </c>
      <c r="C890" s="6">
        <v>50</v>
      </c>
      <c r="D890" s="6" t="s">
        <v>62</v>
      </c>
      <c r="E890">
        <v>347</v>
      </c>
      <c r="F890" s="6">
        <v>2.8</v>
      </c>
      <c r="G890" s="6">
        <v>33</v>
      </c>
      <c r="N890">
        <f t="shared" si="39"/>
        <v>712.2193969333332</v>
      </c>
      <c r="O890">
        <f>IF(AND(OR(D890="S. acutus",D890="S. californicus",D890="S. tabernaemontani"),G890=0),E890*[1]Sheet1!$D$7+[1]Sheet1!$L$7,IF(AND(OR(D890="S. acutus",D890="S. tabernaemontani"),G890&gt;0),E890*[1]Sheet1!$D$8+N890*[1]Sheet1!$E$8,IF(AND(D890="S. californicus",G890&gt;0),E890*[1]Sheet1!$D$9+N890*[1]Sheet1!$E$9,IF(D890="S. maritimus",F890*[1]Sheet1!$C$10+E890*[1]Sheet1!$D$10+G890*[1]Sheet1!$F$10+[1]Sheet1!$L$10,IF(D890="S. americanus",F890*[1]Sheet1!$C$6+E890*[1]Sheet1!$D$6+[1]Sheet1!$L$6,IF(AND(OR(D890="T. domingensis",D890="T. latifolia"),E890&gt;0),F890*[1]Sheet1!$C$4+E890*[1]Sheet1!$D$4+H890*[1]Sheet1!$J$4+I890*[1]Sheet1!$K$4+[1]Sheet1!$L$4,IF(AND(OR(D890="T. domingensis",D890="T. latifolia"),J890&gt;0),J890*[1]Sheet1!$G$5+K890*[1]Sheet1!$H$5+L890*[1]Sheet1!$I$5+[1]Sheet1!$L$5,0)))))))</f>
        <v>49.575820698733068</v>
      </c>
      <c r="P890">
        <f t="shared" si="40"/>
        <v>49.575820698733068</v>
      </c>
      <c r="S890">
        <f t="shared" si="41"/>
        <v>6.1575163999999987</v>
      </c>
    </row>
    <row r="891" spans="1:19">
      <c r="A891" s="7">
        <v>42503</v>
      </c>
      <c r="B891" s="6" t="s">
        <v>57</v>
      </c>
      <c r="C891" s="6">
        <v>50</v>
      </c>
      <c r="D891" s="6" t="s">
        <v>62</v>
      </c>
      <c r="E891">
        <v>291</v>
      </c>
      <c r="F891" s="6">
        <v>2.4700000000000002</v>
      </c>
      <c r="G891" s="6">
        <v>18</v>
      </c>
      <c r="N891">
        <f t="shared" si="39"/>
        <v>464.78826595175008</v>
      </c>
      <c r="O891">
        <f>IF(AND(OR(D891="S. acutus",D891="S. californicus",D891="S. tabernaemontani"),G891=0),E891*[1]Sheet1!$D$7+[1]Sheet1!$L$7,IF(AND(OR(D891="S. acutus",D891="S. tabernaemontani"),G891&gt;0),E891*[1]Sheet1!$D$8+N891*[1]Sheet1!$E$8,IF(AND(D891="S. californicus",G891&gt;0),E891*[1]Sheet1!$D$9+N891*[1]Sheet1!$E$9,IF(D891="S. maritimus",F891*[1]Sheet1!$C$10+E891*[1]Sheet1!$D$10+G891*[1]Sheet1!$F$10+[1]Sheet1!$L$10,IF(D891="S. americanus",F891*[1]Sheet1!$C$6+E891*[1]Sheet1!$D$6+[1]Sheet1!$L$6,IF(AND(OR(D891="T. domingensis",D891="T. latifolia"),E891&gt;0),F891*[1]Sheet1!$C$4+E891*[1]Sheet1!$D$4+H891*[1]Sheet1!$J$4+I891*[1]Sheet1!$K$4+[1]Sheet1!$L$4,IF(AND(OR(D891="T. domingensis",D891="T. latifolia"),J891&gt;0),J891*[1]Sheet1!$G$5+K891*[1]Sheet1!$H$5+L891*[1]Sheet1!$I$5+[1]Sheet1!$L$5,0)))))))</f>
        <v>33.933836050501235</v>
      </c>
      <c r="P891">
        <f t="shared" si="40"/>
        <v>33.933836050501235</v>
      </c>
      <c r="S891">
        <f t="shared" si="41"/>
        <v>4.7916316077500003</v>
      </c>
    </row>
    <row r="892" spans="1:19">
      <c r="A892" s="7">
        <v>42503</v>
      </c>
      <c r="B892" s="6" t="s">
        <v>57</v>
      </c>
      <c r="C892" s="6">
        <v>50</v>
      </c>
      <c r="D892" s="6" t="s">
        <v>62</v>
      </c>
      <c r="E892">
        <v>221</v>
      </c>
      <c r="F892" s="6">
        <v>2.68</v>
      </c>
      <c r="G892" s="6">
        <v>24</v>
      </c>
      <c r="N892">
        <f t="shared" si="39"/>
        <v>415.55653996133333</v>
      </c>
      <c r="O892">
        <f>IF(AND(OR(D892="S. acutus",D892="S. californicus",D892="S. tabernaemontani"),G892=0),E892*[1]Sheet1!$D$7+[1]Sheet1!$L$7,IF(AND(OR(D892="S. acutus",D892="S. tabernaemontani"),G892&gt;0),E892*[1]Sheet1!$D$8+N892*[1]Sheet1!$E$8,IF(AND(D892="S. californicus",G892&gt;0),E892*[1]Sheet1!$D$9+N892*[1]Sheet1!$E$9,IF(D892="S. maritimus",F892*[1]Sheet1!$C$10+E892*[1]Sheet1!$D$10+G892*[1]Sheet1!$F$10+[1]Sheet1!$L$10,IF(D892="S. americanus",F892*[1]Sheet1!$C$6+E892*[1]Sheet1!$D$6+[1]Sheet1!$L$6,IF(AND(OR(D892="T. domingensis",D892="T. latifolia"),E892&gt;0),F892*[1]Sheet1!$C$4+E892*[1]Sheet1!$D$4+H892*[1]Sheet1!$J$4+I892*[1]Sheet1!$K$4+[1]Sheet1!$L$4,IF(AND(OR(D892="T. domingensis",D892="T. latifolia"),J892&gt;0),J892*[1]Sheet1!$G$5+K892*[1]Sheet1!$H$5+L892*[1]Sheet1!$I$5+[1]Sheet1!$L$5,0)))))))</f>
        <v>29.379893485729937</v>
      </c>
      <c r="P892">
        <f t="shared" si="40"/>
        <v>29.379893485729937</v>
      </c>
      <c r="S892">
        <f t="shared" si="41"/>
        <v>5.6410390040000005</v>
      </c>
    </row>
    <row r="893" spans="1:19">
      <c r="A893" s="7">
        <v>42503</v>
      </c>
      <c r="B893" s="6" t="s">
        <v>57</v>
      </c>
      <c r="C893" s="6">
        <v>31</v>
      </c>
      <c r="D893" s="6" t="s">
        <v>61</v>
      </c>
      <c r="F893" s="6">
        <v>2.44</v>
      </c>
      <c r="J893">
        <f>139+171+205+216+238</f>
        <v>969</v>
      </c>
      <c r="K893">
        <v>5</v>
      </c>
      <c r="L893">
        <v>238</v>
      </c>
      <c r="N893" t="str">
        <f t="shared" si="39"/>
        <v>NA</v>
      </c>
      <c r="O893">
        <f>IF(AND(OR(D893="S. acutus",D893="S. californicus",D893="S. tabernaemontani"),G893=0),E893*[1]Sheet1!$D$7+[1]Sheet1!$L$7,IF(AND(OR(D893="S. acutus",D893="S. tabernaemontani"),G893&gt;0),E893*[1]Sheet1!$D$8+N893*[1]Sheet1!$E$8,IF(AND(D893="S. californicus",G893&gt;0),E893*[1]Sheet1!$D$9+N893*[1]Sheet1!$E$9,IF(D893="S. maritimus",F893*[1]Sheet1!$C$10+E893*[1]Sheet1!$D$10+G893*[1]Sheet1!$F$10+[1]Sheet1!$L$10,IF(D893="S. americanus",F893*[1]Sheet1!$C$6+E893*[1]Sheet1!$D$6+[1]Sheet1!$L$6,IF(AND(OR(D893="T. domingensis",D893="T. latifolia"),E893&gt;0),F893*[1]Sheet1!$C$4+E893*[1]Sheet1!$D$4+H893*[1]Sheet1!$J$4+I893*[1]Sheet1!$K$4+[1]Sheet1!$L$4,IF(AND(OR(D893="T. domingensis",D893="T. latifolia"),J893&gt;0),J893*[1]Sheet1!$G$5+K893*[1]Sheet1!$H$5+L893*[1]Sheet1!$I$5+[1]Sheet1!$L$5,0)))))))</f>
        <v>17.077504000000005</v>
      </c>
      <c r="P893">
        <f t="shared" si="40"/>
        <v>17.077504000000005</v>
      </c>
      <c r="S893">
        <f t="shared" si="41"/>
        <v>4.6759425559999999</v>
      </c>
    </row>
    <row r="894" spans="1:19">
      <c r="A894" s="7">
        <v>42503</v>
      </c>
      <c r="B894" s="6" t="s">
        <v>57</v>
      </c>
      <c r="C894" s="6">
        <v>31</v>
      </c>
      <c r="D894" s="6" t="s">
        <v>61</v>
      </c>
      <c r="F894" s="6">
        <v>1.29</v>
      </c>
      <c r="J894">
        <f>155+171+135+201</f>
        <v>662</v>
      </c>
      <c r="K894">
        <v>4</v>
      </c>
      <c r="L894">
        <v>201</v>
      </c>
      <c r="N894" t="str">
        <f t="shared" si="39"/>
        <v>NA</v>
      </c>
      <c r="O894">
        <f>IF(AND(OR(D894="S. acutus",D894="S. californicus",D894="S. tabernaemontani"),G894=0),E894*[1]Sheet1!$D$7+[1]Sheet1!$L$7,IF(AND(OR(D894="S. acutus",D894="S. tabernaemontani"),G894&gt;0),E894*[1]Sheet1!$D$8+N894*[1]Sheet1!$E$8,IF(AND(D894="S. californicus",G894&gt;0),E894*[1]Sheet1!$D$9+N894*[1]Sheet1!$E$9,IF(D894="S. maritimus",F894*[1]Sheet1!$C$10+E894*[1]Sheet1!$D$10+G894*[1]Sheet1!$F$10+[1]Sheet1!$L$10,IF(D894="S. americanus",F894*[1]Sheet1!$C$6+E894*[1]Sheet1!$D$6+[1]Sheet1!$L$6,IF(AND(OR(D894="T. domingensis",D894="T. latifolia"),E894&gt;0),F894*[1]Sheet1!$C$4+E894*[1]Sheet1!$D$4+H894*[1]Sheet1!$J$4+I894*[1]Sheet1!$K$4+[1]Sheet1!$L$4,IF(AND(OR(D894="T. domingensis",D894="T. latifolia"),J894&gt;0),J894*[1]Sheet1!$G$5+K894*[1]Sheet1!$H$5+L894*[1]Sheet1!$I$5+[1]Sheet1!$L$5,0)))))))</f>
        <v>6.4631370000000032</v>
      </c>
      <c r="P894">
        <f t="shared" si="40"/>
        <v>6.4631370000000032</v>
      </c>
      <c r="S894">
        <f t="shared" si="41"/>
        <v>1.3069799797500001</v>
      </c>
    </row>
    <row r="895" spans="1:19">
      <c r="A895" s="7">
        <v>42503</v>
      </c>
      <c r="B895" s="6" t="s">
        <v>57</v>
      </c>
      <c r="C895" s="6">
        <v>31</v>
      </c>
      <c r="D895" s="6" t="s">
        <v>61</v>
      </c>
      <c r="F895" s="6">
        <v>2.25</v>
      </c>
      <c r="J895">
        <f>170+175+216+254+254+283</f>
        <v>1352</v>
      </c>
      <c r="K895">
        <v>6</v>
      </c>
      <c r="L895">
        <v>283</v>
      </c>
      <c r="N895" t="str">
        <f t="shared" si="39"/>
        <v>NA</v>
      </c>
      <c r="O895">
        <f>IF(AND(OR(D895="S. acutus",D895="S. californicus",D895="S. tabernaemontani"),G895=0),E895*[1]Sheet1!$D$7+[1]Sheet1!$L$7,IF(AND(OR(D895="S. acutus",D895="S. tabernaemontani"),G895&gt;0),E895*[1]Sheet1!$D$8+N895*[1]Sheet1!$E$8,IF(AND(D895="S. californicus",G895&gt;0),E895*[1]Sheet1!$D$9+N895*[1]Sheet1!$E$9,IF(D895="S. maritimus",F895*[1]Sheet1!$C$10+E895*[1]Sheet1!$D$10+G895*[1]Sheet1!$F$10+[1]Sheet1!$L$10,IF(D895="S. americanus",F895*[1]Sheet1!$C$6+E895*[1]Sheet1!$D$6+[1]Sheet1!$L$6,IF(AND(OR(D895="T. domingensis",D895="T. latifolia"),E895&gt;0),F895*[1]Sheet1!$C$4+E895*[1]Sheet1!$D$4+H895*[1]Sheet1!$J$4+I895*[1]Sheet1!$K$4+[1]Sheet1!$L$4,IF(AND(OR(D895="T. domingensis",D895="T. latifolia"),J895&gt;0),J895*[1]Sheet1!$G$5+K895*[1]Sheet1!$H$5+L895*[1]Sheet1!$I$5+[1]Sheet1!$L$5,0)))))))</f>
        <v>32.407290999999994</v>
      </c>
      <c r="P895">
        <f t="shared" si="40"/>
        <v>32.407290999999994</v>
      </c>
      <c r="S895">
        <f t="shared" si="41"/>
        <v>3.9760748437499998</v>
      </c>
    </row>
    <row r="896" spans="1:19">
      <c r="A896" s="7">
        <v>42503</v>
      </c>
      <c r="B896" s="6" t="s">
        <v>57</v>
      </c>
      <c r="C896" s="6">
        <v>31</v>
      </c>
      <c r="D896" s="6" t="s">
        <v>61</v>
      </c>
      <c r="F896" s="6">
        <v>2.0299999999999998</v>
      </c>
      <c r="J896">
        <f>87+110+160+215+224</f>
        <v>796</v>
      </c>
      <c r="K896">
        <v>5</v>
      </c>
      <c r="L896">
        <v>224</v>
      </c>
      <c r="N896" t="str">
        <f t="shared" si="39"/>
        <v>NA</v>
      </c>
      <c r="O896">
        <f>IF(AND(OR(D896="S. acutus",D896="S. californicus",D896="S. tabernaemontani"),G896=0),E896*[1]Sheet1!$D$7+[1]Sheet1!$L$7,IF(AND(OR(D896="S. acutus",D896="S. tabernaemontani"),G896&gt;0),E896*[1]Sheet1!$D$8+N896*[1]Sheet1!$E$8,IF(AND(D896="S. californicus",G896&gt;0),E896*[1]Sheet1!$D$9+N896*[1]Sheet1!$E$9,IF(D896="S. maritimus",F896*[1]Sheet1!$C$10+E896*[1]Sheet1!$D$10+G896*[1]Sheet1!$F$10+[1]Sheet1!$L$10,IF(D896="S. americanus",F896*[1]Sheet1!$C$6+E896*[1]Sheet1!$D$6+[1]Sheet1!$L$6,IF(AND(OR(D896="T. domingensis",D896="T. latifolia"),E896&gt;0),F896*[1]Sheet1!$C$4+E896*[1]Sheet1!$D$4+H896*[1]Sheet1!$J$4+I896*[1]Sheet1!$K$4+[1]Sheet1!$L$4,IF(AND(OR(D896="T. domingensis",D896="T. latifolia"),J896&gt;0),J896*[1]Sheet1!$G$5+K896*[1]Sheet1!$H$5+L896*[1]Sheet1!$I$5+[1]Sheet1!$L$5,0)))))))</f>
        <v>5.0753189999999933</v>
      </c>
      <c r="P896">
        <f t="shared" si="40"/>
        <v>5.0753189999999933</v>
      </c>
      <c r="S896">
        <f t="shared" si="41"/>
        <v>3.2365445577499989</v>
      </c>
    </row>
    <row r="897" spans="1:19">
      <c r="A897" s="7">
        <v>42503</v>
      </c>
      <c r="B897" s="6" t="s">
        <v>57</v>
      </c>
      <c r="C897" s="6">
        <v>31</v>
      </c>
      <c r="D897" s="6" t="s">
        <v>61</v>
      </c>
      <c r="F897" s="6">
        <v>1.0900000000000001</v>
      </c>
      <c r="J897">
        <f>84+101+123+128</f>
        <v>436</v>
      </c>
      <c r="K897">
        <v>4</v>
      </c>
      <c r="L897">
        <v>128</v>
      </c>
      <c r="N897" t="str">
        <f t="shared" si="39"/>
        <v>NA</v>
      </c>
      <c r="O897">
        <f>IF(AND(OR(D897="S. acutus",D897="S. californicus",D897="S. tabernaemontani"),G897=0),E897*[1]Sheet1!$D$7+[1]Sheet1!$L$7,IF(AND(OR(D897="S. acutus",D897="S. tabernaemontani"),G897&gt;0),E897*[1]Sheet1!$D$8+N897*[1]Sheet1!$E$8,IF(AND(D897="S. californicus",G897&gt;0),E897*[1]Sheet1!$D$9+N897*[1]Sheet1!$E$9,IF(D897="S. maritimus",F897*[1]Sheet1!$C$10+E897*[1]Sheet1!$D$10+G897*[1]Sheet1!$F$10+[1]Sheet1!$L$10,IF(D897="S. americanus",F897*[1]Sheet1!$C$6+E897*[1]Sheet1!$D$6+[1]Sheet1!$L$6,IF(AND(OR(D897="T. domingensis",D897="T. latifolia"),E897&gt;0),F897*[1]Sheet1!$C$4+E897*[1]Sheet1!$D$4+H897*[1]Sheet1!$J$4+I897*[1]Sheet1!$K$4+[1]Sheet1!$L$4,IF(AND(OR(D897="T. domingensis",D897="T. latifolia"),J897&gt;0),J897*[1]Sheet1!$G$5+K897*[1]Sheet1!$H$5+L897*[1]Sheet1!$I$5+[1]Sheet1!$L$5,0)))))))</f>
        <v>7.2653920000000021</v>
      </c>
      <c r="P897">
        <f t="shared" si="40"/>
        <v>7.2653920000000021</v>
      </c>
      <c r="S897">
        <f t="shared" si="41"/>
        <v>0.93313076975000009</v>
      </c>
    </row>
    <row r="898" spans="1:19">
      <c r="A898" s="7">
        <v>42503</v>
      </c>
      <c r="B898" s="6" t="s">
        <v>57</v>
      </c>
      <c r="C898" s="6">
        <v>31</v>
      </c>
      <c r="D898" s="6" t="s">
        <v>61</v>
      </c>
      <c r="F898" s="6">
        <v>1.0900000000000001</v>
      </c>
      <c r="J898">
        <f>71+79+78+97</f>
        <v>325</v>
      </c>
      <c r="K898">
        <v>4</v>
      </c>
      <c r="L898">
        <v>97</v>
      </c>
      <c r="N898" t="str">
        <f t="shared" si="39"/>
        <v>NA</v>
      </c>
      <c r="O898">
        <f>IF(AND(OR(D898="S. acutus",D898="S. californicus",D898="S. tabernaemontani"),G898=0),E898*[1]Sheet1!$D$7+[1]Sheet1!$L$7,IF(AND(OR(D898="S. acutus",D898="S. tabernaemontani"),G898&gt;0),E898*[1]Sheet1!$D$8+N898*[1]Sheet1!$E$8,IF(AND(D898="S. californicus",G898&gt;0),E898*[1]Sheet1!$D$9+N898*[1]Sheet1!$E$9,IF(D898="S. maritimus",F898*[1]Sheet1!$C$10+E898*[1]Sheet1!$D$10+G898*[1]Sheet1!$F$10+[1]Sheet1!$L$10,IF(D898="S. americanus",F898*[1]Sheet1!$C$6+E898*[1]Sheet1!$D$6+[1]Sheet1!$L$6,IF(AND(OR(D898="T. domingensis",D898="T. latifolia"),E898&gt;0),F898*[1]Sheet1!$C$4+E898*[1]Sheet1!$D$4+H898*[1]Sheet1!$J$4+I898*[1]Sheet1!$K$4+[1]Sheet1!$L$4,IF(AND(OR(D898="T. domingensis",D898="T. latifolia"),J898&gt;0),J898*[1]Sheet1!$G$5+K898*[1]Sheet1!$H$5+L898*[1]Sheet1!$I$5+[1]Sheet1!$L$5,0)))))))</f>
        <v>6.197181999999998</v>
      </c>
      <c r="P898">
        <f t="shared" si="40"/>
        <v>6.197181999999998</v>
      </c>
      <c r="S898">
        <f t="shared" si="41"/>
        <v>0.93313076975000009</v>
      </c>
    </row>
    <row r="899" spans="1:19">
      <c r="A899" s="7">
        <v>42503</v>
      </c>
      <c r="B899" s="6" t="s">
        <v>57</v>
      </c>
      <c r="C899" s="6">
        <v>31</v>
      </c>
      <c r="D899" s="6" t="s">
        <v>61</v>
      </c>
      <c r="F899" s="6">
        <v>1.52</v>
      </c>
      <c r="J899">
        <f>117+137+185+228+255+260+281</f>
        <v>1463</v>
      </c>
      <c r="K899">
        <v>7</v>
      </c>
      <c r="L899">
        <v>281</v>
      </c>
      <c r="N899" t="str">
        <f t="shared" si="39"/>
        <v>NA</v>
      </c>
      <c r="O899">
        <f>IF(AND(OR(D899="S. acutus",D899="S. californicus",D899="S. tabernaemontani"),G899=0),E899*[1]Sheet1!$D$7+[1]Sheet1!$L$7,IF(AND(OR(D899="S. acutus",D899="S. tabernaemontani"),G899&gt;0),E899*[1]Sheet1!$D$8+N899*[1]Sheet1!$E$8,IF(AND(D899="S. californicus",G899&gt;0),E899*[1]Sheet1!$D$9+N899*[1]Sheet1!$E$9,IF(D899="S. maritimus",F899*[1]Sheet1!$C$10+E899*[1]Sheet1!$D$10+G899*[1]Sheet1!$F$10+[1]Sheet1!$L$10,IF(D899="S. americanus",F899*[1]Sheet1!$C$6+E899*[1]Sheet1!$D$6+[1]Sheet1!$L$6,IF(AND(OR(D899="T. domingensis",D899="T. latifolia"),E899&gt;0),F899*[1]Sheet1!$C$4+E899*[1]Sheet1!$D$4+H899*[1]Sheet1!$J$4+I899*[1]Sheet1!$K$4+[1]Sheet1!$L$4,IF(AND(OR(D899="T. domingensis",D899="T. latifolia"),J899&gt;0),J899*[1]Sheet1!$G$5+K899*[1]Sheet1!$H$5+L899*[1]Sheet1!$I$5+[1]Sheet1!$L$5,0)))))))</f>
        <v>36.394233000000007</v>
      </c>
      <c r="P899">
        <f t="shared" si="40"/>
        <v>36.394233000000007</v>
      </c>
      <c r="S899">
        <f t="shared" si="41"/>
        <v>1.8145823839999999</v>
      </c>
    </row>
    <row r="900" spans="1:19">
      <c r="A900" s="7">
        <v>42503</v>
      </c>
      <c r="B900" s="6" t="s">
        <v>57</v>
      </c>
      <c r="C900" s="6">
        <v>31</v>
      </c>
      <c r="D900" s="6" t="s">
        <v>61</v>
      </c>
      <c r="E900">
        <v>188</v>
      </c>
      <c r="F900" s="6">
        <v>1.62</v>
      </c>
      <c r="H900">
        <v>27</v>
      </c>
      <c r="I900">
        <v>1.77</v>
      </c>
      <c r="N900" t="str">
        <f t="shared" ref="N900:N963" si="42">IF(OR(D900="S. acutus", D900="S. tabernaemontani", D900="S. californicus"),(1/3)*(3.14159)*((F900/2)^2)*E900,"NA")</f>
        <v>NA</v>
      </c>
      <c r="O900">
        <f>IF(AND(OR(D900="S. acutus",D900="S. californicus",D900="S. tabernaemontani"),G900=0),E900*[1]Sheet1!$D$7+[1]Sheet1!$L$7,IF(AND(OR(D900="S. acutus",D900="S. tabernaemontani"),G900&gt;0),E900*[1]Sheet1!$D$8+N900*[1]Sheet1!$E$8,IF(AND(D900="S. californicus",G900&gt;0),E900*[1]Sheet1!$D$9+N900*[1]Sheet1!$E$9,IF(D900="S. maritimus",F900*[1]Sheet1!$C$10+E900*[1]Sheet1!$D$10+G900*[1]Sheet1!$F$10+[1]Sheet1!$L$10,IF(D900="S. americanus",F900*[1]Sheet1!$C$6+E900*[1]Sheet1!$D$6+[1]Sheet1!$L$6,IF(AND(OR(D900="T. domingensis",D900="T. latifolia"),E900&gt;0),F900*[1]Sheet1!$C$4+E900*[1]Sheet1!$D$4+H900*[1]Sheet1!$J$4+I900*[1]Sheet1!$K$4+[1]Sheet1!$L$4,IF(AND(OR(D900="T. domingensis",D900="T. latifolia"),J900&gt;0),J900*[1]Sheet1!$G$5+K900*[1]Sheet1!$H$5+L900*[1]Sheet1!$I$5+[1]Sheet1!$L$5,0)))))))</f>
        <v>46.195652700000011</v>
      </c>
      <c r="P900">
        <f t="shared" ref="P900:P963" si="43">IF(O900&lt;0," ",O900)</f>
        <v>46.195652700000011</v>
      </c>
      <c r="S900">
        <f t="shared" ref="S900:S963" si="44">3.14159*((F900/2)^2)</f>
        <v>2.0611971990000004</v>
      </c>
    </row>
    <row r="901" spans="1:19">
      <c r="A901" s="7">
        <v>42503</v>
      </c>
      <c r="B901" s="6" t="s">
        <v>57</v>
      </c>
      <c r="C901" s="6">
        <v>31</v>
      </c>
      <c r="D901" s="6" t="s">
        <v>61</v>
      </c>
      <c r="F901" s="6">
        <v>2.57</v>
      </c>
      <c r="J901">
        <f>135+132+187+228+255+260+281</f>
        <v>1478</v>
      </c>
      <c r="K901">
        <v>7</v>
      </c>
      <c r="L901">
        <v>281</v>
      </c>
      <c r="N901" t="str">
        <f t="shared" si="42"/>
        <v>NA</v>
      </c>
      <c r="O901">
        <f>IF(AND(OR(D901="S. acutus",D901="S. californicus",D901="S. tabernaemontani"),G901=0),E901*[1]Sheet1!$D$7+[1]Sheet1!$L$7,IF(AND(OR(D901="S. acutus",D901="S. tabernaemontani"),G901&gt;0),E901*[1]Sheet1!$D$8+N901*[1]Sheet1!$E$8,IF(AND(D901="S. californicus",G901&gt;0),E901*[1]Sheet1!$D$9+N901*[1]Sheet1!$E$9,IF(D901="S. maritimus",F901*[1]Sheet1!$C$10+E901*[1]Sheet1!$D$10+G901*[1]Sheet1!$F$10+[1]Sheet1!$L$10,IF(D901="S. americanus",F901*[1]Sheet1!$C$6+E901*[1]Sheet1!$D$6+[1]Sheet1!$L$6,IF(AND(OR(D901="T. domingensis",D901="T. latifolia"),E901&gt;0),F901*[1]Sheet1!$C$4+E901*[1]Sheet1!$D$4+H901*[1]Sheet1!$J$4+I901*[1]Sheet1!$K$4+[1]Sheet1!$L$4,IF(AND(OR(D901="T. domingensis",D901="T. latifolia"),J901&gt;0),J901*[1]Sheet1!$G$5+K901*[1]Sheet1!$H$5+L901*[1]Sheet1!$I$5+[1]Sheet1!$L$5,0)))))))</f>
        <v>37.800558000000017</v>
      </c>
      <c r="P901">
        <f t="shared" si="43"/>
        <v>37.800558000000017</v>
      </c>
      <c r="S901">
        <f t="shared" si="44"/>
        <v>5.1874719477499989</v>
      </c>
    </row>
    <row r="902" spans="1:19">
      <c r="A902" s="7">
        <v>42503</v>
      </c>
      <c r="B902" s="6" t="s">
        <v>57</v>
      </c>
      <c r="C902" s="6">
        <v>31</v>
      </c>
      <c r="D902" s="6" t="s">
        <v>61</v>
      </c>
      <c r="F902" s="6">
        <v>4.5</v>
      </c>
      <c r="J902">
        <f>170+215+221+290+280</f>
        <v>1176</v>
      </c>
      <c r="K902">
        <v>5</v>
      </c>
      <c r="L902">
        <v>290</v>
      </c>
      <c r="N902" t="str">
        <f t="shared" si="42"/>
        <v>NA</v>
      </c>
      <c r="O902">
        <f>IF(AND(OR(D902="S. acutus",D902="S. californicus",D902="S. tabernaemontani"),G902=0),E902*[1]Sheet1!$D$7+[1]Sheet1!$L$7,IF(AND(OR(D902="S. acutus",D902="S. tabernaemontani"),G902&gt;0),E902*[1]Sheet1!$D$8+N902*[1]Sheet1!$E$8,IF(AND(D902="S. californicus",G902&gt;0),E902*[1]Sheet1!$D$9+N902*[1]Sheet1!$E$9,IF(D902="S. maritimus",F902*[1]Sheet1!$C$10+E902*[1]Sheet1!$D$10+G902*[1]Sheet1!$F$10+[1]Sheet1!$L$10,IF(D902="S. americanus",F902*[1]Sheet1!$C$6+E902*[1]Sheet1!$D$6+[1]Sheet1!$L$6,IF(AND(OR(D902="T. domingensis",D902="T. latifolia"),E902&gt;0),F902*[1]Sheet1!$C$4+E902*[1]Sheet1!$D$4+H902*[1]Sheet1!$J$4+I902*[1]Sheet1!$K$4+[1]Sheet1!$L$4,IF(AND(OR(D902="T. domingensis",D902="T. latifolia"),J902&gt;0),J902*[1]Sheet1!$G$5+K902*[1]Sheet1!$H$5+L902*[1]Sheet1!$I$5+[1]Sheet1!$L$5,0)))))))</f>
        <v>20.820049000000004</v>
      </c>
      <c r="P902">
        <f t="shared" si="43"/>
        <v>20.820049000000004</v>
      </c>
      <c r="S902">
        <f t="shared" si="44"/>
        <v>15.904299374999999</v>
      </c>
    </row>
    <row r="903" spans="1:19">
      <c r="A903" s="7">
        <v>42503</v>
      </c>
      <c r="B903" s="6" t="s">
        <v>57</v>
      </c>
      <c r="C903" s="6">
        <v>31</v>
      </c>
      <c r="D903" s="6" t="s">
        <v>61</v>
      </c>
      <c r="F903" s="6">
        <v>3.08</v>
      </c>
      <c r="J903">
        <f>66+130+261+333+348</f>
        <v>1138</v>
      </c>
      <c r="K903">
        <v>5</v>
      </c>
      <c r="L903">
        <v>348</v>
      </c>
      <c r="N903" t="str">
        <f t="shared" si="42"/>
        <v>NA</v>
      </c>
      <c r="O903">
        <f>IF(AND(OR(D903="S. acutus",D903="S. californicus",D903="S. tabernaemontani"),G903=0),E903*[1]Sheet1!$D$7+[1]Sheet1!$L$7,IF(AND(OR(D903="S. acutus",D903="S. tabernaemontani"),G903&gt;0),E903*[1]Sheet1!$D$8+N903*[1]Sheet1!$E$8,IF(AND(D903="S. californicus",G903&gt;0),E903*[1]Sheet1!$D$9+N903*[1]Sheet1!$E$9,IF(D903="S. maritimus",F903*[1]Sheet1!$C$10+E903*[1]Sheet1!$D$10+G903*[1]Sheet1!$F$10+[1]Sheet1!$L$10,IF(D903="S. americanus",F903*[1]Sheet1!$C$6+E903*[1]Sheet1!$D$6+[1]Sheet1!$L$6,IF(AND(OR(D903="T. domingensis",D903="T. latifolia"),E903&gt;0),F903*[1]Sheet1!$C$4+E903*[1]Sheet1!$D$4+H903*[1]Sheet1!$J$4+I903*[1]Sheet1!$K$4+[1]Sheet1!$L$4,IF(AND(OR(D903="T. domingensis",D903="T. latifolia"),J903&gt;0),J903*[1]Sheet1!$G$5+K903*[1]Sheet1!$H$5+L903*[1]Sheet1!$I$5+[1]Sheet1!$L$5,0)))))))</f>
        <v>-0.21485100000000301</v>
      </c>
      <c r="P903" t="str">
        <f t="shared" si="43"/>
        <v xml:space="preserve"> </v>
      </c>
      <c r="S903">
        <f t="shared" si="44"/>
        <v>7.4505948439999994</v>
      </c>
    </row>
    <row r="904" spans="1:19">
      <c r="A904" s="7">
        <v>42503</v>
      </c>
      <c r="B904" s="6" t="s">
        <v>57</v>
      </c>
      <c r="C904" s="6">
        <v>31</v>
      </c>
      <c r="D904" s="6" t="s">
        <v>61</v>
      </c>
      <c r="F904" s="6">
        <v>1.34</v>
      </c>
      <c r="J904">
        <f>136+142+178+182+204</f>
        <v>842</v>
      </c>
      <c r="K904">
        <v>5</v>
      </c>
      <c r="L904">
        <v>204</v>
      </c>
      <c r="N904" t="str">
        <f t="shared" si="42"/>
        <v>NA</v>
      </c>
      <c r="O904">
        <f>IF(AND(OR(D904="S. acutus",D904="S. californicus",D904="S. tabernaemontani"),G904=0),E904*[1]Sheet1!$D$7+[1]Sheet1!$L$7,IF(AND(OR(D904="S. acutus",D904="S. tabernaemontani"),G904&gt;0),E904*[1]Sheet1!$D$8+N904*[1]Sheet1!$E$8,IF(AND(D904="S. californicus",G904&gt;0),E904*[1]Sheet1!$D$9+N904*[1]Sheet1!$E$9,IF(D904="S. maritimus",F904*[1]Sheet1!$C$10+E904*[1]Sheet1!$D$10+G904*[1]Sheet1!$F$10+[1]Sheet1!$L$10,IF(D904="S. americanus",F904*[1]Sheet1!$C$6+E904*[1]Sheet1!$D$6+[1]Sheet1!$L$6,IF(AND(OR(D904="T. domingensis",D904="T. latifolia"),E904&gt;0),F904*[1]Sheet1!$C$4+E904*[1]Sheet1!$D$4+H904*[1]Sheet1!$J$4+I904*[1]Sheet1!$K$4+[1]Sheet1!$L$4,IF(AND(OR(D904="T. domingensis",D904="T. latifolia"),J904&gt;0),J904*[1]Sheet1!$G$5+K904*[1]Sheet1!$H$5+L904*[1]Sheet1!$I$5+[1]Sheet1!$L$5,0)))))))</f>
        <v>15.412949000000005</v>
      </c>
      <c r="P904">
        <f t="shared" si="43"/>
        <v>15.412949000000005</v>
      </c>
      <c r="S904">
        <f t="shared" si="44"/>
        <v>1.4102597510000001</v>
      </c>
    </row>
    <row r="905" spans="1:19">
      <c r="A905" s="7">
        <v>42503</v>
      </c>
      <c r="B905" s="6" t="s">
        <v>57</v>
      </c>
      <c r="C905" s="6">
        <v>31</v>
      </c>
      <c r="D905" s="6" t="s">
        <v>61</v>
      </c>
      <c r="F905" s="6">
        <v>0.33</v>
      </c>
      <c r="J905">
        <f>38+36+93</f>
        <v>167</v>
      </c>
      <c r="K905">
        <v>3</v>
      </c>
      <c r="L905">
        <v>93</v>
      </c>
      <c r="N905" t="str">
        <f t="shared" si="42"/>
        <v>NA</v>
      </c>
      <c r="O905">
        <f>IF(AND(OR(D905="S. acutus",D905="S. californicus",D905="S. tabernaemontani"),G905=0),E905*[1]Sheet1!$D$7+[1]Sheet1!$L$7,IF(AND(OR(D905="S. acutus",D905="S. tabernaemontani"),G905&gt;0),E905*[1]Sheet1!$D$8+N905*[1]Sheet1!$E$8,IF(AND(D905="S. californicus",G905&gt;0),E905*[1]Sheet1!$D$9+N905*[1]Sheet1!$E$9,IF(D905="S. maritimus",F905*[1]Sheet1!$C$10+E905*[1]Sheet1!$D$10+G905*[1]Sheet1!$F$10+[1]Sheet1!$L$10,IF(D905="S. americanus",F905*[1]Sheet1!$C$6+E905*[1]Sheet1!$D$6+[1]Sheet1!$L$6,IF(AND(OR(D905="T. domingensis",D905="T. latifolia"),E905&gt;0),F905*[1]Sheet1!$C$4+E905*[1]Sheet1!$D$4+H905*[1]Sheet1!$J$4+I905*[1]Sheet1!$K$4+[1]Sheet1!$L$4,IF(AND(OR(D905="T. domingensis",D905="T. latifolia"),J905&gt;0),J905*[1]Sheet1!$G$5+K905*[1]Sheet1!$H$5+L905*[1]Sheet1!$I$5+[1]Sheet1!$L$5,0)))))))</f>
        <v>-0.38877500000000254</v>
      </c>
      <c r="P905" t="str">
        <f t="shared" si="43"/>
        <v xml:space="preserve"> </v>
      </c>
      <c r="S905">
        <f t="shared" si="44"/>
        <v>8.5529787750000003E-2</v>
      </c>
    </row>
    <row r="906" spans="1:19">
      <c r="A906" s="7">
        <v>42503</v>
      </c>
      <c r="B906" s="6" t="s">
        <v>57</v>
      </c>
      <c r="C906" s="6">
        <v>31</v>
      </c>
      <c r="D906" s="6" t="s">
        <v>61</v>
      </c>
      <c r="F906" s="6">
        <v>1.34</v>
      </c>
      <c r="J906">
        <f>88+159+167+189</f>
        <v>603</v>
      </c>
      <c r="K906">
        <v>4</v>
      </c>
      <c r="L906">
        <v>189</v>
      </c>
      <c r="N906" t="str">
        <f t="shared" si="42"/>
        <v>NA</v>
      </c>
      <c r="O906">
        <f>IF(AND(OR(D906="S. acutus",D906="S. californicus",D906="S. tabernaemontani"),G906=0),E906*[1]Sheet1!$D$7+[1]Sheet1!$L$7,IF(AND(OR(D906="S. acutus",D906="S. tabernaemontani"),G906&gt;0),E906*[1]Sheet1!$D$8+N906*[1]Sheet1!$E$8,IF(AND(D906="S. californicus",G906&gt;0),E906*[1]Sheet1!$D$9+N906*[1]Sheet1!$E$9,IF(D906="S. maritimus",F906*[1]Sheet1!$C$10+E906*[1]Sheet1!$D$10+G906*[1]Sheet1!$F$10+[1]Sheet1!$L$10,IF(D906="S. americanus",F906*[1]Sheet1!$C$6+E906*[1]Sheet1!$D$6+[1]Sheet1!$L$6,IF(AND(OR(D906="T. domingensis",D906="T. latifolia"),E906&gt;0),F906*[1]Sheet1!$C$4+E906*[1]Sheet1!$D$4+H906*[1]Sheet1!$J$4+I906*[1]Sheet1!$K$4+[1]Sheet1!$L$4,IF(AND(OR(D906="T. domingensis",D906="T. latifolia"),J906&gt;0),J906*[1]Sheet1!$G$5+K906*[1]Sheet1!$H$5+L906*[1]Sheet1!$I$5+[1]Sheet1!$L$5,0)))))))</f>
        <v>4.5465320000000027</v>
      </c>
      <c r="P906">
        <f t="shared" si="43"/>
        <v>4.5465320000000027</v>
      </c>
      <c r="S906">
        <f t="shared" si="44"/>
        <v>1.4102597510000001</v>
      </c>
    </row>
    <row r="907" spans="1:19">
      <c r="A907" s="7">
        <v>42503</v>
      </c>
      <c r="B907" s="6" t="s">
        <v>57</v>
      </c>
      <c r="C907" s="6">
        <v>31</v>
      </c>
      <c r="D907" s="6" t="s">
        <v>61</v>
      </c>
      <c r="F907" s="6">
        <v>2.92</v>
      </c>
      <c r="J907">
        <f>129+179+197+237+237+265+274</f>
        <v>1518</v>
      </c>
      <c r="K907">
        <v>7</v>
      </c>
      <c r="L907">
        <v>274</v>
      </c>
      <c r="N907" t="str">
        <f t="shared" si="42"/>
        <v>NA</v>
      </c>
      <c r="O907">
        <f>IF(AND(OR(D907="S. acutus",D907="S. californicus",D907="S. tabernaemontani"),G907=0),E907*[1]Sheet1!$D$7+[1]Sheet1!$L$7,IF(AND(OR(D907="S. acutus",D907="S. tabernaemontani"),G907&gt;0),E907*[1]Sheet1!$D$8+N907*[1]Sheet1!$E$8,IF(AND(D907="S. californicus",G907&gt;0),E907*[1]Sheet1!$D$9+N907*[1]Sheet1!$E$9,IF(D907="S. maritimus",F907*[1]Sheet1!$C$10+E907*[1]Sheet1!$D$10+G907*[1]Sheet1!$F$10+[1]Sheet1!$L$10,IF(D907="S. americanus",F907*[1]Sheet1!$C$6+E907*[1]Sheet1!$D$6+[1]Sheet1!$L$6,IF(AND(OR(D907="T. domingensis",D907="T. latifolia"),E907&gt;0),F907*[1]Sheet1!$C$4+E907*[1]Sheet1!$D$4+H907*[1]Sheet1!$J$4+I907*[1]Sheet1!$K$4+[1]Sheet1!$L$4,IF(AND(OR(D907="T. domingensis",D907="T. latifolia"),J907&gt;0),J907*[1]Sheet1!$G$5+K907*[1]Sheet1!$H$5+L907*[1]Sheet1!$I$5+[1]Sheet1!$L$5,0)))))))</f>
        <v>43.659473000000027</v>
      </c>
      <c r="P907">
        <f t="shared" si="43"/>
        <v>43.659473000000027</v>
      </c>
      <c r="S907">
        <f t="shared" si="44"/>
        <v>6.696613243999999</v>
      </c>
    </row>
    <row r="908" spans="1:19">
      <c r="A908" s="7">
        <v>42503</v>
      </c>
      <c r="B908" s="6" t="s">
        <v>57</v>
      </c>
      <c r="C908" s="6">
        <v>26</v>
      </c>
      <c r="D908" s="6" t="s">
        <v>63</v>
      </c>
      <c r="E908">
        <v>318</v>
      </c>
      <c r="F908" s="6">
        <v>1.7</v>
      </c>
      <c r="N908">
        <f t="shared" si="42"/>
        <v>240.59867014999995</v>
      </c>
      <c r="O908">
        <f>IF(AND(OR(D908="S. acutus",D908="S. californicus",D908="S. tabernaemontani"),G908=0),E908*[1]Sheet1!$D$7+[1]Sheet1!$L$7,IF(AND(OR(D908="S. acutus",D908="S. tabernaemontani"),G908&gt;0),E908*[1]Sheet1!$D$8+N908*[1]Sheet1!$E$8,IF(AND(D908="S. californicus",G908&gt;0),E908*[1]Sheet1!$D$9+N908*[1]Sheet1!$E$9,IF(D908="S. maritimus",F908*[1]Sheet1!$C$10+E908*[1]Sheet1!$D$10+G908*[1]Sheet1!$F$10+[1]Sheet1!$L$10,IF(D908="S. americanus",F908*[1]Sheet1!$C$6+E908*[1]Sheet1!$D$6+[1]Sheet1!$L$6,IF(AND(OR(D908="T. domingensis",D908="T. latifolia"),E908&gt;0),F908*[1]Sheet1!$C$4+E908*[1]Sheet1!$D$4+H908*[1]Sheet1!$J$4+I908*[1]Sheet1!$K$4+[1]Sheet1!$L$4,IF(AND(OR(D908="T. domingensis",D908="T. latifolia"),J908&gt;0),J908*[1]Sheet1!$G$5+K908*[1]Sheet1!$H$5+L908*[1]Sheet1!$I$5+[1]Sheet1!$L$5,0)))))))</f>
        <v>17.702793</v>
      </c>
      <c r="P908">
        <f t="shared" si="43"/>
        <v>17.702793</v>
      </c>
      <c r="S908">
        <f t="shared" si="44"/>
        <v>2.2697987749999995</v>
      </c>
    </row>
    <row r="909" spans="1:19">
      <c r="A909" s="7">
        <v>42503</v>
      </c>
      <c r="B909" s="6" t="s">
        <v>57</v>
      </c>
      <c r="C909" s="6">
        <v>26</v>
      </c>
      <c r="D909" s="6" t="s">
        <v>63</v>
      </c>
      <c r="E909">
        <v>241</v>
      </c>
      <c r="F909" s="6">
        <v>1.2</v>
      </c>
      <c r="N909">
        <f t="shared" si="42"/>
        <v>90.854782799999995</v>
      </c>
      <c r="O909">
        <f>IF(AND(OR(D909="S. acutus",D909="S. californicus",D909="S. tabernaemontani"),G909=0),E909*[1]Sheet1!$D$7+[1]Sheet1!$L$7,IF(AND(OR(D909="S. acutus",D909="S. tabernaemontani"),G909&gt;0),E909*[1]Sheet1!$D$8+N909*[1]Sheet1!$E$8,IF(AND(D909="S. californicus",G909&gt;0),E909*[1]Sheet1!$D$9+N909*[1]Sheet1!$E$9,IF(D909="S. maritimus",F909*[1]Sheet1!$C$10+E909*[1]Sheet1!$D$10+G909*[1]Sheet1!$F$10+[1]Sheet1!$L$10,IF(D909="S. americanus",F909*[1]Sheet1!$C$6+E909*[1]Sheet1!$D$6+[1]Sheet1!$L$6,IF(AND(OR(D909="T. domingensis",D909="T. latifolia"),E909&gt;0),F909*[1]Sheet1!$C$4+E909*[1]Sheet1!$D$4+H909*[1]Sheet1!$J$4+I909*[1]Sheet1!$K$4+[1]Sheet1!$L$4,IF(AND(OR(D909="T. domingensis",D909="T. latifolia"),J909&gt;0),J909*[1]Sheet1!$G$5+K909*[1]Sheet1!$H$5+L909*[1]Sheet1!$I$5+[1]Sheet1!$L$5,0)))))))</f>
        <v>12.304708000000002</v>
      </c>
      <c r="P909">
        <f t="shared" si="43"/>
        <v>12.304708000000002</v>
      </c>
      <c r="S909">
        <f t="shared" si="44"/>
        <v>1.1309723999999999</v>
      </c>
    </row>
    <row r="910" spans="1:19">
      <c r="A910" s="7">
        <v>42503</v>
      </c>
      <c r="B910" s="6" t="s">
        <v>57</v>
      </c>
      <c r="C910" s="6">
        <v>26</v>
      </c>
      <c r="D910" s="6" t="s">
        <v>63</v>
      </c>
      <c r="E910">
        <v>337</v>
      </c>
      <c r="F910" s="6">
        <v>1.87</v>
      </c>
      <c r="G910" s="6">
        <v>14</v>
      </c>
      <c r="N910">
        <f t="shared" si="42"/>
        <v>308.51861549391668</v>
      </c>
      <c r="O910">
        <f>IF(AND(OR(D910="S. acutus",D910="S. californicus",D910="S. tabernaemontani"),G910=0),E910*[1]Sheet1!$D$7+[1]Sheet1!$L$7,IF(AND(OR(D910="S. acutus",D910="S. tabernaemontani"),G910&gt;0),E910*[1]Sheet1!$D$8+N910*[1]Sheet1!$E$8,IF(AND(D910="S. californicus",G910&gt;0),E910*[1]Sheet1!$D$9+N910*[1]Sheet1!$E$9,IF(D910="S. maritimus",F910*[1]Sheet1!$C$10+E910*[1]Sheet1!$D$10+G910*[1]Sheet1!$F$10+[1]Sheet1!$L$10,IF(D910="S. americanus",F910*[1]Sheet1!$C$6+E910*[1]Sheet1!$D$6+[1]Sheet1!$L$6,IF(AND(OR(D910="T. domingensis",D910="T. latifolia"),E910&gt;0),F910*[1]Sheet1!$C$4+E910*[1]Sheet1!$D$4+H910*[1]Sheet1!$J$4+I910*[1]Sheet1!$K$4+[1]Sheet1!$L$4,IF(AND(OR(D910="T. domingensis",D910="T. latifolia"),J910&gt;0),J910*[1]Sheet1!$G$5+K910*[1]Sheet1!$H$5+L910*[1]Sheet1!$I$5+[1]Sheet1!$L$5,0)))))))</f>
        <v>22.911469785658063</v>
      </c>
      <c r="P910">
        <f t="shared" si="43"/>
        <v>22.911469785658063</v>
      </c>
      <c r="S910">
        <f t="shared" si="44"/>
        <v>2.7464565177500004</v>
      </c>
    </row>
    <row r="911" spans="1:19">
      <c r="A911" s="7">
        <v>42503</v>
      </c>
      <c r="B911" s="6" t="s">
        <v>57</v>
      </c>
      <c r="C911" s="6">
        <v>26</v>
      </c>
      <c r="D911" s="6" t="s">
        <v>64</v>
      </c>
      <c r="E911">
        <v>261</v>
      </c>
      <c r="F911" s="6">
        <v>2.3199999999999998</v>
      </c>
      <c r="H911" s="6">
        <v>33</v>
      </c>
      <c r="I911">
        <v>0.78</v>
      </c>
      <c r="N911" t="str">
        <f t="shared" si="42"/>
        <v>NA</v>
      </c>
      <c r="O911">
        <f>IF(AND(OR(D911="S. acutus",D911="S. californicus",D911="S. tabernaemontani"),G911=0),E911*[1]Sheet1!$D$7+[1]Sheet1!$L$7,IF(AND(OR(D911="S. acutus",D911="S. tabernaemontani"),G911&gt;0),E911*[1]Sheet1!$D$8+N911*[1]Sheet1!$E$8,IF(AND(D911="S. californicus",G911&gt;0),E911*[1]Sheet1!$D$9+N911*[1]Sheet1!$E$9,IF(D911="S. maritimus",F911*[1]Sheet1!$C$10+E911*[1]Sheet1!$D$10+G911*[1]Sheet1!$F$10+[1]Sheet1!$L$10,IF(D911="S. americanus",F911*[1]Sheet1!$C$6+E911*[1]Sheet1!$D$6+[1]Sheet1!$L$6,IF(AND(OR(D911="T. domingensis",D911="T. latifolia"),E911&gt;0),F911*[1]Sheet1!$C$4+E911*[1]Sheet1!$D$4+H911*[1]Sheet1!$J$4+I911*[1]Sheet1!$K$4+[1]Sheet1!$L$4,IF(AND(OR(D911="T. domingensis",D911="T. latifolia"),J911&gt;0),J911*[1]Sheet1!$G$5+K911*[1]Sheet1!$H$5+L911*[1]Sheet1!$I$5+[1]Sheet1!$L$5,0)))))))</f>
        <v>70.143792480000002</v>
      </c>
      <c r="P911">
        <f t="shared" si="43"/>
        <v>70.143792480000002</v>
      </c>
      <c r="S911">
        <f t="shared" si="44"/>
        <v>4.2273235039999992</v>
      </c>
    </row>
    <row r="912" spans="1:19">
      <c r="A912" s="7">
        <v>42503</v>
      </c>
      <c r="B912" s="6" t="s">
        <v>57</v>
      </c>
      <c r="C912" s="6">
        <v>26</v>
      </c>
      <c r="D912" s="6" t="s">
        <v>64</v>
      </c>
      <c r="E912" s="6">
        <v>215</v>
      </c>
      <c r="F912" s="6">
        <v>1.96</v>
      </c>
      <c r="H912" s="6">
        <v>21</v>
      </c>
      <c r="I912" s="6">
        <v>0.69</v>
      </c>
      <c r="N912" t="str">
        <f t="shared" si="42"/>
        <v>NA</v>
      </c>
      <c r="O912">
        <f>IF(AND(OR(D912="S. acutus",D912="S. californicus",D912="S. tabernaemontani"),G912=0),E912*[1]Sheet1!$D$7+[1]Sheet1!$L$7,IF(AND(OR(D912="S. acutus",D912="S. tabernaemontani"),G912&gt;0),E912*[1]Sheet1!$D$8+N912*[1]Sheet1!$E$8,IF(AND(D912="S. californicus",G912&gt;0),E912*[1]Sheet1!$D$9+N912*[1]Sheet1!$E$9,IF(D912="S. maritimus",F912*[1]Sheet1!$C$10+E912*[1]Sheet1!$D$10+G912*[1]Sheet1!$F$10+[1]Sheet1!$L$10,IF(D912="S. americanus",F912*[1]Sheet1!$C$6+E912*[1]Sheet1!$D$6+[1]Sheet1!$L$6,IF(AND(OR(D912="T. domingensis",D912="T. latifolia"),E912&gt;0),F912*[1]Sheet1!$C$4+E912*[1]Sheet1!$D$4+H912*[1]Sheet1!$J$4+I912*[1]Sheet1!$K$4+[1]Sheet1!$L$4,IF(AND(OR(D912="T. domingensis",D912="T. latifolia"),J912&gt;0),J912*[1]Sheet1!$G$5+K912*[1]Sheet1!$H$5+L912*[1]Sheet1!$I$5+[1]Sheet1!$L$5,0)))))))</f>
        <v>36.494962040000019</v>
      </c>
      <c r="P912">
        <f t="shared" si="43"/>
        <v>36.494962040000019</v>
      </c>
      <c r="S912">
        <f t="shared" si="44"/>
        <v>3.0171830359999996</v>
      </c>
    </row>
    <row r="913" spans="1:19">
      <c r="A913" s="7">
        <v>42503</v>
      </c>
      <c r="B913" s="6" t="s">
        <v>57</v>
      </c>
      <c r="C913" s="6">
        <v>26</v>
      </c>
      <c r="D913" s="6" t="s">
        <v>64</v>
      </c>
      <c r="F913" s="6">
        <v>1.46</v>
      </c>
      <c r="J913">
        <f>121+196+252+258+270</f>
        <v>1097</v>
      </c>
      <c r="K913">
        <v>5</v>
      </c>
      <c r="L913">
        <v>270</v>
      </c>
      <c r="N913" t="str">
        <f t="shared" si="42"/>
        <v>NA</v>
      </c>
      <c r="O913">
        <f>IF(AND(OR(D913="S. acutus",D913="S. californicus",D913="S. tabernaemontani"),G913=0),E913*[1]Sheet1!$D$7+[1]Sheet1!$L$7,IF(AND(OR(D913="S. acutus",D913="S. tabernaemontani"),G913&gt;0),E913*[1]Sheet1!$D$8+N913*[1]Sheet1!$E$8,IF(AND(D913="S. californicus",G913&gt;0),E913*[1]Sheet1!$D$9+N913*[1]Sheet1!$E$9,IF(D913="S. maritimus",F913*[1]Sheet1!$C$10+E913*[1]Sheet1!$D$10+G913*[1]Sheet1!$F$10+[1]Sheet1!$L$10,IF(D913="S. americanus",F913*[1]Sheet1!$C$6+E913*[1]Sheet1!$D$6+[1]Sheet1!$L$6,IF(AND(OR(D913="T. domingensis",D913="T. latifolia"),E913&gt;0),F913*[1]Sheet1!$C$4+E913*[1]Sheet1!$D$4+H913*[1]Sheet1!$J$4+I913*[1]Sheet1!$K$4+[1]Sheet1!$L$4,IF(AND(OR(D913="T. domingensis",D913="T. latifolia"),J913&gt;0),J913*[1]Sheet1!$G$5+K913*[1]Sheet1!$H$5+L913*[1]Sheet1!$I$5+[1]Sheet1!$L$5,0)))))))</f>
        <v>19.438304000000009</v>
      </c>
      <c r="P913">
        <f t="shared" si="43"/>
        <v>19.438304000000009</v>
      </c>
      <c r="S913">
        <f t="shared" si="44"/>
        <v>1.6741533109999998</v>
      </c>
    </row>
    <row r="914" spans="1:19">
      <c r="A914" s="7">
        <v>42503</v>
      </c>
      <c r="B914" s="6" t="s">
        <v>57</v>
      </c>
      <c r="C914" s="6">
        <v>26</v>
      </c>
      <c r="D914" s="6" t="s">
        <v>64</v>
      </c>
      <c r="E914">
        <v>279</v>
      </c>
      <c r="F914" s="6">
        <v>2.99</v>
      </c>
      <c r="H914" s="6">
        <v>33</v>
      </c>
      <c r="I914">
        <v>0.87</v>
      </c>
      <c r="N914" t="str">
        <f t="shared" si="42"/>
        <v>NA</v>
      </c>
      <c r="O914">
        <f>IF(AND(OR(D914="S. acutus",D914="S. californicus",D914="S. tabernaemontani"),G914=0),E914*[1]Sheet1!$D$7+[1]Sheet1!$L$7,IF(AND(OR(D914="S. acutus",D914="S. tabernaemontani"),G914&gt;0),E914*[1]Sheet1!$D$8+N914*[1]Sheet1!$E$8,IF(AND(D914="S. californicus",G914&gt;0),E914*[1]Sheet1!$D$9+N914*[1]Sheet1!$E$9,IF(D914="S. maritimus",F914*[1]Sheet1!$C$10+E914*[1]Sheet1!$D$10+G914*[1]Sheet1!$F$10+[1]Sheet1!$L$10,IF(D914="S. americanus",F914*[1]Sheet1!$C$6+E914*[1]Sheet1!$D$6+[1]Sheet1!$L$6,IF(AND(OR(D914="T. domingensis",D914="T. latifolia"),E914&gt;0),F914*[1]Sheet1!$C$4+E914*[1]Sheet1!$D$4+H914*[1]Sheet1!$J$4+I914*[1]Sheet1!$K$4+[1]Sheet1!$L$4,IF(AND(OR(D914="T. domingensis",D914="T. latifolia"),J914&gt;0),J914*[1]Sheet1!$G$5+K914*[1]Sheet1!$H$5+L914*[1]Sheet1!$I$5+[1]Sheet1!$L$5,0)))))))</f>
        <v>90.092734190000016</v>
      </c>
      <c r="P914">
        <f t="shared" si="43"/>
        <v>90.092734190000016</v>
      </c>
      <c r="S914">
        <f t="shared" si="44"/>
        <v>7.0215321897500003</v>
      </c>
    </row>
    <row r="915" spans="1:19">
      <c r="A915" s="7">
        <v>42503</v>
      </c>
      <c r="B915" s="6" t="s">
        <v>57</v>
      </c>
      <c r="C915" s="6">
        <v>26</v>
      </c>
      <c r="D915" s="6" t="s">
        <v>64</v>
      </c>
      <c r="E915">
        <v>300</v>
      </c>
      <c r="F915" s="6">
        <v>2.65</v>
      </c>
      <c r="H915" s="6">
        <v>38</v>
      </c>
      <c r="I915">
        <v>0.9</v>
      </c>
      <c r="N915" t="str">
        <f t="shared" si="42"/>
        <v>NA</v>
      </c>
      <c r="O915">
        <f>IF(AND(OR(D915="S. acutus",D915="S. californicus",D915="S. tabernaemontani"),G915=0),E915*[1]Sheet1!$D$7+[1]Sheet1!$L$7,IF(AND(OR(D915="S. acutus",D915="S. tabernaemontani"),G915&gt;0),E915*[1]Sheet1!$D$8+N915*[1]Sheet1!$E$8,IF(AND(D915="S. californicus",G915&gt;0),E915*[1]Sheet1!$D$9+N915*[1]Sheet1!$E$9,IF(D915="S. maritimus",F915*[1]Sheet1!$C$10+E915*[1]Sheet1!$D$10+G915*[1]Sheet1!$F$10+[1]Sheet1!$L$10,IF(D915="S. americanus",F915*[1]Sheet1!$C$6+E915*[1]Sheet1!$D$6+[1]Sheet1!$L$6,IF(AND(OR(D915="T. domingensis",D915="T. latifolia"),E915&gt;0),F915*[1]Sheet1!$C$4+E915*[1]Sheet1!$D$4+H915*[1]Sheet1!$J$4+I915*[1]Sheet1!$K$4+[1]Sheet1!$L$4,IF(AND(OR(D915="T. domingensis",D915="T. latifolia"),J915&gt;0),J915*[1]Sheet1!$G$5+K915*[1]Sheet1!$H$5+L915*[1]Sheet1!$I$5+[1]Sheet1!$L$5,0)))))))</f>
        <v>95.100255849999996</v>
      </c>
      <c r="P915">
        <f t="shared" si="43"/>
        <v>95.100255849999996</v>
      </c>
      <c r="S915">
        <f t="shared" si="44"/>
        <v>5.5154539437499999</v>
      </c>
    </row>
    <row r="916" spans="1:19">
      <c r="A916" s="7">
        <v>42503</v>
      </c>
      <c r="B916" s="6" t="s">
        <v>57</v>
      </c>
      <c r="C916" s="6">
        <v>26</v>
      </c>
      <c r="D916" s="6" t="s">
        <v>64</v>
      </c>
      <c r="E916">
        <v>230</v>
      </c>
      <c r="F916" s="6">
        <v>2.19</v>
      </c>
      <c r="H916" s="6">
        <v>20</v>
      </c>
      <c r="I916">
        <v>0.74</v>
      </c>
      <c r="N916" t="str">
        <f t="shared" si="42"/>
        <v>NA</v>
      </c>
      <c r="O916">
        <f>IF(AND(OR(D916="S. acutus",D916="S. californicus",D916="S. tabernaemontani"),G916=0),E916*[1]Sheet1!$D$7+[1]Sheet1!$L$7,IF(AND(OR(D916="S. acutus",D916="S. tabernaemontani"),G916&gt;0),E916*[1]Sheet1!$D$8+N916*[1]Sheet1!$E$8,IF(AND(D916="S. californicus",G916&gt;0),E916*[1]Sheet1!$D$9+N916*[1]Sheet1!$E$9,IF(D916="S. maritimus",F916*[1]Sheet1!$C$10+E916*[1]Sheet1!$D$10+G916*[1]Sheet1!$F$10+[1]Sheet1!$L$10,IF(D916="S. americanus",F916*[1]Sheet1!$C$6+E916*[1]Sheet1!$D$6+[1]Sheet1!$L$6,IF(AND(OR(D916="T. domingensis",D916="T. latifolia"),E916&gt;0),F916*[1]Sheet1!$C$4+E916*[1]Sheet1!$D$4+H916*[1]Sheet1!$J$4+I916*[1]Sheet1!$K$4+[1]Sheet1!$L$4,IF(AND(OR(D916="T. domingensis",D916="T. latifolia"),J916&gt;0),J916*[1]Sheet1!$G$5+K916*[1]Sheet1!$H$5+L916*[1]Sheet1!$I$5+[1]Sheet1!$L$5,0)))))))</f>
        <v>45.427277149999981</v>
      </c>
      <c r="P916">
        <f t="shared" si="43"/>
        <v>45.427277149999981</v>
      </c>
      <c r="S916">
        <f t="shared" si="44"/>
        <v>3.7668449497499998</v>
      </c>
    </row>
    <row r="917" spans="1:19">
      <c r="A917" s="7">
        <v>42503</v>
      </c>
      <c r="B917" s="6" t="s">
        <v>57</v>
      </c>
      <c r="C917" s="6">
        <v>26</v>
      </c>
      <c r="D917" s="6" t="s">
        <v>61</v>
      </c>
      <c r="E917">
        <v>295</v>
      </c>
      <c r="F917" s="6">
        <v>2.62</v>
      </c>
      <c r="H917" s="6">
        <v>30</v>
      </c>
      <c r="I917">
        <v>0.92</v>
      </c>
      <c r="N917" t="str">
        <f t="shared" si="42"/>
        <v>NA</v>
      </c>
      <c r="O917">
        <f>IF(AND(OR(D917="S. acutus",D917="S. californicus",D917="S. tabernaemontani"),G917=0),E917*[1]Sheet1!$D$7+[1]Sheet1!$L$7,IF(AND(OR(D917="S. acutus",D917="S. tabernaemontani"),G917&gt;0),E917*[1]Sheet1!$D$8+N917*[1]Sheet1!$E$8,IF(AND(D917="S. californicus",G917&gt;0),E917*[1]Sheet1!$D$9+N917*[1]Sheet1!$E$9,IF(D917="S. maritimus",F917*[1]Sheet1!$C$10+E917*[1]Sheet1!$D$10+G917*[1]Sheet1!$F$10+[1]Sheet1!$L$10,IF(D917="S. americanus",F917*[1]Sheet1!$C$6+E917*[1]Sheet1!$D$6+[1]Sheet1!$L$6,IF(AND(OR(D917="T. domingensis",D917="T. latifolia"),E917&gt;0),F917*[1]Sheet1!$C$4+E917*[1]Sheet1!$D$4+H917*[1]Sheet1!$J$4+I917*[1]Sheet1!$K$4+[1]Sheet1!$L$4,IF(AND(OR(D917="T. domingensis",D917="T. latifolia"),J917&gt;0),J917*[1]Sheet1!$G$5+K917*[1]Sheet1!$H$5+L917*[1]Sheet1!$I$5+[1]Sheet1!$L$5,0)))))))</f>
        <v>85.910678900000022</v>
      </c>
      <c r="P917">
        <f t="shared" si="43"/>
        <v>85.910678900000022</v>
      </c>
      <c r="S917">
        <f t="shared" si="44"/>
        <v>5.3912825990000002</v>
      </c>
    </row>
    <row r="918" spans="1:19">
      <c r="A918" s="7">
        <v>42503</v>
      </c>
      <c r="B918" s="6" t="s">
        <v>57</v>
      </c>
      <c r="C918" s="6">
        <v>26</v>
      </c>
      <c r="D918" s="6" t="s">
        <v>61</v>
      </c>
      <c r="F918" s="6">
        <v>2.4</v>
      </c>
      <c r="J918">
        <f>194+204+251+259+291</f>
        <v>1199</v>
      </c>
      <c r="K918">
        <v>5</v>
      </c>
      <c r="L918">
        <v>291</v>
      </c>
      <c r="N918" t="str">
        <f t="shared" si="42"/>
        <v>NA</v>
      </c>
      <c r="O918">
        <f>IF(AND(OR(D918="S. acutus",D918="S. californicus",D918="S. tabernaemontani"),G918=0),E918*[1]Sheet1!$D$7+[1]Sheet1!$L$7,IF(AND(OR(D918="S. acutus",D918="S. tabernaemontani"),G918&gt;0),E918*[1]Sheet1!$D$8+N918*[1]Sheet1!$E$8,IF(AND(D918="S. californicus",G918&gt;0),E918*[1]Sheet1!$D$9+N918*[1]Sheet1!$E$9,IF(D918="S. maritimus",F918*[1]Sheet1!$C$10+E918*[1]Sheet1!$D$10+G918*[1]Sheet1!$F$10+[1]Sheet1!$L$10,IF(D918="S. americanus",F918*[1]Sheet1!$C$6+E918*[1]Sheet1!$D$6+[1]Sheet1!$L$6,IF(AND(OR(D918="T. domingensis",D918="T. latifolia"),E918&gt;0),F918*[1]Sheet1!$C$4+E918*[1]Sheet1!$D$4+H918*[1]Sheet1!$J$4+I918*[1]Sheet1!$K$4+[1]Sheet1!$L$4,IF(AND(OR(D918="T. domingensis",D918="T. latifolia"),J918&gt;0),J918*[1]Sheet1!$G$5+K918*[1]Sheet1!$H$5+L918*[1]Sheet1!$I$5+[1]Sheet1!$L$5,0)))))))</f>
        <v>22.675169000000018</v>
      </c>
      <c r="P918">
        <f t="shared" si="43"/>
        <v>22.675169000000018</v>
      </c>
      <c r="S918">
        <f t="shared" si="44"/>
        <v>4.5238895999999995</v>
      </c>
    </row>
    <row r="919" spans="1:19">
      <c r="A919" s="7">
        <v>42503</v>
      </c>
      <c r="B919" s="6" t="s">
        <v>57</v>
      </c>
      <c r="C919" s="6">
        <v>20</v>
      </c>
      <c r="D919" s="6" t="s">
        <v>64</v>
      </c>
      <c r="F919" s="6">
        <v>2.42</v>
      </c>
      <c r="J919">
        <f>180+222+221+264</f>
        <v>887</v>
      </c>
      <c r="K919">
        <v>4</v>
      </c>
      <c r="L919">
        <v>264</v>
      </c>
      <c r="N919" t="str">
        <f t="shared" si="42"/>
        <v>NA</v>
      </c>
      <c r="O919">
        <f>IF(AND(OR(D919="S. acutus",D919="S. californicus",D919="S. tabernaemontani"),G919=0),E919*[1]Sheet1!$D$7+[1]Sheet1!$L$7,IF(AND(OR(D919="S. acutus",D919="S. tabernaemontani"),G919&gt;0),E919*[1]Sheet1!$D$8+N919*[1]Sheet1!$E$8,IF(AND(D919="S. californicus",G919&gt;0),E919*[1]Sheet1!$D$9+N919*[1]Sheet1!$E$9,IF(D919="S. maritimus",F919*[1]Sheet1!$C$10+E919*[1]Sheet1!$D$10+G919*[1]Sheet1!$F$10+[1]Sheet1!$L$10,IF(D919="S. americanus",F919*[1]Sheet1!$C$6+E919*[1]Sheet1!$D$6+[1]Sheet1!$L$6,IF(AND(OR(D919="T. domingensis",D919="T. latifolia"),E919&gt;0),F919*[1]Sheet1!$C$4+E919*[1]Sheet1!$D$4+H919*[1]Sheet1!$J$4+I919*[1]Sheet1!$K$4+[1]Sheet1!$L$4,IF(AND(OR(D919="T. domingensis",D919="T. latifolia"),J919&gt;0),J919*[1]Sheet1!$G$5+K919*[1]Sheet1!$H$5+L919*[1]Sheet1!$I$5+[1]Sheet1!$L$5,0)))))))</f>
        <v>8.5795770000000076</v>
      </c>
      <c r="P919">
        <f t="shared" si="43"/>
        <v>8.5795770000000076</v>
      </c>
      <c r="S919">
        <f t="shared" si="44"/>
        <v>4.5996019189999995</v>
      </c>
    </row>
    <row r="920" spans="1:19">
      <c r="A920" s="7">
        <v>42503</v>
      </c>
      <c r="B920" s="6" t="s">
        <v>57</v>
      </c>
      <c r="C920" s="6">
        <v>20</v>
      </c>
      <c r="D920" s="6" t="s">
        <v>64</v>
      </c>
      <c r="F920" s="6">
        <v>5.2</v>
      </c>
      <c r="J920">
        <f>225+229+266+269+304+311+331+335+358+366</f>
        <v>2994</v>
      </c>
      <c r="K920">
        <v>10</v>
      </c>
      <c r="L920">
        <v>366</v>
      </c>
      <c r="N920" t="str">
        <f t="shared" si="42"/>
        <v>NA</v>
      </c>
      <c r="O920">
        <f>IF(AND(OR(D920="S. acutus",D920="S. californicus",D920="S. tabernaemontani"),G920=0),E920*[1]Sheet1!$D$7+[1]Sheet1!$L$7,IF(AND(OR(D920="S. acutus",D920="S. tabernaemontani"),G920&gt;0),E920*[1]Sheet1!$D$8+N920*[1]Sheet1!$E$8,IF(AND(D920="S. californicus",G920&gt;0),E920*[1]Sheet1!$D$9+N920*[1]Sheet1!$E$9,IF(D920="S. maritimus",F920*[1]Sheet1!$C$10+E920*[1]Sheet1!$D$10+G920*[1]Sheet1!$F$10+[1]Sheet1!$L$10,IF(D920="S. americanus",F920*[1]Sheet1!$C$6+E920*[1]Sheet1!$D$6+[1]Sheet1!$L$6,IF(AND(OR(D920="T. domingensis",D920="T. latifolia"),E920&gt;0),F920*[1]Sheet1!$C$4+E920*[1]Sheet1!$D$4+H920*[1]Sheet1!$J$4+I920*[1]Sheet1!$K$4+[1]Sheet1!$L$4,IF(AND(OR(D920="T. domingensis",D920="T. latifolia"),J920&gt;0),J920*[1]Sheet1!$G$5+K920*[1]Sheet1!$H$5+L920*[1]Sheet1!$I$5+[1]Sheet1!$L$5,0)))))))</f>
        <v>133.26025400000003</v>
      </c>
      <c r="P920">
        <f t="shared" si="43"/>
        <v>133.26025400000003</v>
      </c>
      <c r="S920">
        <f t="shared" si="44"/>
        <v>21.237148400000002</v>
      </c>
    </row>
    <row r="921" spans="1:19">
      <c r="A921" s="7">
        <v>42503</v>
      </c>
      <c r="B921" s="6" t="s">
        <v>57</v>
      </c>
      <c r="C921" s="6">
        <v>20</v>
      </c>
      <c r="D921" s="6" t="s">
        <v>64</v>
      </c>
      <c r="F921" s="6">
        <v>1.88</v>
      </c>
      <c r="J921">
        <f>77+107+113+114</f>
        <v>411</v>
      </c>
      <c r="K921">
        <v>4</v>
      </c>
      <c r="L921">
        <v>114</v>
      </c>
      <c r="N921" t="str">
        <f t="shared" si="42"/>
        <v>NA</v>
      </c>
      <c r="O921">
        <f>IF(AND(OR(D921="S. acutus",D921="S. californicus",D921="S. tabernaemontani"),G921=0),E921*[1]Sheet1!$D$7+[1]Sheet1!$L$7,IF(AND(OR(D921="S. acutus",D921="S. tabernaemontani"),G921&gt;0),E921*[1]Sheet1!$D$8+N921*[1]Sheet1!$E$8,IF(AND(D921="S. californicus",G921&gt;0),E921*[1]Sheet1!$D$9+N921*[1]Sheet1!$E$9,IF(D921="S. maritimus",F921*[1]Sheet1!$C$10+E921*[1]Sheet1!$D$10+G921*[1]Sheet1!$F$10+[1]Sheet1!$L$10,IF(D921="S. americanus",F921*[1]Sheet1!$C$6+E921*[1]Sheet1!$D$6+[1]Sheet1!$L$6,IF(AND(OR(D921="T. domingensis",D921="T. latifolia"),E921&gt;0),F921*[1]Sheet1!$C$4+E921*[1]Sheet1!$D$4+H921*[1]Sheet1!$J$4+I921*[1]Sheet1!$K$4+[1]Sheet1!$L$4,IF(AND(OR(D921="T. domingensis",D921="T. latifolia"),J921&gt;0),J921*[1]Sheet1!$G$5+K921*[1]Sheet1!$H$5+L921*[1]Sheet1!$I$5+[1]Sheet1!$L$5,0)))))))</f>
        <v>9.1389469999999982</v>
      </c>
      <c r="P921">
        <f t="shared" si="43"/>
        <v>9.1389469999999982</v>
      </c>
      <c r="S921">
        <f t="shared" si="44"/>
        <v>2.7759089239999999</v>
      </c>
    </row>
    <row r="922" spans="1:19">
      <c r="A922" s="7">
        <v>42503</v>
      </c>
      <c r="B922" s="6" t="s">
        <v>57</v>
      </c>
      <c r="C922" s="6">
        <v>20</v>
      </c>
      <c r="D922" s="6" t="s">
        <v>64</v>
      </c>
      <c r="F922" s="6">
        <v>2.6</v>
      </c>
      <c r="J922">
        <f>166+222+272+300</f>
        <v>960</v>
      </c>
      <c r="K922">
        <v>4</v>
      </c>
      <c r="L922">
        <v>300</v>
      </c>
      <c r="N922" t="str">
        <f t="shared" si="42"/>
        <v>NA</v>
      </c>
      <c r="O922">
        <f>IF(AND(OR(D922="S. acutus",D922="S. californicus",D922="S. tabernaemontani"),G922=0),E922*[1]Sheet1!$D$7+[1]Sheet1!$L$7,IF(AND(OR(D922="S. acutus",D922="S. tabernaemontani"),G922&gt;0),E922*[1]Sheet1!$D$8+N922*[1]Sheet1!$E$8,IF(AND(D922="S. californicus",G922&gt;0),E922*[1]Sheet1!$D$9+N922*[1]Sheet1!$E$9,IF(D922="S. maritimus",F922*[1]Sheet1!$C$10+E922*[1]Sheet1!$D$10+G922*[1]Sheet1!$F$10+[1]Sheet1!$L$10,IF(D922="S. americanus",F922*[1]Sheet1!$C$6+E922*[1]Sheet1!$D$6+[1]Sheet1!$L$6,IF(AND(OR(D922="T. domingensis",D922="T. latifolia"),E922&gt;0),F922*[1]Sheet1!$C$4+E922*[1]Sheet1!$D$4+H922*[1]Sheet1!$J$4+I922*[1]Sheet1!$K$4+[1]Sheet1!$L$4,IF(AND(OR(D922="T. domingensis",D922="T. latifolia"),J922&gt;0),J922*[1]Sheet1!$G$5+K922*[1]Sheet1!$H$5+L922*[1]Sheet1!$I$5+[1]Sheet1!$L$5,0)))))))</f>
        <v>4.5788720000000112</v>
      </c>
      <c r="P922">
        <f t="shared" si="43"/>
        <v>4.5788720000000112</v>
      </c>
      <c r="S922">
        <f t="shared" si="44"/>
        <v>5.3092871000000006</v>
      </c>
    </row>
    <row r="923" spans="1:19">
      <c r="A923" s="7">
        <v>42503</v>
      </c>
      <c r="B923" s="6" t="s">
        <v>57</v>
      </c>
      <c r="C923" s="6">
        <v>20</v>
      </c>
      <c r="D923" s="6" t="s">
        <v>64</v>
      </c>
      <c r="F923" s="6">
        <v>3.54</v>
      </c>
      <c r="J923">
        <f>189+204+238+272+284+316+321+349</f>
        <v>2173</v>
      </c>
      <c r="K923">
        <v>8</v>
      </c>
      <c r="L923">
        <v>349</v>
      </c>
      <c r="N923" t="str">
        <f t="shared" si="42"/>
        <v>NA</v>
      </c>
      <c r="O923">
        <f>IF(AND(OR(D923="S. acutus",D923="S. californicus",D923="S. tabernaemontani"),G923=0),E923*[1]Sheet1!$D$7+[1]Sheet1!$L$7,IF(AND(OR(D923="S. acutus",D923="S. tabernaemontani"),G923&gt;0),E923*[1]Sheet1!$D$8+N923*[1]Sheet1!$E$8,IF(AND(D923="S. californicus",G923&gt;0),E923*[1]Sheet1!$D$9+N923*[1]Sheet1!$E$9,IF(D923="S. maritimus",F923*[1]Sheet1!$C$10+E923*[1]Sheet1!$D$10+G923*[1]Sheet1!$F$10+[1]Sheet1!$L$10,IF(D923="S. americanus",F923*[1]Sheet1!$C$6+E923*[1]Sheet1!$D$6+[1]Sheet1!$L$6,IF(AND(OR(D923="T. domingensis",D923="T. latifolia"),E923&gt;0),F923*[1]Sheet1!$C$4+E923*[1]Sheet1!$D$4+H923*[1]Sheet1!$J$4+I923*[1]Sheet1!$K$4+[1]Sheet1!$L$4,IF(AND(OR(D923="T. domingensis",D923="T. latifolia"),J923&gt;0),J923*[1]Sheet1!$G$5+K923*[1]Sheet1!$H$5+L923*[1]Sheet1!$I$5+[1]Sheet1!$L$5,0)))))))</f>
        <v>75.453270000000032</v>
      </c>
      <c r="P923">
        <f t="shared" si="43"/>
        <v>75.453270000000032</v>
      </c>
      <c r="S923">
        <f t="shared" si="44"/>
        <v>9.8422873109999998</v>
      </c>
    </row>
    <row r="924" spans="1:19">
      <c r="A924" s="7">
        <v>42503</v>
      </c>
      <c r="B924" s="6" t="s">
        <v>57</v>
      </c>
      <c r="C924" s="6">
        <v>20</v>
      </c>
      <c r="D924" s="6" t="s">
        <v>64</v>
      </c>
      <c r="F924" s="6">
        <v>3.6</v>
      </c>
      <c r="J924">
        <f>172+211+235+258+281+309+318+334+348+342+346</f>
        <v>3154</v>
      </c>
      <c r="K924">
        <v>11</v>
      </c>
      <c r="L924">
        <v>346</v>
      </c>
      <c r="N924" t="str">
        <f t="shared" si="42"/>
        <v>NA</v>
      </c>
      <c r="O924">
        <f>IF(AND(OR(D924="S. acutus",D924="S. californicus",D924="S. tabernaemontani"),G924=0),E924*[1]Sheet1!$D$7+[1]Sheet1!$L$7,IF(AND(OR(D924="S. acutus",D924="S. tabernaemontani"),G924&gt;0),E924*[1]Sheet1!$D$8+N924*[1]Sheet1!$E$8,IF(AND(D924="S. californicus",G924&gt;0),E924*[1]Sheet1!$D$9+N924*[1]Sheet1!$E$9,IF(D924="S. maritimus",F924*[1]Sheet1!$C$10+E924*[1]Sheet1!$D$10+G924*[1]Sheet1!$F$10+[1]Sheet1!$L$10,IF(D924="S. americanus",F924*[1]Sheet1!$C$6+E924*[1]Sheet1!$D$6+[1]Sheet1!$L$6,IF(AND(OR(D924="T. domingensis",D924="T. latifolia"),E924&gt;0),F924*[1]Sheet1!$C$4+E924*[1]Sheet1!$D$4+H924*[1]Sheet1!$J$4+I924*[1]Sheet1!$K$4+[1]Sheet1!$L$4,IF(AND(OR(D924="T. domingensis",D924="T. latifolia"),J924&gt;0),J924*[1]Sheet1!$G$5+K924*[1]Sheet1!$H$5+L924*[1]Sheet1!$I$5+[1]Sheet1!$L$5,0)))))))</f>
        <v>147.26360100000005</v>
      </c>
      <c r="P924">
        <f t="shared" si="43"/>
        <v>147.26360100000005</v>
      </c>
      <c r="S924">
        <f t="shared" si="44"/>
        <v>10.1787516</v>
      </c>
    </row>
    <row r="925" spans="1:19">
      <c r="A925" s="7">
        <v>42503</v>
      </c>
      <c r="B925" s="6" t="s">
        <v>57</v>
      </c>
      <c r="C925" s="6">
        <v>6</v>
      </c>
      <c r="D925" s="6" t="s">
        <v>62</v>
      </c>
      <c r="E925">
        <v>311</v>
      </c>
      <c r="F925" s="6">
        <v>2.4900000000000002</v>
      </c>
      <c r="G925" s="6"/>
      <c r="N925">
        <f t="shared" si="42"/>
        <v>504.80929512074999</v>
      </c>
      <c r="O925">
        <f>IF(AND(OR(D925="S. acutus",D925="S. californicus",D925="S. tabernaemontani"),G925=0),E925*[1]Sheet1!$D$7+[1]Sheet1!$L$7,IF(AND(OR(D925="S. acutus",D925="S. tabernaemontani"),G925&gt;0),E925*[1]Sheet1!$D$8+N925*[1]Sheet1!$E$8,IF(AND(D925="S. californicus",G925&gt;0),E925*[1]Sheet1!$D$9+N925*[1]Sheet1!$E$9,IF(D925="S. maritimus",F925*[1]Sheet1!$C$10+E925*[1]Sheet1!$D$10+G925*[1]Sheet1!$F$10+[1]Sheet1!$L$10,IF(D925="S. americanus",F925*[1]Sheet1!$C$6+E925*[1]Sheet1!$D$6+[1]Sheet1!$L$6,IF(AND(OR(D925="T. domingensis",D925="T. latifolia"),E925&gt;0),F925*[1]Sheet1!$C$4+E925*[1]Sheet1!$D$4+H925*[1]Sheet1!$J$4+I925*[1]Sheet1!$K$4+[1]Sheet1!$L$4,IF(AND(OR(D925="T. domingensis",D925="T. latifolia"),J925&gt;0),J925*[1]Sheet1!$G$5+K925*[1]Sheet1!$H$5+L925*[1]Sheet1!$I$5+[1]Sheet1!$L$5,0)))))))</f>
        <v>17.212058000000003</v>
      </c>
      <c r="P925">
        <f t="shared" si="43"/>
        <v>17.212058000000003</v>
      </c>
      <c r="S925">
        <f t="shared" si="44"/>
        <v>4.8695430397500008</v>
      </c>
    </row>
    <row r="926" spans="1:19">
      <c r="A926" s="7">
        <v>42503</v>
      </c>
      <c r="B926" s="6" t="s">
        <v>57</v>
      </c>
      <c r="C926" s="6">
        <v>6</v>
      </c>
      <c r="D926" s="6" t="s">
        <v>62</v>
      </c>
      <c r="E926">
        <v>266</v>
      </c>
      <c r="F926" s="6">
        <v>1.44</v>
      </c>
      <c r="N926">
        <f t="shared" si="42"/>
        <v>144.40255603199998</v>
      </c>
      <c r="O926">
        <f>IF(AND(OR(D926="S. acutus",D926="S. californicus",D926="S. tabernaemontani"),G926=0),E926*[1]Sheet1!$D$7+[1]Sheet1!$L$7,IF(AND(OR(D926="S. acutus",D926="S. tabernaemontani"),G926&gt;0),E926*[1]Sheet1!$D$8+N926*[1]Sheet1!$E$8,IF(AND(D926="S. californicus",G926&gt;0),E926*[1]Sheet1!$D$9+N926*[1]Sheet1!$E$9,IF(D926="S. maritimus",F926*[1]Sheet1!$C$10+E926*[1]Sheet1!$D$10+G926*[1]Sheet1!$F$10+[1]Sheet1!$L$10,IF(D926="S. americanus",F926*[1]Sheet1!$C$6+E926*[1]Sheet1!$D$6+[1]Sheet1!$L$6,IF(AND(OR(D926="T. domingensis",D926="T. latifolia"),E926&gt;0),F926*[1]Sheet1!$C$4+E926*[1]Sheet1!$D$4+H926*[1]Sheet1!$J$4+I926*[1]Sheet1!$K$4+[1]Sheet1!$L$4,IF(AND(OR(D926="T. domingensis",D926="T. latifolia"),J926&gt;0),J926*[1]Sheet1!$G$5+K926*[1]Sheet1!$H$5+L926*[1]Sheet1!$I$5+[1]Sheet1!$L$5,0)))))))</f>
        <v>14.057333</v>
      </c>
      <c r="P926">
        <f t="shared" si="43"/>
        <v>14.057333</v>
      </c>
      <c r="S926">
        <f t="shared" si="44"/>
        <v>1.6286002559999999</v>
      </c>
    </row>
    <row r="927" spans="1:19">
      <c r="A927" s="7">
        <v>42503</v>
      </c>
      <c r="B927" s="6" t="s">
        <v>57</v>
      </c>
      <c r="C927" s="6">
        <v>6</v>
      </c>
      <c r="D927" s="6" t="s">
        <v>62</v>
      </c>
      <c r="E927">
        <v>357</v>
      </c>
      <c r="F927" s="6">
        <v>1.98</v>
      </c>
      <c r="G927" s="6">
        <v>13</v>
      </c>
      <c r="N927">
        <f t="shared" si="42"/>
        <v>366.40961072099998</v>
      </c>
      <c r="O927">
        <f>IF(AND(OR(D927="S. acutus",D927="S. californicus",D927="S. tabernaemontani"),G927=0),E927*[1]Sheet1!$D$7+[1]Sheet1!$L$7,IF(AND(OR(D927="S. acutus",D927="S. tabernaemontani"),G927&gt;0),E927*[1]Sheet1!$D$8+N927*[1]Sheet1!$E$8,IF(AND(D927="S. californicus",G927&gt;0),E927*[1]Sheet1!$D$9+N927*[1]Sheet1!$E$9,IF(D927="S. maritimus",F927*[1]Sheet1!$C$10+E927*[1]Sheet1!$D$10+G927*[1]Sheet1!$F$10+[1]Sheet1!$L$10,IF(D927="S. americanus",F927*[1]Sheet1!$C$6+E927*[1]Sheet1!$D$6+[1]Sheet1!$L$6,IF(AND(OR(D927="T. domingensis",D927="T. latifolia"),E927&gt;0),F927*[1]Sheet1!$C$4+E927*[1]Sheet1!$D$4+H927*[1]Sheet1!$J$4+I927*[1]Sheet1!$K$4+[1]Sheet1!$L$4,IF(AND(OR(D927="T. domingensis",D927="T. latifolia"),J927&gt;0),J927*[1]Sheet1!$G$5+K927*[1]Sheet1!$H$5+L927*[1]Sheet1!$I$5+[1]Sheet1!$L$5,0)))))))</f>
        <v>29.876523088722955</v>
      </c>
      <c r="P927">
        <f t="shared" si="43"/>
        <v>29.876523088722955</v>
      </c>
      <c r="S927">
        <f t="shared" si="44"/>
        <v>3.079072359</v>
      </c>
    </row>
    <row r="928" spans="1:19">
      <c r="A928" s="7">
        <v>42503</v>
      </c>
      <c r="B928" s="6" t="s">
        <v>57</v>
      </c>
      <c r="C928" s="6">
        <v>6</v>
      </c>
      <c r="D928" s="6" t="s">
        <v>62</v>
      </c>
      <c r="E928">
        <v>314</v>
      </c>
      <c r="F928" s="6">
        <v>1.78</v>
      </c>
      <c r="G928" s="6">
        <v>12</v>
      </c>
      <c r="N928">
        <f t="shared" si="42"/>
        <v>260.4581266153333</v>
      </c>
      <c r="O928">
        <f>IF(AND(OR(D928="S. acutus",D928="S. californicus",D928="S. tabernaemontani"),G928=0),E928*[1]Sheet1!$D$7+[1]Sheet1!$L$7,IF(AND(OR(D928="S. acutus",D928="S. tabernaemontani"),G928&gt;0),E928*[1]Sheet1!$D$8+N928*[1]Sheet1!$E$8,IF(AND(D928="S. californicus",G928&gt;0),E928*[1]Sheet1!$D$9+N928*[1]Sheet1!$E$9,IF(D928="S. maritimus",F928*[1]Sheet1!$C$10+E928*[1]Sheet1!$D$10+G928*[1]Sheet1!$F$10+[1]Sheet1!$L$10,IF(D928="S. americanus",F928*[1]Sheet1!$C$6+E928*[1]Sheet1!$D$6+[1]Sheet1!$L$6,IF(AND(OR(D928="T. domingensis",D928="T. latifolia"),E928&gt;0),F928*[1]Sheet1!$C$4+E928*[1]Sheet1!$D$4+H928*[1]Sheet1!$J$4+I928*[1]Sheet1!$K$4+[1]Sheet1!$L$4,IF(AND(OR(D928="T. domingensis",D928="T. latifolia"),J928&gt;0),J928*[1]Sheet1!$G$5+K928*[1]Sheet1!$H$5+L928*[1]Sheet1!$I$5+[1]Sheet1!$L$5,0)))))))</f>
        <v>22.712652394412736</v>
      </c>
      <c r="P928">
        <f t="shared" si="43"/>
        <v>22.712652394412736</v>
      </c>
      <c r="S928">
        <f t="shared" si="44"/>
        <v>2.4884534390000002</v>
      </c>
    </row>
    <row r="929" spans="1:19">
      <c r="A929" s="7">
        <v>42503</v>
      </c>
      <c r="B929" s="6" t="s">
        <v>57</v>
      </c>
      <c r="C929" s="6">
        <v>6</v>
      </c>
      <c r="D929" s="6" t="s">
        <v>62</v>
      </c>
      <c r="E929">
        <v>227</v>
      </c>
      <c r="F929" s="6">
        <v>1.56</v>
      </c>
      <c r="G929" s="6">
        <v>8</v>
      </c>
      <c r="N929">
        <f t="shared" si="42"/>
        <v>144.624980604</v>
      </c>
      <c r="O929">
        <f>IF(AND(OR(D929="S. acutus",D929="S. californicus",D929="S. tabernaemontani"),G929=0),E929*[1]Sheet1!$D$7+[1]Sheet1!$L$7,IF(AND(OR(D929="S. acutus",D929="S. tabernaemontani"),G929&gt;0),E929*[1]Sheet1!$D$8+N929*[1]Sheet1!$E$8,IF(AND(D929="S. californicus",G929&gt;0),E929*[1]Sheet1!$D$9+N929*[1]Sheet1!$E$9,IF(D929="S. maritimus",F929*[1]Sheet1!$C$10+E929*[1]Sheet1!$D$10+G929*[1]Sheet1!$F$10+[1]Sheet1!$L$10,IF(D929="S. americanus",F929*[1]Sheet1!$C$6+E929*[1]Sheet1!$D$6+[1]Sheet1!$L$6,IF(AND(OR(D929="T. domingensis",D929="T. latifolia"),E929&gt;0),F929*[1]Sheet1!$C$4+E929*[1]Sheet1!$D$4+H929*[1]Sheet1!$J$4+I929*[1]Sheet1!$K$4+[1]Sheet1!$L$4,IF(AND(OR(D929="T. domingensis",D929="T. latifolia"),J929&gt;0),J929*[1]Sheet1!$G$5+K929*[1]Sheet1!$H$5+L929*[1]Sheet1!$I$5+[1]Sheet1!$L$5,0)))))))</f>
        <v>13.901148331355095</v>
      </c>
      <c r="P929">
        <f t="shared" si="43"/>
        <v>13.901148331355095</v>
      </c>
      <c r="S929">
        <f t="shared" si="44"/>
        <v>1.9113433560000002</v>
      </c>
    </row>
    <row r="930" spans="1:19">
      <c r="A930" s="7">
        <v>42503</v>
      </c>
      <c r="B930" s="6" t="s">
        <v>57</v>
      </c>
      <c r="C930" s="6">
        <v>6</v>
      </c>
      <c r="D930" s="6" t="s">
        <v>62</v>
      </c>
      <c r="E930">
        <v>347</v>
      </c>
      <c r="F930" s="6">
        <v>1.77</v>
      </c>
      <c r="G930" s="6">
        <v>15</v>
      </c>
      <c r="N930">
        <f t="shared" si="42"/>
        <v>284.60614140974997</v>
      </c>
      <c r="O930">
        <f>IF(AND(OR(D930="S. acutus",D930="S. californicus",D930="S. tabernaemontani"),G930=0),E930*[1]Sheet1!$D$7+[1]Sheet1!$L$7,IF(AND(OR(D930="S. acutus",D930="S. tabernaemontani"),G930&gt;0),E930*[1]Sheet1!$D$8+N930*[1]Sheet1!$E$8,IF(AND(D930="S. californicus",G930&gt;0),E930*[1]Sheet1!$D$9+N930*[1]Sheet1!$E$9,IF(D930="S. maritimus",F930*[1]Sheet1!$C$10+E930*[1]Sheet1!$D$10+G930*[1]Sheet1!$F$10+[1]Sheet1!$L$10,IF(D930="S. americanus",F930*[1]Sheet1!$C$6+E930*[1]Sheet1!$D$6+[1]Sheet1!$L$6,IF(AND(OR(D930="T. domingensis",D930="T. latifolia"),E930&gt;0),F930*[1]Sheet1!$C$4+E930*[1]Sheet1!$D$4+H930*[1]Sheet1!$J$4+I930*[1]Sheet1!$K$4+[1]Sheet1!$L$4,IF(AND(OR(D930="T. domingensis",D930="T. latifolia"),J930&gt;0),J930*[1]Sheet1!$G$5+K930*[1]Sheet1!$H$5+L930*[1]Sheet1!$I$5+[1]Sheet1!$L$5,0)))))))</f>
        <v>24.913653799665919</v>
      </c>
      <c r="P930">
        <f t="shared" si="43"/>
        <v>24.913653799665919</v>
      </c>
      <c r="S930">
        <f t="shared" si="44"/>
        <v>2.4605718277499999</v>
      </c>
    </row>
    <row r="931" spans="1:19">
      <c r="A931" s="7">
        <v>42503</v>
      </c>
      <c r="B931" s="6" t="s">
        <v>57</v>
      </c>
      <c r="C931" s="6">
        <v>6</v>
      </c>
      <c r="D931" s="6" t="s">
        <v>62</v>
      </c>
      <c r="E931">
        <v>315</v>
      </c>
      <c r="F931" s="6">
        <v>1.34</v>
      </c>
      <c r="G931" s="6">
        <v>14</v>
      </c>
      <c r="N931">
        <f t="shared" si="42"/>
        <v>148.07727385499999</v>
      </c>
      <c r="O931">
        <f>IF(AND(OR(D931="S. acutus",D931="S. californicus",D931="S. tabernaemontani"),G931=0),E931*[1]Sheet1!$D$7+[1]Sheet1!$L$7,IF(AND(OR(D931="S. acutus",D931="S. tabernaemontani"),G931&gt;0),E931*[1]Sheet1!$D$8+N931*[1]Sheet1!$E$8,IF(AND(D931="S. californicus",G931&gt;0),E931*[1]Sheet1!$D$9+N931*[1]Sheet1!$E$9,IF(D931="S. maritimus",F931*[1]Sheet1!$C$10+E931*[1]Sheet1!$D$10+G931*[1]Sheet1!$F$10+[1]Sheet1!$L$10,IF(D931="S. americanus",F931*[1]Sheet1!$C$6+E931*[1]Sheet1!$D$6+[1]Sheet1!$L$6,IF(AND(OR(D931="T. domingensis",D931="T. latifolia"),E931&gt;0),F931*[1]Sheet1!$C$4+E931*[1]Sheet1!$D$4+H931*[1]Sheet1!$J$4+I931*[1]Sheet1!$K$4+[1]Sheet1!$L$4,IF(AND(OR(D931="T. domingensis",D931="T. latifolia"),J931&gt;0),J931*[1]Sheet1!$G$5+K931*[1]Sheet1!$H$5+L931*[1]Sheet1!$I$5+[1]Sheet1!$L$5,0)))))))</f>
        <v>16.255692692313268</v>
      </c>
      <c r="P931">
        <f t="shared" si="43"/>
        <v>16.255692692313268</v>
      </c>
      <c r="S931">
        <f t="shared" si="44"/>
        <v>1.4102597510000001</v>
      </c>
    </row>
    <row r="932" spans="1:19">
      <c r="A932" s="7">
        <v>42503</v>
      </c>
      <c r="B932" s="6" t="s">
        <v>57</v>
      </c>
      <c r="C932" s="6">
        <v>6</v>
      </c>
      <c r="D932" s="6" t="s">
        <v>62</v>
      </c>
      <c r="E932">
        <v>314</v>
      </c>
      <c r="F932" s="6">
        <v>1.6</v>
      </c>
      <c r="G932" s="6">
        <v>17</v>
      </c>
      <c r="N932">
        <f t="shared" si="42"/>
        <v>210.44464213333333</v>
      </c>
      <c r="O932">
        <f>IF(AND(OR(D932="S. acutus",D932="S. californicus",D932="S. tabernaemontani"),G932=0),E932*[1]Sheet1!$D$7+[1]Sheet1!$L$7,IF(AND(OR(D932="S. acutus",D932="S. tabernaemontani"),G932&gt;0),E932*[1]Sheet1!$D$8+N932*[1]Sheet1!$E$8,IF(AND(D932="S. californicus",G932&gt;0),E932*[1]Sheet1!$D$9+N932*[1]Sheet1!$E$9,IF(D932="S. maritimus",F932*[1]Sheet1!$C$10+E932*[1]Sheet1!$D$10+G932*[1]Sheet1!$F$10+[1]Sheet1!$L$10,IF(D932="S. americanus",F932*[1]Sheet1!$C$6+E932*[1]Sheet1!$D$6+[1]Sheet1!$L$6,IF(AND(OR(D932="T. domingensis",D932="T. latifolia"),E932&gt;0),F932*[1]Sheet1!$C$4+E932*[1]Sheet1!$D$4+H932*[1]Sheet1!$J$4+I932*[1]Sheet1!$K$4+[1]Sheet1!$L$4,IF(AND(OR(D932="T. domingensis",D932="T. latifolia"),J932&gt;0),J932*[1]Sheet1!$G$5+K932*[1]Sheet1!$H$5+L932*[1]Sheet1!$I$5+[1]Sheet1!$L$5,0)))))))</f>
        <v>19.828174690397866</v>
      </c>
      <c r="P932">
        <f t="shared" si="43"/>
        <v>19.828174690397866</v>
      </c>
      <c r="S932">
        <f t="shared" si="44"/>
        <v>2.0106176000000002</v>
      </c>
    </row>
    <row r="933" spans="1:19">
      <c r="A933" s="7">
        <v>42503</v>
      </c>
      <c r="B933" s="6" t="s">
        <v>57</v>
      </c>
      <c r="C933" s="6">
        <v>6</v>
      </c>
      <c r="D933" s="6" t="s">
        <v>62</v>
      </c>
      <c r="E933">
        <v>309</v>
      </c>
      <c r="F933" s="6">
        <v>1.28</v>
      </c>
      <c r="G933" s="6">
        <v>10</v>
      </c>
      <c r="N933">
        <f t="shared" si="42"/>
        <v>132.539912192</v>
      </c>
      <c r="O933">
        <f>IF(AND(OR(D933="S. acutus",D933="S. californicus",D933="S. tabernaemontani"),G933=0),E933*[1]Sheet1!$D$7+[1]Sheet1!$L$7,IF(AND(OR(D933="S. acutus",D933="S. tabernaemontani"),G933&gt;0),E933*[1]Sheet1!$D$8+N933*[1]Sheet1!$E$8,IF(AND(D933="S. californicus",G933&gt;0),E933*[1]Sheet1!$D$9+N933*[1]Sheet1!$E$9,IF(D933="S. maritimus",F933*[1]Sheet1!$C$10+E933*[1]Sheet1!$D$10+G933*[1]Sheet1!$F$10+[1]Sheet1!$L$10,IF(D933="S. americanus",F933*[1]Sheet1!$C$6+E933*[1]Sheet1!$D$6+[1]Sheet1!$L$6,IF(AND(OR(D933="T. domingensis",D933="T. latifolia"),E933&gt;0),F933*[1]Sheet1!$C$4+E933*[1]Sheet1!$D$4+H933*[1]Sheet1!$J$4+I933*[1]Sheet1!$K$4+[1]Sheet1!$L$4,IF(AND(OR(D933="T. domingensis",D933="T. latifolia"),J933&gt;0),J933*[1]Sheet1!$G$5+K933*[1]Sheet1!$H$5+L933*[1]Sheet1!$I$5+[1]Sheet1!$L$5,0)))))))</f>
        <v>15.21262929576141</v>
      </c>
      <c r="P933">
        <f t="shared" si="43"/>
        <v>15.21262929576141</v>
      </c>
      <c r="S933">
        <f t="shared" si="44"/>
        <v>1.286795264</v>
      </c>
    </row>
    <row r="934" spans="1:19">
      <c r="A934" s="7">
        <v>42503</v>
      </c>
      <c r="B934" s="6" t="s">
        <v>57</v>
      </c>
      <c r="C934" s="6">
        <v>6</v>
      </c>
      <c r="D934" s="6" t="s">
        <v>62</v>
      </c>
      <c r="E934">
        <v>338</v>
      </c>
      <c r="F934" s="6">
        <v>1.26</v>
      </c>
      <c r="G934" s="6">
        <v>6</v>
      </c>
      <c r="N934">
        <f t="shared" si="42"/>
        <v>140.483736666</v>
      </c>
      <c r="O934">
        <f>IF(AND(OR(D934="S. acutus",D934="S. californicus",D934="S. tabernaemontani"),G934=0),E934*[1]Sheet1!$D$7+[1]Sheet1!$L$7,IF(AND(OR(D934="S. acutus",D934="S. tabernaemontani"),G934&gt;0),E934*[1]Sheet1!$D$8+N934*[1]Sheet1!$E$8,IF(AND(D934="S. californicus",G934&gt;0),E934*[1]Sheet1!$D$9+N934*[1]Sheet1!$E$9,IF(D934="S. maritimus",F934*[1]Sheet1!$C$10+E934*[1]Sheet1!$D$10+G934*[1]Sheet1!$F$10+[1]Sheet1!$L$10,IF(D934="S. americanus",F934*[1]Sheet1!$C$6+E934*[1]Sheet1!$D$6+[1]Sheet1!$L$6,IF(AND(OR(D934="T. domingensis",D934="T. latifolia"),E934&gt;0),F934*[1]Sheet1!$C$4+E934*[1]Sheet1!$D$4+H934*[1]Sheet1!$J$4+I934*[1]Sheet1!$K$4+[1]Sheet1!$L$4,IF(AND(OR(D934="T. domingensis",D934="T. latifolia"),J934&gt;0),J934*[1]Sheet1!$G$5+K934*[1]Sheet1!$H$5+L934*[1]Sheet1!$I$5+[1]Sheet1!$L$5,0)))))))</f>
        <v>16.381095828474884</v>
      </c>
      <c r="P934">
        <f t="shared" si="43"/>
        <v>16.381095828474884</v>
      </c>
      <c r="S934">
        <f t="shared" si="44"/>
        <v>1.246897071</v>
      </c>
    </row>
    <row r="935" spans="1:19">
      <c r="A935" s="7">
        <v>42503</v>
      </c>
      <c r="B935" s="6" t="s">
        <v>57</v>
      </c>
      <c r="C935" s="6">
        <v>6</v>
      </c>
      <c r="D935" s="6" t="s">
        <v>62</v>
      </c>
      <c r="E935">
        <v>279</v>
      </c>
      <c r="F935" s="6">
        <v>1.42</v>
      </c>
      <c r="N935">
        <f t="shared" si="42"/>
        <v>147.28182326699999</v>
      </c>
      <c r="O935">
        <f>IF(AND(OR(D935="S. acutus",D935="S. californicus",D935="S. tabernaemontani"),G935=0),E935*[1]Sheet1!$D$7+[1]Sheet1!$L$7,IF(AND(OR(D935="S. acutus",D935="S. tabernaemontani"),G935&gt;0),E935*[1]Sheet1!$D$8+N935*[1]Sheet1!$E$8,IF(AND(D935="S. californicus",G935&gt;0),E935*[1]Sheet1!$D$9+N935*[1]Sheet1!$E$9,IF(D935="S. maritimus",F935*[1]Sheet1!$C$10+E935*[1]Sheet1!$D$10+G935*[1]Sheet1!$F$10+[1]Sheet1!$L$10,IF(D935="S. americanus",F935*[1]Sheet1!$C$6+E935*[1]Sheet1!$D$6+[1]Sheet1!$L$6,IF(AND(OR(D935="T. domingensis",D935="T. latifolia"),E935&gt;0),F935*[1]Sheet1!$C$4+E935*[1]Sheet1!$D$4+H935*[1]Sheet1!$J$4+I935*[1]Sheet1!$K$4+[1]Sheet1!$L$4,IF(AND(OR(D935="T. domingensis",D935="T. latifolia"),J935&gt;0),J935*[1]Sheet1!$G$5+K935*[1]Sheet1!$H$5+L935*[1]Sheet1!$I$5+[1]Sheet1!$L$5,0)))))))</f>
        <v>14.968698</v>
      </c>
      <c r="P935">
        <f t="shared" si="43"/>
        <v>14.968698</v>
      </c>
      <c r="S935">
        <f t="shared" si="44"/>
        <v>1.5836755189999998</v>
      </c>
    </row>
    <row r="936" spans="1:19">
      <c r="A936" s="7">
        <v>42503</v>
      </c>
      <c r="B936" s="6" t="s">
        <v>57</v>
      </c>
      <c r="C936" s="6">
        <v>6</v>
      </c>
      <c r="D936" s="6" t="s">
        <v>62</v>
      </c>
      <c r="E936">
        <v>322</v>
      </c>
      <c r="F936" s="6">
        <v>1.39</v>
      </c>
      <c r="G936" s="6">
        <v>7</v>
      </c>
      <c r="N936">
        <f t="shared" si="42"/>
        <v>162.87473871316661</v>
      </c>
      <c r="O936">
        <f>IF(AND(OR(D936="S. acutus",D936="S. californicus",D936="S. tabernaemontani"),G936=0),E936*[1]Sheet1!$D$7+[1]Sheet1!$L$7,IF(AND(OR(D936="S. acutus",D936="S. tabernaemontani"),G936&gt;0),E936*[1]Sheet1!$D$8+N936*[1]Sheet1!$E$8,IF(AND(D936="S. californicus",G936&gt;0),E936*[1]Sheet1!$D$9+N936*[1]Sheet1!$E$9,IF(D936="S. maritimus",F936*[1]Sheet1!$C$10+E936*[1]Sheet1!$D$10+G936*[1]Sheet1!$F$10+[1]Sheet1!$L$10,IF(D936="S. americanus",F936*[1]Sheet1!$C$6+E936*[1]Sheet1!$D$6+[1]Sheet1!$L$6,IF(AND(OR(D936="T. domingensis",D936="T. latifolia"),E936&gt;0),F936*[1]Sheet1!$C$4+E936*[1]Sheet1!$D$4+H936*[1]Sheet1!$J$4+I936*[1]Sheet1!$K$4+[1]Sheet1!$L$4,IF(AND(OR(D936="T. domingensis",D936="T. latifolia"),J936&gt;0),J936*[1]Sheet1!$G$5+K936*[1]Sheet1!$H$5+L936*[1]Sheet1!$I$5+[1]Sheet1!$L$5,0)))))))</f>
        <v>17.280576880543173</v>
      </c>
      <c r="P936">
        <f t="shared" si="43"/>
        <v>17.280576880543173</v>
      </c>
      <c r="S936">
        <f t="shared" si="44"/>
        <v>1.5174665097499997</v>
      </c>
    </row>
    <row r="937" spans="1:19">
      <c r="A937" s="7">
        <v>42503</v>
      </c>
      <c r="B937" s="6" t="s">
        <v>57</v>
      </c>
      <c r="C937" s="6">
        <v>6</v>
      </c>
      <c r="D937" s="6" t="s">
        <v>62</v>
      </c>
      <c r="E937">
        <v>315</v>
      </c>
      <c r="F937" s="6">
        <v>2.13</v>
      </c>
      <c r="G937" s="6">
        <v>13</v>
      </c>
      <c r="N937">
        <f t="shared" si="42"/>
        <v>374.14334136374987</v>
      </c>
      <c r="O937">
        <f>IF(AND(OR(D937="S. acutus",D937="S. californicus",D937="S. tabernaemontani"),G937=0),E937*[1]Sheet1!$D$7+[1]Sheet1!$L$7,IF(AND(OR(D937="S. acutus",D937="S. tabernaemontani"),G937&gt;0),E937*[1]Sheet1!$D$8+N937*[1]Sheet1!$E$8,IF(AND(D937="S. californicus",G937&gt;0),E937*[1]Sheet1!$D$9+N937*[1]Sheet1!$E$9,IF(D937="S. maritimus",F937*[1]Sheet1!$C$10+E937*[1]Sheet1!$D$10+G937*[1]Sheet1!$F$10+[1]Sheet1!$L$10,IF(D937="S. americanus",F937*[1]Sheet1!$C$6+E937*[1]Sheet1!$D$6+[1]Sheet1!$L$6,IF(AND(OR(D937="T. domingensis",D937="T. latifolia"),E937&gt;0),F937*[1]Sheet1!$C$4+E937*[1]Sheet1!$D$4+H937*[1]Sheet1!$J$4+I937*[1]Sheet1!$K$4+[1]Sheet1!$L$4,IF(AND(OR(D937="T. domingensis",D937="T. latifolia"),J937&gt;0),J937*[1]Sheet1!$G$5+K937*[1]Sheet1!$H$5+L937*[1]Sheet1!$I$5+[1]Sheet1!$L$5,0)))))))</f>
        <v>29.29382706981291</v>
      </c>
      <c r="P937">
        <f t="shared" si="43"/>
        <v>29.29382706981291</v>
      </c>
      <c r="S937">
        <f t="shared" si="44"/>
        <v>3.5632699177499991</v>
      </c>
    </row>
    <row r="938" spans="1:19">
      <c r="A938" s="7">
        <v>42503</v>
      </c>
      <c r="B938" s="6" t="s">
        <v>57</v>
      </c>
      <c r="C938" s="6">
        <v>6</v>
      </c>
      <c r="D938" s="6" t="s">
        <v>62</v>
      </c>
      <c r="E938">
        <v>275</v>
      </c>
      <c r="F938" s="6">
        <v>1.43</v>
      </c>
      <c r="N938">
        <f t="shared" si="42"/>
        <v>147.22210687708332</v>
      </c>
      <c r="O938">
        <f>IF(AND(OR(D938="S. acutus",D938="S. californicus",D938="S. tabernaemontani"),G938=0),E938*[1]Sheet1!$D$7+[1]Sheet1!$L$7,IF(AND(OR(D938="S. acutus",D938="S. tabernaemontani"),G938&gt;0),E938*[1]Sheet1!$D$8+N938*[1]Sheet1!$E$8,IF(AND(D938="S. californicus",G938&gt;0),E938*[1]Sheet1!$D$9+N938*[1]Sheet1!$E$9,IF(D938="S. maritimus",F938*[1]Sheet1!$C$10+E938*[1]Sheet1!$D$10+G938*[1]Sheet1!$F$10+[1]Sheet1!$L$10,IF(D938="S. americanus",F938*[1]Sheet1!$C$6+E938*[1]Sheet1!$D$6+[1]Sheet1!$L$6,IF(AND(OR(D938="T. domingensis",D938="T. latifolia"),E938&gt;0),F938*[1]Sheet1!$C$4+E938*[1]Sheet1!$D$4+H938*[1]Sheet1!$J$4+I938*[1]Sheet1!$K$4+[1]Sheet1!$L$4,IF(AND(OR(D938="T. domingensis",D938="T. latifolia"),J938&gt;0),J938*[1]Sheet1!$G$5+K938*[1]Sheet1!$H$5+L938*[1]Sheet1!$I$5+[1]Sheet1!$L$5,0)))))))</f>
        <v>14.688278</v>
      </c>
      <c r="P938">
        <f t="shared" si="43"/>
        <v>14.688278</v>
      </c>
      <c r="S938">
        <f t="shared" si="44"/>
        <v>1.6060593477499998</v>
      </c>
    </row>
    <row r="939" spans="1:19">
      <c r="A939" s="7">
        <v>42503</v>
      </c>
      <c r="B939" s="6" t="s">
        <v>57</v>
      </c>
      <c r="C939" s="6">
        <v>6</v>
      </c>
      <c r="D939" s="6" t="s">
        <v>62</v>
      </c>
      <c r="E939">
        <v>280</v>
      </c>
      <c r="F939" s="6">
        <v>1.35</v>
      </c>
      <c r="N939">
        <f t="shared" si="42"/>
        <v>133.59611475</v>
      </c>
      <c r="O939">
        <f>IF(AND(OR(D939="S. acutus",D939="S. californicus",D939="S. tabernaemontani"),G939=0),E939*[1]Sheet1!$D$7+[1]Sheet1!$L$7,IF(AND(OR(D939="S. acutus",D939="S. tabernaemontani"),G939&gt;0),E939*[1]Sheet1!$D$8+N939*[1]Sheet1!$E$8,IF(AND(D939="S. californicus",G939&gt;0),E939*[1]Sheet1!$D$9+N939*[1]Sheet1!$E$9,IF(D939="S. maritimus",F939*[1]Sheet1!$C$10+E939*[1]Sheet1!$D$10+G939*[1]Sheet1!$F$10+[1]Sheet1!$L$10,IF(D939="S. americanus",F939*[1]Sheet1!$C$6+E939*[1]Sheet1!$D$6+[1]Sheet1!$L$6,IF(AND(OR(D939="T. domingensis",D939="T. latifolia"),E939&gt;0),F939*[1]Sheet1!$C$4+E939*[1]Sheet1!$D$4+H939*[1]Sheet1!$J$4+I939*[1]Sheet1!$K$4+[1]Sheet1!$L$4,IF(AND(OR(D939="T. domingensis",D939="T. latifolia"),J939&gt;0),J939*[1]Sheet1!$G$5+K939*[1]Sheet1!$H$5+L939*[1]Sheet1!$I$5+[1]Sheet1!$L$5,0)))))))</f>
        <v>15.038803000000001</v>
      </c>
      <c r="P939">
        <f t="shared" si="43"/>
        <v>15.038803000000001</v>
      </c>
      <c r="S939">
        <f t="shared" si="44"/>
        <v>1.4313869437500002</v>
      </c>
    </row>
    <row r="940" spans="1:19">
      <c r="A940" s="7">
        <v>42503</v>
      </c>
      <c r="B940" s="6" t="s">
        <v>57</v>
      </c>
      <c r="C940" s="6">
        <v>6</v>
      </c>
      <c r="D940" s="6" t="s">
        <v>62</v>
      </c>
      <c r="E940">
        <v>317</v>
      </c>
      <c r="F940" s="6">
        <v>1.5</v>
      </c>
      <c r="G940" s="6">
        <v>11</v>
      </c>
      <c r="N940">
        <f t="shared" si="42"/>
        <v>186.72825562499997</v>
      </c>
      <c r="O940">
        <f>IF(AND(OR(D940="S. acutus",D940="S. californicus",D940="S. tabernaemontani"),G940=0),E940*[1]Sheet1!$D$7+[1]Sheet1!$L$7,IF(AND(OR(D940="S. acutus",D940="S. tabernaemontani"),G940&gt;0),E940*[1]Sheet1!$D$8+N940*[1]Sheet1!$E$8,IF(AND(D940="S. californicus",G940&gt;0),E940*[1]Sheet1!$D$9+N940*[1]Sheet1!$E$9,IF(D940="S. maritimus",F940*[1]Sheet1!$C$10+E940*[1]Sheet1!$D$10+G940*[1]Sheet1!$F$10+[1]Sheet1!$L$10,IF(D940="S. americanus",F940*[1]Sheet1!$C$6+E940*[1]Sheet1!$D$6+[1]Sheet1!$L$6,IF(AND(OR(D940="T. domingensis",D940="T. latifolia"),E940&gt;0),F940*[1]Sheet1!$C$4+E940*[1]Sheet1!$D$4+H940*[1]Sheet1!$J$4+I940*[1]Sheet1!$K$4+[1]Sheet1!$L$4,IF(AND(OR(D940="T. domingensis",D940="T. latifolia"),J940&gt;0),J940*[1]Sheet1!$G$5+K940*[1]Sheet1!$H$5+L940*[1]Sheet1!$I$5+[1]Sheet1!$L$5,0)))))))</f>
        <v>18.53383661491625</v>
      </c>
      <c r="P940">
        <f t="shared" si="43"/>
        <v>18.53383661491625</v>
      </c>
      <c r="S940">
        <f t="shared" si="44"/>
        <v>1.767144375</v>
      </c>
    </row>
    <row r="941" spans="1:19">
      <c r="A941" s="7">
        <v>42503</v>
      </c>
      <c r="B941" s="6" t="s">
        <v>57</v>
      </c>
      <c r="C941" s="6">
        <v>6</v>
      </c>
      <c r="D941" s="6" t="s">
        <v>62</v>
      </c>
      <c r="E941">
        <v>223</v>
      </c>
      <c r="F941" s="6">
        <v>1.62</v>
      </c>
      <c r="N941">
        <f t="shared" si="42"/>
        <v>153.21565845900003</v>
      </c>
      <c r="O941">
        <f>IF(AND(OR(D941="S. acutus",D941="S. californicus",D941="S. tabernaemontani"),G941=0),E941*[1]Sheet1!$D$7+[1]Sheet1!$L$7,IF(AND(OR(D941="S. acutus",D941="S. tabernaemontani"),G941&gt;0),E941*[1]Sheet1!$D$8+N941*[1]Sheet1!$E$8,IF(AND(D941="S. californicus",G941&gt;0),E941*[1]Sheet1!$D$9+N941*[1]Sheet1!$E$9,IF(D941="S. maritimus",F941*[1]Sheet1!$C$10+E941*[1]Sheet1!$D$10+G941*[1]Sheet1!$F$10+[1]Sheet1!$L$10,IF(D941="S. americanus",F941*[1]Sheet1!$C$6+E941*[1]Sheet1!$D$6+[1]Sheet1!$L$6,IF(AND(OR(D941="T. domingensis",D941="T. latifolia"),E941&gt;0),F941*[1]Sheet1!$C$4+E941*[1]Sheet1!$D$4+H941*[1]Sheet1!$J$4+I941*[1]Sheet1!$K$4+[1]Sheet1!$L$4,IF(AND(OR(D941="T. domingensis",D941="T. latifolia"),J941&gt;0),J941*[1]Sheet1!$G$5+K941*[1]Sheet1!$H$5+L941*[1]Sheet1!$I$5+[1]Sheet1!$L$5,0)))))))</f>
        <v>11.042818</v>
      </c>
      <c r="P941">
        <f t="shared" si="43"/>
        <v>11.042818</v>
      </c>
      <c r="S941">
        <f t="shared" si="44"/>
        <v>2.0611971990000004</v>
      </c>
    </row>
    <row r="942" spans="1:19">
      <c r="A942" s="7">
        <v>42503</v>
      </c>
      <c r="B942" s="6" t="s">
        <v>57</v>
      </c>
      <c r="C942" s="6">
        <v>6</v>
      </c>
      <c r="D942" s="6" t="s">
        <v>62</v>
      </c>
      <c r="E942">
        <v>349</v>
      </c>
      <c r="F942" s="6">
        <v>2.0099999999999998</v>
      </c>
      <c r="G942" s="6">
        <v>15</v>
      </c>
      <c r="N942">
        <f t="shared" si="42"/>
        <v>369.13548982424987</v>
      </c>
      <c r="O942">
        <f>IF(AND(OR(D942="S. acutus",D942="S. californicus",D942="S. tabernaemontani"),G942=0),E942*[1]Sheet1!$D$7+[1]Sheet1!$L$7,IF(AND(OR(D942="S. acutus",D942="S. tabernaemontani"),G942&gt;0),E942*[1]Sheet1!$D$8+N942*[1]Sheet1!$E$8,IF(AND(D942="S. californicus",G942&gt;0),E942*[1]Sheet1!$D$9+N942*[1]Sheet1!$E$9,IF(D942="S. maritimus",F942*[1]Sheet1!$C$10+E942*[1]Sheet1!$D$10+G942*[1]Sheet1!$F$10+[1]Sheet1!$L$10,IF(D942="S. americanus",F942*[1]Sheet1!$C$6+E942*[1]Sheet1!$D$6+[1]Sheet1!$L$6,IF(AND(OR(D942="T. domingensis",D942="T. latifolia"),E942&gt;0),F942*[1]Sheet1!$C$4+E942*[1]Sheet1!$D$4+H942*[1]Sheet1!$J$4+I942*[1]Sheet1!$K$4+[1]Sheet1!$L$4,IF(AND(OR(D942="T. domingensis",D942="T. latifolia"),J942&gt;0),J942*[1]Sheet1!$G$5+K942*[1]Sheet1!$H$5+L942*[1]Sheet1!$I$5+[1]Sheet1!$L$5,0)))))))</f>
        <v>29.837786640123788</v>
      </c>
      <c r="P942">
        <f t="shared" si="43"/>
        <v>29.837786640123788</v>
      </c>
      <c r="S942">
        <f t="shared" si="44"/>
        <v>3.1730844397499989</v>
      </c>
    </row>
    <row r="943" spans="1:19">
      <c r="A943" s="7">
        <v>42503</v>
      </c>
      <c r="B943" s="6" t="s">
        <v>57</v>
      </c>
      <c r="C943" s="6">
        <v>6</v>
      </c>
      <c r="D943" s="6" t="s">
        <v>62</v>
      </c>
      <c r="E943">
        <v>229</v>
      </c>
      <c r="F943" s="6">
        <v>1.23</v>
      </c>
      <c r="G943" s="6">
        <v>15</v>
      </c>
      <c r="N943">
        <f t="shared" si="42"/>
        <v>90.701394668249989</v>
      </c>
      <c r="O943">
        <f>IF(AND(OR(D943="S. acutus",D943="S. californicus",D943="S. tabernaemontani"),G943=0),E943*[1]Sheet1!$D$7+[1]Sheet1!$L$7,IF(AND(OR(D943="S. acutus",D943="S. tabernaemontani"),G943&gt;0),E943*[1]Sheet1!$D$8+N943*[1]Sheet1!$E$8,IF(AND(D943="S. californicus",G943&gt;0),E943*[1]Sheet1!$D$9+N943*[1]Sheet1!$E$9,IF(D943="S. maritimus",F943*[1]Sheet1!$C$10+E943*[1]Sheet1!$D$10+G943*[1]Sheet1!$F$10+[1]Sheet1!$L$10,IF(D943="S. americanus",F943*[1]Sheet1!$C$6+E943*[1]Sheet1!$D$6+[1]Sheet1!$L$6,IF(AND(OR(D943="T. domingensis",D943="T. latifolia"),E943&gt;0),F943*[1]Sheet1!$C$4+E943*[1]Sheet1!$D$4+H943*[1]Sheet1!$J$4+I943*[1]Sheet1!$K$4+[1]Sheet1!$L$4,IF(AND(OR(D943="T. domingensis",D943="T. latifolia"),J943&gt;0),J943*[1]Sheet1!$G$5+K943*[1]Sheet1!$H$5+L943*[1]Sheet1!$I$5+[1]Sheet1!$L$5,0)))))))</f>
        <v>10.840146636096652</v>
      </c>
      <c r="P943">
        <f t="shared" si="43"/>
        <v>10.840146636096652</v>
      </c>
      <c r="S943">
        <f t="shared" si="44"/>
        <v>1.1882278777499999</v>
      </c>
    </row>
    <row r="944" spans="1:19">
      <c r="A944" s="7">
        <v>42503</v>
      </c>
      <c r="B944" s="6" t="s">
        <v>57</v>
      </c>
      <c r="C944" s="6">
        <v>6</v>
      </c>
      <c r="D944" s="6" t="s">
        <v>62</v>
      </c>
      <c r="E944">
        <v>319</v>
      </c>
      <c r="F944" s="6">
        <v>2.88</v>
      </c>
      <c r="G944" s="6">
        <v>9</v>
      </c>
      <c r="N944">
        <f t="shared" si="42"/>
        <v>692.69797555199989</v>
      </c>
      <c r="O944">
        <f>IF(AND(OR(D944="S. acutus",D944="S. californicus",D944="S. tabernaemontani"),G944=0),E944*[1]Sheet1!$D$7+[1]Sheet1!$L$7,IF(AND(OR(D944="S. acutus",D944="S. tabernaemontani"),G944&gt;0),E944*[1]Sheet1!$D$8+N944*[1]Sheet1!$E$8,IF(AND(D944="S. californicus",G944&gt;0),E944*[1]Sheet1!$D$9+N944*[1]Sheet1!$E$9,IF(D944="S. maritimus",F944*[1]Sheet1!$C$10+E944*[1]Sheet1!$D$10+G944*[1]Sheet1!$F$10+[1]Sheet1!$L$10,IF(D944="S. americanus",F944*[1]Sheet1!$C$6+E944*[1]Sheet1!$D$6+[1]Sheet1!$L$6,IF(AND(OR(D944="T. domingensis",D944="T. latifolia"),E944&gt;0),F944*[1]Sheet1!$C$4+E944*[1]Sheet1!$D$4+H944*[1]Sheet1!$J$4+I944*[1]Sheet1!$K$4+[1]Sheet1!$L$4,IF(AND(OR(D944="T. domingensis",D944="T. latifolia"),J944&gt;0),J944*[1]Sheet1!$G$5+K944*[1]Sheet1!$H$5+L944*[1]Sheet1!$I$5+[1]Sheet1!$L$5,0)))))))</f>
        <v>47.764121441986049</v>
      </c>
      <c r="P944">
        <f t="shared" si="43"/>
        <v>47.764121441986049</v>
      </c>
      <c r="S944">
        <f t="shared" si="44"/>
        <v>6.5144010239999997</v>
      </c>
    </row>
    <row r="945" spans="1:19">
      <c r="A945" s="7">
        <v>42503</v>
      </c>
      <c r="B945" s="6" t="s">
        <v>57</v>
      </c>
      <c r="C945" s="6">
        <v>6</v>
      </c>
      <c r="D945" s="6" t="s">
        <v>62</v>
      </c>
      <c r="E945">
        <v>277</v>
      </c>
      <c r="F945" s="6">
        <v>1.6</v>
      </c>
      <c r="N945">
        <f t="shared" si="42"/>
        <v>185.64702506666669</v>
      </c>
      <c r="O945">
        <f>IF(AND(OR(D945="S. acutus",D945="S. californicus",D945="S. tabernaemontani"),G945=0),E945*[1]Sheet1!$D$7+[1]Sheet1!$L$7,IF(AND(OR(D945="S. acutus",D945="S. tabernaemontani"),G945&gt;0),E945*[1]Sheet1!$D$8+N945*[1]Sheet1!$E$8,IF(AND(D945="S. californicus",G945&gt;0),E945*[1]Sheet1!$D$9+N945*[1]Sheet1!$E$9,IF(D945="S. maritimus",F945*[1]Sheet1!$C$10+E945*[1]Sheet1!$D$10+G945*[1]Sheet1!$F$10+[1]Sheet1!$L$10,IF(D945="S. americanus",F945*[1]Sheet1!$C$6+E945*[1]Sheet1!$D$6+[1]Sheet1!$L$6,IF(AND(OR(D945="T. domingensis",D945="T. latifolia"),E945&gt;0),F945*[1]Sheet1!$C$4+E945*[1]Sheet1!$D$4+H945*[1]Sheet1!$J$4+I945*[1]Sheet1!$K$4+[1]Sheet1!$L$4,IF(AND(OR(D945="T. domingensis",D945="T. latifolia"),J945&gt;0),J945*[1]Sheet1!$G$5+K945*[1]Sheet1!$H$5+L945*[1]Sheet1!$I$5+[1]Sheet1!$L$5,0)))))))</f>
        <v>14.828488</v>
      </c>
      <c r="P945">
        <f t="shared" si="43"/>
        <v>14.828488</v>
      </c>
      <c r="S945">
        <f t="shared" si="44"/>
        <v>2.0106176000000002</v>
      </c>
    </row>
    <row r="946" spans="1:19">
      <c r="A946" s="7">
        <v>42503</v>
      </c>
      <c r="B946" s="6" t="s">
        <v>57</v>
      </c>
      <c r="C946" s="6">
        <v>6</v>
      </c>
      <c r="D946" s="6" t="s">
        <v>62</v>
      </c>
      <c r="E946">
        <v>276</v>
      </c>
      <c r="F946" s="6">
        <v>1.23</v>
      </c>
      <c r="G946" s="6">
        <v>12</v>
      </c>
      <c r="N946">
        <f t="shared" si="42"/>
        <v>109.31696475299998</v>
      </c>
      <c r="P946">
        <f t="shared" si="43"/>
        <v>0</v>
      </c>
      <c r="S946">
        <f t="shared" si="44"/>
        <v>1.1882278777499999</v>
      </c>
    </row>
    <row r="947" spans="1:19">
      <c r="A947" s="7">
        <v>42503</v>
      </c>
      <c r="B947" s="6" t="s">
        <v>57</v>
      </c>
      <c r="C947" s="6">
        <v>6</v>
      </c>
      <c r="D947" s="6" t="s">
        <v>62</v>
      </c>
      <c r="E947">
        <v>328</v>
      </c>
      <c r="F947" s="6">
        <v>1.29</v>
      </c>
      <c r="G947" s="6">
        <v>11</v>
      </c>
      <c r="N947">
        <f t="shared" si="42"/>
        <v>142.89647778599999</v>
      </c>
      <c r="O947">
        <f>IF(AND(OR(D947="S. acutus",D947="S. californicus",D947="S. tabernaemontani"),G947=0),E947*[1]Sheet1!$D$7+[1]Sheet1!$L$7,IF(AND(OR(D947="S. acutus",D947="S. tabernaemontani"),G947&gt;0),E947*[1]Sheet1!$D$8+N947*[1]Sheet1!$E$8,IF(AND(D947="S. californicus",G947&gt;0),E947*[1]Sheet1!$D$9+N947*[1]Sheet1!$E$9,IF(D947="S. maritimus",F947*[1]Sheet1!$C$10+E947*[1]Sheet1!$D$10+G947*[1]Sheet1!$F$10+[1]Sheet1!$L$10,IF(D947="S. americanus",F947*[1]Sheet1!$C$6+E947*[1]Sheet1!$D$6+[1]Sheet1!$L$6,IF(AND(OR(D947="T. domingensis",D947="T. latifolia"),E947&gt;0),F947*[1]Sheet1!$C$4+E947*[1]Sheet1!$D$4+H947*[1]Sheet1!$J$4+I947*[1]Sheet1!$K$4+[1]Sheet1!$L$4,IF(AND(OR(D947="T. domingensis",D947="T. latifolia"),J947&gt;0),J947*[1]Sheet1!$G$5+K947*[1]Sheet1!$H$5+L947*[1]Sheet1!$I$5+[1]Sheet1!$L$5,0)))))))</f>
        <v>16.275312259829764</v>
      </c>
      <c r="P947">
        <f t="shared" si="43"/>
        <v>16.275312259829764</v>
      </c>
      <c r="S947">
        <f t="shared" si="44"/>
        <v>1.3069799797500001</v>
      </c>
    </row>
    <row r="948" spans="1:19">
      <c r="A948" s="7">
        <v>42503</v>
      </c>
      <c r="B948" s="6" t="s">
        <v>57</v>
      </c>
      <c r="C948" s="6">
        <v>6</v>
      </c>
      <c r="D948" s="6" t="s">
        <v>62</v>
      </c>
      <c r="E948">
        <v>267</v>
      </c>
      <c r="F948" s="6">
        <v>1.5</v>
      </c>
      <c r="G948" s="6">
        <v>5</v>
      </c>
      <c r="N948">
        <f t="shared" si="42"/>
        <v>157.27584937499998</v>
      </c>
      <c r="O948">
        <f>IF(AND(OR(D948="S. acutus",D948="S. californicus",D948="S. tabernaemontani"),G948=0),E948*[1]Sheet1!$D$7+[1]Sheet1!$L$7,IF(AND(OR(D948="S. acutus",D948="S. tabernaemontani"),G948&gt;0),E948*[1]Sheet1!$D$8+N948*[1]Sheet1!$E$8,IF(AND(D948="S. californicus",G948&gt;0),E948*[1]Sheet1!$D$9+N948*[1]Sheet1!$E$9,IF(D948="S. maritimus",F948*[1]Sheet1!$C$10+E948*[1]Sheet1!$D$10+G948*[1]Sheet1!$F$10+[1]Sheet1!$L$10,IF(D948="S. americanus",F948*[1]Sheet1!$C$6+E948*[1]Sheet1!$D$6+[1]Sheet1!$L$6,IF(AND(OR(D948="T. domingensis",D948="T. latifolia"),E948&gt;0),F948*[1]Sheet1!$C$4+E948*[1]Sheet1!$D$4+H948*[1]Sheet1!$J$4+I948*[1]Sheet1!$K$4+[1]Sheet1!$L$4,IF(AND(OR(D948="T. domingensis",D948="T. latifolia"),J948&gt;0),J948*[1]Sheet1!$G$5+K948*[1]Sheet1!$H$5+L948*[1]Sheet1!$I$5+[1]Sheet1!$L$5,0)))))))</f>
        <v>15.61051853685375</v>
      </c>
      <c r="P948">
        <f t="shared" si="43"/>
        <v>15.61051853685375</v>
      </c>
      <c r="S948">
        <f t="shared" si="44"/>
        <v>1.767144375</v>
      </c>
    </row>
    <row r="949" spans="1:19">
      <c r="A949" s="7">
        <v>42503</v>
      </c>
      <c r="B949" s="6" t="s">
        <v>57</v>
      </c>
      <c r="C949" s="6">
        <v>6</v>
      </c>
      <c r="D949" s="6" t="s">
        <v>62</v>
      </c>
      <c r="E949">
        <v>352</v>
      </c>
      <c r="F949" s="6">
        <v>1.56</v>
      </c>
      <c r="G949" s="6">
        <v>10</v>
      </c>
      <c r="N949">
        <f t="shared" si="42"/>
        <v>224.26428710399998</v>
      </c>
      <c r="O949">
        <f>IF(AND(OR(D949="S. acutus",D949="S. californicus",D949="S. tabernaemontani"),G949=0),E949*[1]Sheet1!$D$7+[1]Sheet1!$L$7,IF(AND(OR(D949="S. acutus",D949="S. tabernaemontani"),G949&gt;0),E949*[1]Sheet1!$D$8+N949*[1]Sheet1!$E$8,IF(AND(D949="S. californicus",G949&gt;0),E949*[1]Sheet1!$D$9+N949*[1]Sheet1!$E$9,IF(D949="S. maritimus",F949*[1]Sheet1!$C$10+E949*[1]Sheet1!$D$10+G949*[1]Sheet1!$F$10+[1]Sheet1!$L$10,IF(D949="S. americanus",F949*[1]Sheet1!$C$6+E949*[1]Sheet1!$D$6+[1]Sheet1!$L$6,IF(AND(OR(D949="T. domingensis",D949="T. latifolia"),E949&gt;0),F949*[1]Sheet1!$C$4+E949*[1]Sheet1!$D$4+H949*[1]Sheet1!$J$4+I949*[1]Sheet1!$K$4+[1]Sheet1!$L$4,IF(AND(OR(D949="T. domingensis",D949="T. latifolia"),J949&gt;0),J949*[1]Sheet1!$G$5+K949*[1]Sheet1!$H$5+L949*[1]Sheet1!$I$5+[1]Sheet1!$L$5,0)))))))</f>
        <v>21.555965694436097</v>
      </c>
      <c r="P949">
        <f t="shared" si="43"/>
        <v>21.555965694436097</v>
      </c>
      <c r="S949">
        <f t="shared" si="44"/>
        <v>1.9113433560000002</v>
      </c>
    </row>
    <row r="950" spans="1:19">
      <c r="A950" s="7">
        <v>42503</v>
      </c>
      <c r="B950" s="6" t="s">
        <v>57</v>
      </c>
      <c r="C950" s="6">
        <v>6</v>
      </c>
      <c r="D950" s="6" t="s">
        <v>62</v>
      </c>
      <c r="E950">
        <v>269</v>
      </c>
      <c r="F950" s="6">
        <v>1.56</v>
      </c>
      <c r="G950" s="6">
        <v>13</v>
      </c>
      <c r="N950">
        <f t="shared" si="42"/>
        <v>171.38378758799999</v>
      </c>
      <c r="O950">
        <f>IF(AND(OR(D950="S. acutus",D950="S. californicus",D950="S. tabernaemontani"),G950=0),E950*[1]Sheet1!$D$7+[1]Sheet1!$L$7,IF(AND(OR(D950="S. acutus",D950="S. tabernaemontani"),G950&gt;0),E950*[1]Sheet1!$D$8+N950*[1]Sheet1!$E$8,IF(AND(D950="S. californicus",G950&gt;0),E950*[1]Sheet1!$D$9+N950*[1]Sheet1!$E$9,IF(D950="S. maritimus",F950*[1]Sheet1!$C$10+E950*[1]Sheet1!$D$10+G950*[1]Sheet1!$F$10+[1]Sheet1!$L$10,IF(D950="S. americanus",F950*[1]Sheet1!$C$6+E950*[1]Sheet1!$D$6+[1]Sheet1!$L$6,IF(AND(OR(D950="T. domingensis",D950="T. latifolia"),E950&gt;0),F950*[1]Sheet1!$C$4+E950*[1]Sheet1!$D$4+H950*[1]Sheet1!$J$4+I950*[1]Sheet1!$K$4+[1]Sheet1!$L$4,IF(AND(OR(D950="T. domingensis",D950="T. latifolia"),J950&gt;0),J950*[1]Sheet1!$G$5+K950*[1]Sheet1!$H$5+L950*[1]Sheet1!$I$5+[1]Sheet1!$L$5,0)))))))</f>
        <v>16.473166965350313</v>
      </c>
      <c r="P950">
        <f t="shared" si="43"/>
        <v>16.473166965350313</v>
      </c>
      <c r="S950">
        <f t="shared" si="44"/>
        <v>1.9113433560000002</v>
      </c>
    </row>
    <row r="951" spans="1:19">
      <c r="A951" s="7">
        <v>42503</v>
      </c>
      <c r="B951" s="6" t="s">
        <v>57</v>
      </c>
      <c r="C951" s="6">
        <v>6</v>
      </c>
      <c r="D951" s="6" t="s">
        <v>62</v>
      </c>
      <c r="E951">
        <v>358</v>
      </c>
      <c r="F951" s="6">
        <v>1.66</v>
      </c>
      <c r="G951" s="6">
        <v>11</v>
      </c>
      <c r="N951">
        <f t="shared" si="42"/>
        <v>258.26613455266664</v>
      </c>
      <c r="O951">
        <f>IF(AND(OR(D951="S. acutus",D951="S. californicus",D951="S. tabernaemontani"),G951=0),E951*[1]Sheet1!$D$7+[1]Sheet1!$L$7,IF(AND(OR(D951="S. acutus",D951="S. tabernaemontani"),G951&gt;0),E951*[1]Sheet1!$D$8+N951*[1]Sheet1!$E$8,IF(AND(D951="S. californicus",G951&gt;0),E951*[1]Sheet1!$D$9+N951*[1]Sheet1!$E$9,IF(D951="S. maritimus",F951*[1]Sheet1!$C$10+E951*[1]Sheet1!$D$10+G951*[1]Sheet1!$F$10+[1]Sheet1!$L$10,IF(D951="S. americanus",F951*[1]Sheet1!$C$6+E951*[1]Sheet1!$D$6+[1]Sheet1!$L$6,IF(AND(OR(D951="T. domingensis",D951="T. latifolia"),E951&gt;0),F951*[1]Sheet1!$C$4+E951*[1]Sheet1!$D$4+H951*[1]Sheet1!$J$4+I951*[1]Sheet1!$K$4+[1]Sheet1!$L$4,IF(AND(OR(D951="T. domingensis",D951="T. latifolia"),J951&gt;0),J951*[1]Sheet1!$G$5+K951*[1]Sheet1!$H$5+L951*[1]Sheet1!$I$5+[1]Sheet1!$L$5,0)))))))</f>
        <v>23.663949844190498</v>
      </c>
      <c r="P951">
        <f t="shared" si="43"/>
        <v>23.663949844190498</v>
      </c>
      <c r="S951">
        <f t="shared" si="44"/>
        <v>2.1642413509999998</v>
      </c>
    </row>
    <row r="952" spans="1:19">
      <c r="A952" s="7">
        <v>42503</v>
      </c>
      <c r="B952" s="6" t="s">
        <v>57</v>
      </c>
      <c r="C952" s="6">
        <v>6</v>
      </c>
      <c r="D952" s="6" t="s">
        <v>62</v>
      </c>
      <c r="E952">
        <v>203</v>
      </c>
      <c r="F952" s="6">
        <v>1.89</v>
      </c>
      <c r="G952" s="6">
        <v>6</v>
      </c>
      <c r="N952">
        <f t="shared" si="42"/>
        <v>189.84007905974997</v>
      </c>
      <c r="O952">
        <f>IF(AND(OR(D952="S. acutus",D952="S. californicus",D952="S. tabernaemontani"),G952=0),E952*[1]Sheet1!$D$7+[1]Sheet1!$L$7,IF(AND(OR(D952="S. acutus",D952="S. tabernaemontani"),G952&gt;0),E952*[1]Sheet1!$D$8+N952*[1]Sheet1!$E$8,IF(AND(D952="S. californicus",G952&gt;0),E952*[1]Sheet1!$D$9+N952*[1]Sheet1!$E$9,IF(D952="S. maritimus",F952*[1]Sheet1!$C$10+E952*[1]Sheet1!$D$10+G952*[1]Sheet1!$F$10+[1]Sheet1!$L$10,IF(D952="S. americanus",F952*[1]Sheet1!$C$6+E952*[1]Sheet1!$D$6+[1]Sheet1!$L$6,IF(AND(OR(D952="T. domingensis",D952="T. latifolia"),E952&gt;0),F952*[1]Sheet1!$C$4+E952*[1]Sheet1!$D$4+H952*[1]Sheet1!$J$4+I952*[1]Sheet1!$K$4+[1]Sheet1!$L$4,IF(AND(OR(D952="T. domingensis",D952="T. latifolia"),J952&gt;0),J952*[1]Sheet1!$G$5+K952*[1]Sheet1!$H$5+L952*[1]Sheet1!$I$5+[1]Sheet1!$L$5,0)))))))</f>
        <v>15.921037519692021</v>
      </c>
      <c r="P952">
        <f t="shared" si="43"/>
        <v>15.921037519692021</v>
      </c>
      <c r="S952">
        <f t="shared" si="44"/>
        <v>2.8055184097499999</v>
      </c>
    </row>
    <row r="953" spans="1:19">
      <c r="A953" s="7">
        <v>42503</v>
      </c>
      <c r="B953" s="6" t="s">
        <v>57</v>
      </c>
      <c r="C953" s="6">
        <v>6</v>
      </c>
      <c r="D953" s="6" t="s">
        <v>62</v>
      </c>
      <c r="E953">
        <v>229</v>
      </c>
      <c r="F953" s="6">
        <v>0.77</v>
      </c>
      <c r="N953">
        <f t="shared" si="42"/>
        <v>35.545546234916657</v>
      </c>
      <c r="O953">
        <f>IF(AND(OR(D953="S. acutus",D953="S. californicus",D953="S. tabernaemontani"),G953=0),E953*[1]Sheet1!$D$7+[1]Sheet1!$L$7,IF(AND(OR(D953="S. acutus",D953="S. tabernaemontani"),G953&gt;0),E953*[1]Sheet1!$D$8+N953*[1]Sheet1!$E$8,IF(AND(D953="S. californicus",G953&gt;0),E953*[1]Sheet1!$D$9+N953*[1]Sheet1!$E$9,IF(D953="S. maritimus",F953*[1]Sheet1!$C$10+E953*[1]Sheet1!$D$10+G953*[1]Sheet1!$F$10+[1]Sheet1!$L$10,IF(D953="S. americanus",F953*[1]Sheet1!$C$6+E953*[1]Sheet1!$D$6+[1]Sheet1!$L$6,IF(AND(OR(D953="T. domingensis",D953="T. latifolia"),E953&gt;0),F953*[1]Sheet1!$C$4+E953*[1]Sheet1!$D$4+H953*[1]Sheet1!$J$4+I953*[1]Sheet1!$K$4+[1]Sheet1!$L$4,IF(AND(OR(D953="T. domingensis",D953="T. latifolia"),J953&gt;0),J953*[1]Sheet1!$G$5+K953*[1]Sheet1!$H$5+L953*[1]Sheet1!$I$5+[1]Sheet1!$L$5,0)))))))</f>
        <v>11.463448</v>
      </c>
      <c r="P953">
        <f t="shared" si="43"/>
        <v>11.463448</v>
      </c>
      <c r="S953">
        <f t="shared" si="44"/>
        <v>0.46566217774999996</v>
      </c>
    </row>
    <row r="954" spans="1:19">
      <c r="A954" s="7">
        <v>42503</v>
      </c>
      <c r="B954" s="6" t="s">
        <v>57</v>
      </c>
      <c r="C954" s="6">
        <v>6</v>
      </c>
      <c r="D954" s="6" t="s">
        <v>62</v>
      </c>
      <c r="E954">
        <v>231</v>
      </c>
      <c r="F954" s="6">
        <v>2</v>
      </c>
      <c r="N954">
        <f t="shared" si="42"/>
        <v>241.90242999999998</v>
      </c>
      <c r="O954">
        <f>IF(AND(OR(D954="S. acutus",D954="S. californicus",D954="S. tabernaemontani"),G954=0),E954*[1]Sheet1!$D$7+[1]Sheet1!$L$7,IF(AND(OR(D954="S. acutus",D954="S. tabernaemontani"),G954&gt;0),E954*[1]Sheet1!$D$8+N954*[1]Sheet1!$E$8,IF(AND(D954="S. californicus",G954&gt;0),E954*[1]Sheet1!$D$9+N954*[1]Sheet1!$E$9,IF(D954="S. maritimus",F954*[1]Sheet1!$C$10+E954*[1]Sheet1!$D$10+G954*[1]Sheet1!$F$10+[1]Sheet1!$L$10,IF(D954="S. americanus",F954*[1]Sheet1!$C$6+E954*[1]Sheet1!$D$6+[1]Sheet1!$L$6,IF(AND(OR(D954="T. domingensis",D954="T. latifolia"),E954&gt;0),F954*[1]Sheet1!$C$4+E954*[1]Sheet1!$D$4+H954*[1]Sheet1!$J$4+I954*[1]Sheet1!$K$4+[1]Sheet1!$L$4,IF(AND(OR(D954="T. domingensis",D954="T. latifolia"),J954&gt;0),J954*[1]Sheet1!$G$5+K954*[1]Sheet1!$H$5+L954*[1]Sheet1!$I$5+[1]Sheet1!$L$5,0)))))))</f>
        <v>11.603658000000003</v>
      </c>
      <c r="P954">
        <f t="shared" si="43"/>
        <v>11.603658000000003</v>
      </c>
      <c r="S954">
        <f t="shared" si="44"/>
        <v>3.1415899999999999</v>
      </c>
    </row>
    <row r="955" spans="1:19">
      <c r="A955" s="7">
        <v>42503</v>
      </c>
      <c r="B955" s="6" t="s">
        <v>57</v>
      </c>
      <c r="C955" s="6">
        <v>6</v>
      </c>
      <c r="D955" s="6" t="s">
        <v>62</v>
      </c>
      <c r="E955">
        <v>207</v>
      </c>
      <c r="F955" s="6">
        <v>1.48</v>
      </c>
      <c r="G955" s="6">
        <v>7</v>
      </c>
      <c r="N955">
        <f t="shared" si="42"/>
        <v>118.70309319599998</v>
      </c>
      <c r="O955">
        <f>IF(AND(OR(D955="S. acutus",D955="S. californicus",D955="S. tabernaemontani"),G955=0),E955*[1]Sheet1!$D$7+[1]Sheet1!$L$7,IF(AND(OR(D955="S. acutus",D955="S. tabernaemontani"),G955&gt;0),E955*[1]Sheet1!$D$8+N955*[1]Sheet1!$E$8,IF(AND(D955="S. californicus",G955&gt;0),E955*[1]Sheet1!$D$9+N955*[1]Sheet1!$E$9,IF(D955="S. maritimus",F955*[1]Sheet1!$C$10+E955*[1]Sheet1!$D$10+G955*[1]Sheet1!$F$10+[1]Sheet1!$L$10,IF(D955="S. americanus",F955*[1]Sheet1!$C$6+E955*[1]Sheet1!$D$6+[1]Sheet1!$L$6,IF(AND(OR(D955="T. domingensis",D955="T. latifolia"),E955&gt;0),F955*[1]Sheet1!$C$4+E955*[1]Sheet1!$D$4+H955*[1]Sheet1!$J$4+I955*[1]Sheet1!$K$4+[1]Sheet1!$L$4,IF(AND(OR(D955="T. domingensis",D955="T. latifolia"),J955&gt;0),J955*[1]Sheet1!$G$5+K955*[1]Sheet1!$H$5+L955*[1]Sheet1!$I$5+[1]Sheet1!$L$5,0)))))))</f>
        <v>11.916257396986104</v>
      </c>
      <c r="P955">
        <f t="shared" si="43"/>
        <v>11.916257396986104</v>
      </c>
      <c r="S955">
        <f t="shared" si="44"/>
        <v>1.7203346839999998</v>
      </c>
    </row>
    <row r="956" spans="1:19">
      <c r="A956" s="7">
        <v>42503</v>
      </c>
      <c r="B956" s="6" t="s">
        <v>57</v>
      </c>
      <c r="C956" s="6">
        <v>6</v>
      </c>
      <c r="D956" s="6" t="s">
        <v>62</v>
      </c>
      <c r="E956">
        <v>312</v>
      </c>
      <c r="F956" s="6">
        <v>1.62</v>
      </c>
      <c r="G956" s="6">
        <v>12</v>
      </c>
      <c r="N956">
        <f t="shared" si="42"/>
        <v>214.36450869600003</v>
      </c>
      <c r="O956">
        <f>IF(AND(OR(D956="S. acutus",D956="S. californicus",D956="S. tabernaemontani"),G956=0),E956*[1]Sheet1!$D$7+[1]Sheet1!$L$7,IF(AND(OR(D956="S. acutus",D956="S. tabernaemontani"),G956&gt;0),E956*[1]Sheet1!$D$8+N956*[1]Sheet1!$E$8,IF(AND(D956="S. californicus",G956&gt;0),E956*[1]Sheet1!$D$9+N956*[1]Sheet1!$E$9,IF(D956="S. maritimus",F956*[1]Sheet1!$C$10+E956*[1]Sheet1!$D$10+G956*[1]Sheet1!$F$10+[1]Sheet1!$L$10,IF(D956="S. americanus",F956*[1]Sheet1!$C$6+E956*[1]Sheet1!$D$6+[1]Sheet1!$L$6,IF(AND(OR(D956="T. domingensis",D956="T. latifolia"),E956&gt;0),F956*[1]Sheet1!$C$4+E956*[1]Sheet1!$D$4+H956*[1]Sheet1!$J$4+I956*[1]Sheet1!$K$4+[1]Sheet1!$L$4,IF(AND(OR(D956="T. domingensis",D956="T. latifolia"),J956&gt;0),J956*[1]Sheet1!$G$5+K956*[1]Sheet1!$H$5+L956*[1]Sheet1!$I$5+[1]Sheet1!$L$5,0)))))))</f>
        <v>20.005261874533108</v>
      </c>
      <c r="P956">
        <f t="shared" si="43"/>
        <v>20.005261874533108</v>
      </c>
      <c r="S956">
        <f t="shared" si="44"/>
        <v>2.0611971990000004</v>
      </c>
    </row>
    <row r="957" spans="1:19">
      <c r="A957" s="7">
        <v>42503</v>
      </c>
      <c r="B957" s="6" t="s">
        <v>57</v>
      </c>
      <c r="C957" s="6">
        <v>6</v>
      </c>
      <c r="D957" s="6" t="s">
        <v>62</v>
      </c>
      <c r="E957">
        <v>278</v>
      </c>
      <c r="F957" s="6">
        <v>1.58</v>
      </c>
      <c r="G957" s="6">
        <v>8</v>
      </c>
      <c r="N957">
        <f t="shared" si="42"/>
        <v>181.68841222733334</v>
      </c>
      <c r="O957">
        <f>IF(AND(OR(D957="S. acutus",D957="S. californicus",D957="S. tabernaemontani"),G957=0),E957*[1]Sheet1!$D$7+[1]Sheet1!$L$7,IF(AND(OR(D957="S. acutus",D957="S. tabernaemontani"),G957&gt;0),E957*[1]Sheet1!$D$8+N957*[1]Sheet1!$E$8,IF(AND(D957="S. californicus",G957&gt;0),E957*[1]Sheet1!$D$9+N957*[1]Sheet1!$E$9,IF(D957="S. maritimus",F957*[1]Sheet1!$C$10+E957*[1]Sheet1!$D$10+G957*[1]Sheet1!$F$10+[1]Sheet1!$L$10,IF(D957="S. americanus",F957*[1]Sheet1!$C$6+E957*[1]Sheet1!$D$6+[1]Sheet1!$L$6,IF(AND(OR(D957="T. domingensis",D957="T. latifolia"),E957&gt;0),F957*[1]Sheet1!$C$4+E957*[1]Sheet1!$D$4+H957*[1]Sheet1!$J$4+I957*[1]Sheet1!$K$4+[1]Sheet1!$L$4,IF(AND(OR(D957="T. domingensis",D957="T. latifolia"),J957&gt;0),J957*[1]Sheet1!$G$5+K957*[1]Sheet1!$H$5+L957*[1]Sheet1!$I$5+[1]Sheet1!$L$5,0)))))))</f>
        <v>17.287918286799226</v>
      </c>
      <c r="P957">
        <f t="shared" si="43"/>
        <v>17.287918286799226</v>
      </c>
      <c r="S957">
        <f t="shared" si="44"/>
        <v>1.9606663190000002</v>
      </c>
    </row>
    <row r="958" spans="1:19">
      <c r="A958" s="7">
        <v>42503</v>
      </c>
      <c r="B958" s="6" t="s">
        <v>57</v>
      </c>
      <c r="C958" s="6">
        <v>6</v>
      </c>
      <c r="D958" s="6" t="s">
        <v>62</v>
      </c>
      <c r="E958">
        <v>269</v>
      </c>
      <c r="F958" s="6">
        <v>1.9</v>
      </c>
      <c r="N958">
        <f t="shared" si="42"/>
        <v>254.23055275833329</v>
      </c>
      <c r="O958">
        <f>IF(AND(OR(D958="S. acutus",D958="S. californicus",D958="S. tabernaemontani"),G958=0),E958*[1]Sheet1!$D$7+[1]Sheet1!$L$7,IF(AND(OR(D958="S. acutus",D958="S. tabernaemontani"),G958&gt;0),E958*[1]Sheet1!$D$8+N958*[1]Sheet1!$E$8,IF(AND(D958="S. californicus",G958&gt;0),E958*[1]Sheet1!$D$9+N958*[1]Sheet1!$E$9,IF(D958="S. maritimus",F958*[1]Sheet1!$C$10+E958*[1]Sheet1!$D$10+G958*[1]Sheet1!$F$10+[1]Sheet1!$L$10,IF(D958="S. americanus",F958*[1]Sheet1!$C$6+E958*[1]Sheet1!$D$6+[1]Sheet1!$L$6,IF(AND(OR(D958="T. domingensis",D958="T. latifolia"),E958&gt;0),F958*[1]Sheet1!$C$4+E958*[1]Sheet1!$D$4+H958*[1]Sheet1!$J$4+I958*[1]Sheet1!$K$4+[1]Sheet1!$L$4,IF(AND(OR(D958="T. domingensis",D958="T. latifolia"),J958&gt;0),J958*[1]Sheet1!$G$5+K958*[1]Sheet1!$H$5+L958*[1]Sheet1!$I$5+[1]Sheet1!$L$5,0)))))))</f>
        <v>14.267648000000001</v>
      </c>
      <c r="P958">
        <f t="shared" si="43"/>
        <v>14.267648000000001</v>
      </c>
      <c r="S958">
        <f t="shared" si="44"/>
        <v>2.835284975</v>
      </c>
    </row>
    <row r="959" spans="1:19">
      <c r="A959" s="7">
        <v>42503</v>
      </c>
      <c r="B959" s="6" t="s">
        <v>57</v>
      </c>
      <c r="C959" s="6">
        <v>6</v>
      </c>
      <c r="D959" s="6" t="s">
        <v>62</v>
      </c>
      <c r="E959">
        <v>273</v>
      </c>
      <c r="F959" s="6">
        <v>1.23</v>
      </c>
      <c r="G959" s="6">
        <v>18</v>
      </c>
      <c r="N959">
        <f t="shared" si="42"/>
        <v>108.12873687524998</v>
      </c>
      <c r="O959">
        <f>IF(AND(OR(D959="S. acutus",D959="S. californicus",D959="S. tabernaemontani"),G959=0),E959*[1]Sheet1!$D$7+[1]Sheet1!$L$7,IF(AND(OR(D959="S. acutus",D959="S. tabernaemontani"),G959&gt;0),E959*[1]Sheet1!$D$8+N959*[1]Sheet1!$E$8,IF(AND(D959="S. californicus",G959&gt;0),E959*[1]Sheet1!$D$9+N959*[1]Sheet1!$E$9,IF(D959="S. maritimus",F959*[1]Sheet1!$C$10+E959*[1]Sheet1!$D$10+G959*[1]Sheet1!$F$10+[1]Sheet1!$L$10,IF(D959="S. americanus",F959*[1]Sheet1!$C$6+E959*[1]Sheet1!$D$6+[1]Sheet1!$L$6,IF(AND(OR(D959="T. domingensis",D959="T. latifolia"),E959&gt;0),F959*[1]Sheet1!$C$4+E959*[1]Sheet1!$D$4+H959*[1]Sheet1!$J$4+I959*[1]Sheet1!$K$4+[1]Sheet1!$L$4,IF(AND(OR(D959="T. domingensis",D959="T. latifolia"),J959&gt;0),J959*[1]Sheet1!$G$5+K959*[1]Sheet1!$H$5+L959*[1]Sheet1!$I$5+[1]Sheet1!$L$5,0)))))))</f>
        <v>12.922969570543167</v>
      </c>
      <c r="P959">
        <f t="shared" si="43"/>
        <v>12.922969570543167</v>
      </c>
      <c r="S959">
        <f t="shared" si="44"/>
        <v>1.1882278777499999</v>
      </c>
    </row>
    <row r="960" spans="1:19">
      <c r="A960" s="7">
        <v>42503</v>
      </c>
      <c r="B960" s="6" t="s">
        <v>57</v>
      </c>
      <c r="C960" s="6">
        <v>6</v>
      </c>
      <c r="D960" s="6" t="s">
        <v>62</v>
      </c>
      <c r="E960">
        <v>253</v>
      </c>
      <c r="F960" s="6">
        <v>1.45</v>
      </c>
      <c r="G960" s="6">
        <v>13</v>
      </c>
      <c r="N960">
        <f t="shared" si="42"/>
        <v>139.25948522291665</v>
      </c>
      <c r="O960">
        <f>IF(AND(OR(D960="S. acutus",D960="S. californicus",D960="S. tabernaemontani"),G960=0),E960*[1]Sheet1!$D$7+[1]Sheet1!$L$7,IF(AND(OR(D960="S. acutus",D960="S. tabernaemontani"),G960&gt;0),E960*[1]Sheet1!$D$8+N960*[1]Sheet1!$E$8,IF(AND(D960="S. californicus",G960&gt;0),E960*[1]Sheet1!$D$9+N960*[1]Sheet1!$E$9,IF(D960="S. maritimus",F960*[1]Sheet1!$C$10+E960*[1]Sheet1!$D$10+G960*[1]Sheet1!$F$10+[1]Sheet1!$L$10,IF(D960="S. americanus",F960*[1]Sheet1!$C$6+E960*[1]Sheet1!$D$6+[1]Sheet1!$L$6,IF(AND(OR(D960="T. domingensis",D960="T. latifolia"),E960&gt;0),F960*[1]Sheet1!$C$4+E960*[1]Sheet1!$D$4+H960*[1]Sheet1!$J$4+I960*[1]Sheet1!$K$4+[1]Sheet1!$L$4,IF(AND(OR(D960="T. domingensis",D960="T. latifolia"),J960&gt;0),J960*[1]Sheet1!$G$5+K960*[1]Sheet1!$H$5+L960*[1]Sheet1!$I$5+[1]Sheet1!$L$5,0)))))))</f>
        <v>14.228532350746496</v>
      </c>
      <c r="P960">
        <f t="shared" si="43"/>
        <v>14.228532350746496</v>
      </c>
      <c r="S960">
        <f t="shared" si="44"/>
        <v>1.6512982437499999</v>
      </c>
    </row>
    <row r="961" spans="1:19">
      <c r="A961" s="7">
        <v>42503</v>
      </c>
      <c r="B961" s="6" t="s">
        <v>57</v>
      </c>
      <c r="C961" s="6">
        <v>6</v>
      </c>
      <c r="D961" s="6" t="s">
        <v>62</v>
      </c>
      <c r="E961">
        <v>244</v>
      </c>
      <c r="F961" s="6">
        <v>2.0299999999999998</v>
      </c>
      <c r="N961">
        <f t="shared" si="42"/>
        <v>263.2389573636666</v>
      </c>
      <c r="O961">
        <f>IF(AND(OR(D961="S. acutus",D961="S. californicus",D961="S. tabernaemontani"),G961=0),E961*[1]Sheet1!$D$7+[1]Sheet1!$L$7,IF(AND(OR(D961="S. acutus",D961="S. tabernaemontani"),G961&gt;0),E961*[1]Sheet1!$D$8+N961*[1]Sheet1!$E$8,IF(AND(D961="S. californicus",G961&gt;0),E961*[1]Sheet1!$D$9+N961*[1]Sheet1!$E$9,IF(D961="S. maritimus",F961*[1]Sheet1!$C$10+E961*[1]Sheet1!$D$10+G961*[1]Sheet1!$F$10+[1]Sheet1!$L$10,IF(D961="S. americanus",F961*[1]Sheet1!$C$6+E961*[1]Sheet1!$D$6+[1]Sheet1!$L$6,IF(AND(OR(D961="T. domingensis",D961="T. latifolia"),E961&gt;0),F961*[1]Sheet1!$C$4+E961*[1]Sheet1!$D$4+H961*[1]Sheet1!$J$4+I961*[1]Sheet1!$K$4+[1]Sheet1!$L$4,IF(AND(OR(D961="T. domingensis",D961="T. latifolia"),J961&gt;0),J961*[1]Sheet1!$G$5+K961*[1]Sheet1!$H$5+L961*[1]Sheet1!$I$5+[1]Sheet1!$L$5,0)))))))</f>
        <v>12.515023000000003</v>
      </c>
      <c r="P961">
        <f t="shared" si="43"/>
        <v>12.515023000000003</v>
      </c>
      <c r="S961">
        <f t="shared" si="44"/>
        <v>3.2365445577499989</v>
      </c>
    </row>
    <row r="962" spans="1:19">
      <c r="A962" s="7">
        <v>42503</v>
      </c>
      <c r="B962" s="6" t="s">
        <v>57</v>
      </c>
      <c r="C962" s="6">
        <v>6</v>
      </c>
      <c r="D962" s="6" t="s">
        <v>62</v>
      </c>
      <c r="E962">
        <v>331</v>
      </c>
      <c r="F962" s="6">
        <v>1.51</v>
      </c>
      <c r="G962" s="6">
        <v>13</v>
      </c>
      <c r="N962">
        <f t="shared" si="42"/>
        <v>197.58326065241667</v>
      </c>
      <c r="O962">
        <f>IF(AND(OR(D962="S. acutus",D962="S. californicus",D962="S. tabernaemontani"),G962=0),E962*[1]Sheet1!$D$7+[1]Sheet1!$L$7,IF(AND(OR(D962="S. acutus",D962="S. tabernaemontani"),G962&gt;0),E962*[1]Sheet1!$D$8+N962*[1]Sheet1!$E$8,IF(AND(D962="S. californicus",G962&gt;0),E962*[1]Sheet1!$D$9+N962*[1]Sheet1!$E$9,IF(D962="S. maritimus",F962*[1]Sheet1!$C$10+E962*[1]Sheet1!$D$10+G962*[1]Sheet1!$F$10+[1]Sheet1!$L$10,IF(D962="S. americanus",F962*[1]Sheet1!$C$6+E962*[1]Sheet1!$D$6+[1]Sheet1!$L$6,IF(AND(OR(D962="T. domingensis",D962="T. latifolia"),E962&gt;0),F962*[1]Sheet1!$C$4+E962*[1]Sheet1!$D$4+H962*[1]Sheet1!$J$4+I962*[1]Sheet1!$K$4+[1]Sheet1!$L$4,IF(AND(OR(D962="T. domingensis",D962="T. latifolia"),J962&gt;0),J962*[1]Sheet1!$G$5+K962*[1]Sheet1!$H$5+L962*[1]Sheet1!$I$5+[1]Sheet1!$L$5,0)))))))</f>
        <v>19.50279857486748</v>
      </c>
      <c r="P962">
        <f t="shared" si="43"/>
        <v>19.50279857486748</v>
      </c>
      <c r="S962">
        <f t="shared" si="44"/>
        <v>1.7907848397499999</v>
      </c>
    </row>
    <row r="963" spans="1:19">
      <c r="A963" s="7">
        <v>42503</v>
      </c>
      <c r="B963" s="6" t="s">
        <v>57</v>
      </c>
      <c r="C963" s="6">
        <v>6</v>
      </c>
      <c r="D963" s="6" t="s">
        <v>62</v>
      </c>
      <c r="E963">
        <v>300</v>
      </c>
      <c r="F963" s="6">
        <v>1.81</v>
      </c>
      <c r="G963" s="6">
        <v>10</v>
      </c>
      <c r="N963">
        <f t="shared" si="42"/>
        <v>257.30407497499999</v>
      </c>
      <c r="O963">
        <f>IF(AND(OR(D963="S. acutus",D963="S. californicus",D963="S. tabernaemontani"),G963=0),E963*[1]Sheet1!$D$7+[1]Sheet1!$L$7,IF(AND(OR(D963="S. acutus",D963="S. tabernaemontani"),G963&gt;0),E963*[1]Sheet1!$D$8+N963*[1]Sheet1!$E$8,IF(AND(D963="S. californicus",G963&gt;0),E963*[1]Sheet1!$D$9+N963*[1]Sheet1!$E$9,IF(D963="S. maritimus",F963*[1]Sheet1!$C$10+E963*[1]Sheet1!$D$10+G963*[1]Sheet1!$F$10+[1]Sheet1!$L$10,IF(D963="S. americanus",F963*[1]Sheet1!$C$6+E963*[1]Sheet1!$D$6+[1]Sheet1!$L$6,IF(AND(OR(D963="T. domingensis",D963="T. latifolia"),E963&gt;0),F963*[1]Sheet1!$C$4+E963*[1]Sheet1!$D$4+H963*[1]Sheet1!$J$4+I963*[1]Sheet1!$K$4+[1]Sheet1!$L$4,IF(AND(OR(D963="T. domingensis",D963="T. latifolia"),J963&gt;0),J963*[1]Sheet1!$G$5+K963*[1]Sheet1!$H$5+L963*[1]Sheet1!$I$5+[1]Sheet1!$L$5,0)))))))</f>
        <v>22.187835220108152</v>
      </c>
      <c r="P963">
        <f t="shared" si="43"/>
        <v>22.187835220108152</v>
      </c>
      <c r="S963">
        <f t="shared" si="44"/>
        <v>2.5730407497500001</v>
      </c>
    </row>
    <row r="964" spans="1:19">
      <c r="A964" s="7">
        <v>42503</v>
      </c>
      <c r="B964" s="6" t="s">
        <v>57</v>
      </c>
      <c r="C964" s="6">
        <v>6</v>
      </c>
      <c r="D964" s="6" t="s">
        <v>62</v>
      </c>
      <c r="E964">
        <v>296</v>
      </c>
      <c r="F964" s="6">
        <v>1.1399999999999999</v>
      </c>
      <c r="G964" s="6">
        <v>11</v>
      </c>
      <c r="N964">
        <f t="shared" ref="N964:N995" si="45">IF(OR(D964="S. acutus", D964="S. tabernaemontani", D964="S. californicus"),(1/3)*(3.14159)*((F964/2)^2)*E964,"NA")</f>
        <v>100.70932231199997</v>
      </c>
      <c r="O964">
        <f>IF(AND(OR(D964="S. acutus",D964="S. californicus",D964="S. tabernaemontani"),G964=0),E964*[1]Sheet1!$D$7+[1]Sheet1!$L$7,IF(AND(OR(D964="S. acutus",D964="S. tabernaemontani"),G964&gt;0),E964*[1]Sheet1!$D$8+N964*[1]Sheet1!$E$8,IF(AND(D964="S. californicus",G964&gt;0),E964*[1]Sheet1!$D$9+N964*[1]Sheet1!$E$9,IF(D964="S. maritimus",F964*[1]Sheet1!$C$10+E964*[1]Sheet1!$D$10+G964*[1]Sheet1!$F$10+[1]Sheet1!$L$10,IF(D964="S. americanus",F964*[1]Sheet1!$C$6+E964*[1]Sheet1!$D$6+[1]Sheet1!$L$6,IF(AND(OR(D964="T. domingensis",D964="T. latifolia"),E964&gt;0),F964*[1]Sheet1!$C$4+E964*[1]Sheet1!$D$4+H964*[1]Sheet1!$J$4+I964*[1]Sheet1!$K$4+[1]Sheet1!$L$4,IF(AND(OR(D964="T. domingensis",D964="T. latifolia"),J964&gt;0),J964*[1]Sheet1!$G$5+K964*[1]Sheet1!$H$5+L964*[1]Sheet1!$I$5+[1]Sheet1!$L$5,0)))))))</f>
        <v>13.058415055022287</v>
      </c>
      <c r="P964">
        <f t="shared" ref="P964:P995" si="46">IF(O964&lt;0," ",O964)</f>
        <v>13.058415055022287</v>
      </c>
      <c r="S964">
        <f t="shared" ref="S964:S995" si="47">3.14159*((F964/2)^2)</f>
        <v>1.0207025909999998</v>
      </c>
    </row>
    <row r="965" spans="1:19">
      <c r="A965" s="7">
        <v>42503</v>
      </c>
      <c r="B965" s="6" t="s">
        <v>57</v>
      </c>
      <c r="C965" s="6">
        <v>6</v>
      </c>
      <c r="D965" s="6" t="s">
        <v>62</v>
      </c>
      <c r="E965">
        <v>307</v>
      </c>
      <c r="F965" s="6">
        <v>1.5</v>
      </c>
      <c r="G965" s="6">
        <v>11</v>
      </c>
      <c r="N965">
        <f t="shared" si="45"/>
        <v>180.83777437499998</v>
      </c>
      <c r="O965">
        <f>IF(AND(OR(D965="S. acutus",D965="S. californicus",D965="S. tabernaemontani"),G965=0),E965*[1]Sheet1!$D$7+[1]Sheet1!$L$7,IF(AND(OR(D965="S. acutus",D965="S. tabernaemontani"),G965&gt;0),E965*[1]Sheet1!$D$8+N965*[1]Sheet1!$E$8,IF(AND(D965="S. californicus",G965&gt;0),E965*[1]Sheet1!$D$9+N965*[1]Sheet1!$E$9,IF(D965="S. maritimus",F965*[1]Sheet1!$C$10+E965*[1]Sheet1!$D$10+G965*[1]Sheet1!$F$10+[1]Sheet1!$L$10,IF(D965="S. americanus",F965*[1]Sheet1!$C$6+E965*[1]Sheet1!$D$6+[1]Sheet1!$L$6,IF(AND(OR(D965="T. domingensis",D965="T. latifolia"),E965&gt;0),F965*[1]Sheet1!$C$4+E965*[1]Sheet1!$D$4+H965*[1]Sheet1!$J$4+I965*[1]Sheet1!$K$4+[1]Sheet1!$L$4,IF(AND(OR(D965="T. domingensis",D965="T. latifolia"),J965&gt;0),J965*[1]Sheet1!$G$5+K965*[1]Sheet1!$H$5+L965*[1]Sheet1!$I$5+[1]Sheet1!$L$5,0)))))))</f>
        <v>17.949172999303748</v>
      </c>
      <c r="P965">
        <f t="shared" si="46"/>
        <v>17.949172999303748</v>
      </c>
      <c r="S965">
        <f t="shared" si="47"/>
        <v>1.767144375</v>
      </c>
    </row>
    <row r="966" spans="1:19">
      <c r="A966" s="7">
        <v>42503</v>
      </c>
      <c r="B966" s="6" t="s">
        <v>57</v>
      </c>
      <c r="C966" s="6">
        <v>6</v>
      </c>
      <c r="D966" s="6" t="s">
        <v>62</v>
      </c>
      <c r="E966">
        <v>205</v>
      </c>
      <c r="F966" s="6">
        <v>1.68</v>
      </c>
      <c r="N966">
        <f t="shared" si="45"/>
        <v>151.47490343999996</v>
      </c>
      <c r="O966">
        <f>IF(AND(OR(D966="S. acutus",D966="S. californicus",D966="S. tabernaemontani"),G966=0),E966*[1]Sheet1!$D$7+[1]Sheet1!$L$7,IF(AND(OR(D966="S. acutus",D966="S. tabernaemontani"),G966&gt;0),E966*[1]Sheet1!$D$8+N966*[1]Sheet1!$E$8,IF(AND(D966="S. californicus",G966&gt;0),E966*[1]Sheet1!$D$9+N966*[1]Sheet1!$E$9,IF(D966="S. maritimus",F966*[1]Sheet1!$C$10+E966*[1]Sheet1!$D$10+G966*[1]Sheet1!$F$10+[1]Sheet1!$L$10,IF(D966="S. americanus",F966*[1]Sheet1!$C$6+E966*[1]Sheet1!$D$6+[1]Sheet1!$L$6,IF(AND(OR(D966="T. domingensis",D966="T. latifolia"),E966&gt;0),F966*[1]Sheet1!$C$4+E966*[1]Sheet1!$D$4+H966*[1]Sheet1!$J$4+I966*[1]Sheet1!$K$4+[1]Sheet1!$L$4,IF(AND(OR(D966="T. domingensis",D966="T. latifolia"),J966&gt;0),J966*[1]Sheet1!$G$5+K966*[1]Sheet1!$H$5+L966*[1]Sheet1!$I$5+[1]Sheet1!$L$5,0)))))))</f>
        <v>9.7809279999999994</v>
      </c>
      <c r="P966">
        <f t="shared" si="46"/>
        <v>9.7809279999999994</v>
      </c>
      <c r="S966">
        <f t="shared" si="47"/>
        <v>2.2167059039999994</v>
      </c>
    </row>
    <row r="967" spans="1:19">
      <c r="A967" s="7">
        <v>42503</v>
      </c>
      <c r="B967" s="6" t="s">
        <v>57</v>
      </c>
      <c r="C967" s="6">
        <v>6</v>
      </c>
      <c r="D967" s="6" t="s">
        <v>62</v>
      </c>
      <c r="E967">
        <v>241</v>
      </c>
      <c r="F967" s="6">
        <v>0.85</v>
      </c>
      <c r="G967" s="6">
        <v>5</v>
      </c>
      <c r="N967">
        <f t="shared" si="45"/>
        <v>45.585125397916656</v>
      </c>
      <c r="O967">
        <f>IF(AND(OR(D967="S. acutus",D967="S. californicus",D967="S. tabernaemontani"),G967=0),E967*[1]Sheet1!$D$7+[1]Sheet1!$L$7,IF(AND(OR(D967="S. acutus",D967="S. tabernaemontani"),G967&gt;0),E967*[1]Sheet1!$D$8+N967*[1]Sheet1!$E$8,IF(AND(D967="S. californicus",G967&gt;0),E967*[1]Sheet1!$D$9+N967*[1]Sheet1!$E$9,IF(D967="S. maritimus",F967*[1]Sheet1!$C$10+E967*[1]Sheet1!$D$10+G967*[1]Sheet1!$F$10+[1]Sheet1!$L$10,IF(D967="S. americanus",F967*[1]Sheet1!$C$6+E967*[1]Sheet1!$D$6+[1]Sheet1!$L$6,IF(AND(OR(D967="T. domingensis",D967="T. latifolia"),E967&gt;0),F967*[1]Sheet1!$C$4+E967*[1]Sheet1!$D$4+H967*[1]Sheet1!$J$4+I967*[1]Sheet1!$K$4+[1]Sheet1!$L$4,IF(AND(OR(D967="T. domingensis",D967="T. latifolia"),J967&gt;0),J967*[1]Sheet1!$G$5+K967*[1]Sheet1!$H$5+L967*[1]Sheet1!$I$5+[1]Sheet1!$L$5,0)))))))</f>
        <v>8.5320341221994465</v>
      </c>
      <c r="P967">
        <f t="shared" si="46"/>
        <v>8.5320341221994465</v>
      </c>
      <c r="S967">
        <f t="shared" si="47"/>
        <v>0.56744969374999987</v>
      </c>
    </row>
    <row r="968" spans="1:19">
      <c r="A968" s="7">
        <v>42503</v>
      </c>
      <c r="B968" s="6" t="s">
        <v>57</v>
      </c>
      <c r="C968" s="6">
        <v>6</v>
      </c>
      <c r="D968" s="6" t="s">
        <v>62</v>
      </c>
      <c r="E968">
        <v>263</v>
      </c>
      <c r="F968" s="6">
        <v>1.87</v>
      </c>
      <c r="N968">
        <f t="shared" si="45"/>
        <v>240.77268805608333</v>
      </c>
      <c r="O968">
        <f>IF(AND(OR(D968="S. acutus",D968="S. californicus",D968="S. tabernaemontani"),G968=0),E968*[1]Sheet1!$D$7+[1]Sheet1!$L$7,IF(AND(OR(D968="S. acutus",D968="S. tabernaemontani"),G968&gt;0),E968*[1]Sheet1!$D$8+N968*[1]Sheet1!$E$8,IF(AND(D968="S. californicus",G968&gt;0),E968*[1]Sheet1!$D$9+N968*[1]Sheet1!$E$9,IF(D968="S. maritimus",F968*[1]Sheet1!$C$10+E968*[1]Sheet1!$D$10+G968*[1]Sheet1!$F$10+[1]Sheet1!$L$10,IF(D968="S. americanus",F968*[1]Sheet1!$C$6+E968*[1]Sheet1!$D$6+[1]Sheet1!$L$6,IF(AND(OR(D968="T. domingensis",D968="T. latifolia"),E968&gt;0),F968*[1]Sheet1!$C$4+E968*[1]Sheet1!$D$4+H968*[1]Sheet1!$J$4+I968*[1]Sheet1!$K$4+[1]Sheet1!$L$4,IF(AND(OR(D968="T. domingensis",D968="T. latifolia"),J968&gt;0),J968*[1]Sheet1!$G$5+K968*[1]Sheet1!$H$5+L968*[1]Sheet1!$I$5+[1]Sheet1!$L$5,0)))))))</f>
        <v>13.847018000000002</v>
      </c>
      <c r="P968">
        <f t="shared" si="46"/>
        <v>13.847018000000002</v>
      </c>
      <c r="S968">
        <f t="shared" si="47"/>
        <v>2.7464565177500004</v>
      </c>
    </row>
    <row r="969" spans="1:19">
      <c r="A969" s="7">
        <v>42503</v>
      </c>
      <c r="B969" s="6" t="s">
        <v>57</v>
      </c>
      <c r="C969" s="6">
        <v>6</v>
      </c>
      <c r="D969" s="6" t="s">
        <v>62</v>
      </c>
      <c r="E969">
        <v>337</v>
      </c>
      <c r="F969" s="6">
        <v>1.48</v>
      </c>
      <c r="G969" s="6">
        <v>12</v>
      </c>
      <c r="N969">
        <f t="shared" si="45"/>
        <v>193.25092950266665</v>
      </c>
      <c r="O969">
        <f>IF(AND(OR(D969="S. acutus",D969="S. californicus",D969="S. tabernaemontani"),G969=0),E969*[1]Sheet1!$D$7+[1]Sheet1!$L$7,IF(AND(OR(D969="S. acutus",D969="S. tabernaemontani"),G969&gt;0),E969*[1]Sheet1!$D$8+N969*[1]Sheet1!$E$8,IF(AND(D969="S. californicus",G969&gt;0),E969*[1]Sheet1!$D$9+N969*[1]Sheet1!$E$9,IF(D969="S. maritimus",F969*[1]Sheet1!$C$10+E969*[1]Sheet1!$D$10+G969*[1]Sheet1!$F$10+[1]Sheet1!$L$10,IF(D969="S. americanus",F969*[1]Sheet1!$C$6+E969*[1]Sheet1!$D$6+[1]Sheet1!$L$6,IF(AND(OR(D969="T. domingensis",D969="T. latifolia"),E969&gt;0),F969*[1]Sheet1!$C$4+E969*[1]Sheet1!$D$4+H969*[1]Sheet1!$J$4+I969*[1]Sheet1!$K$4+[1]Sheet1!$L$4,IF(AND(OR(D969="T. domingensis",D969="T. latifolia"),J969&gt;0),J969*[1]Sheet1!$G$5+K969*[1]Sheet1!$H$5+L969*[1]Sheet1!$I$5+[1]Sheet1!$L$5,0)))))))</f>
        <v>19.399897308136797</v>
      </c>
      <c r="P969">
        <f t="shared" si="46"/>
        <v>19.399897308136797</v>
      </c>
      <c r="S969">
        <f t="shared" si="47"/>
        <v>1.7203346839999998</v>
      </c>
    </row>
    <row r="970" spans="1:19">
      <c r="A970" s="7">
        <v>42503</v>
      </c>
      <c r="B970" s="6" t="s">
        <v>57</v>
      </c>
      <c r="C970" s="6">
        <v>6</v>
      </c>
      <c r="D970" s="6" t="s">
        <v>62</v>
      </c>
      <c r="E970">
        <v>337</v>
      </c>
      <c r="F970" s="6">
        <v>1.66</v>
      </c>
      <c r="G970" s="6">
        <v>3</v>
      </c>
      <c r="N970">
        <f t="shared" si="45"/>
        <v>243.11644509566662</v>
      </c>
      <c r="O970">
        <f>IF(AND(OR(D970="S. acutus",D970="S. californicus",D970="S. tabernaemontani"),G970=0),E970*[1]Sheet1!$D$7+[1]Sheet1!$L$7,IF(AND(OR(D970="S. acutus",D970="S. tabernaemontani"),G970&gt;0),E970*[1]Sheet1!$D$8+N970*[1]Sheet1!$E$8,IF(AND(D970="S. californicus",G970&gt;0),E970*[1]Sheet1!$D$9+N970*[1]Sheet1!$E$9,IF(D970="S. maritimus",F970*[1]Sheet1!$C$10+E970*[1]Sheet1!$D$10+G970*[1]Sheet1!$F$10+[1]Sheet1!$L$10,IF(D970="S. americanus",F970*[1]Sheet1!$C$6+E970*[1]Sheet1!$D$6+[1]Sheet1!$L$6,IF(AND(OR(D970="T. domingensis",D970="T. latifolia"),E970&gt;0),F970*[1]Sheet1!$C$4+E970*[1]Sheet1!$D$4+H970*[1]Sheet1!$J$4+I970*[1]Sheet1!$K$4+[1]Sheet1!$L$4,IF(AND(OR(D970="T. domingensis",D970="T. latifolia"),J970&gt;0),J970*[1]Sheet1!$G$5+K970*[1]Sheet1!$H$5+L970*[1]Sheet1!$I$5+[1]Sheet1!$L$5,0)))))))</f>
        <v>22.275841054447479</v>
      </c>
      <c r="P970">
        <f t="shared" si="46"/>
        <v>22.275841054447479</v>
      </c>
      <c r="S970">
        <f t="shared" si="47"/>
        <v>2.1642413509999998</v>
      </c>
    </row>
    <row r="971" spans="1:19">
      <c r="A971" s="7">
        <v>42503</v>
      </c>
      <c r="B971" s="6" t="s">
        <v>25</v>
      </c>
      <c r="C971" s="6">
        <v>46</v>
      </c>
      <c r="D971" s="6" t="s">
        <v>61</v>
      </c>
      <c r="F971" s="6">
        <v>2.08</v>
      </c>
      <c r="J971">
        <f>247+305+327</f>
        <v>879</v>
      </c>
      <c r="K971">
        <v>3</v>
      </c>
      <c r="L971">
        <v>327</v>
      </c>
      <c r="N971" t="str">
        <f t="shared" si="45"/>
        <v>NA</v>
      </c>
      <c r="O971">
        <f>IF(AND(OR(D971="S. acutus",D971="S. californicus",D971="S. tabernaemontani"),G971=0),E971*[1]Sheet1!$D$7+[1]Sheet1!$L$7,IF(AND(OR(D971="S. acutus",D971="S. tabernaemontani"),G971&gt;0),E971*[1]Sheet1!$D$8+N971*[1]Sheet1!$E$8,IF(AND(D971="S. californicus",G971&gt;0),E971*[1]Sheet1!$D$9+N971*[1]Sheet1!$E$9,IF(D971="S. maritimus",F971*[1]Sheet1!$C$10+E971*[1]Sheet1!$D$10+G971*[1]Sheet1!$F$10+[1]Sheet1!$L$10,IF(D971="S. americanus",F971*[1]Sheet1!$C$6+E971*[1]Sheet1!$D$6+[1]Sheet1!$L$6,IF(AND(OR(D971="T. domingensis",D971="T. latifolia"),E971&gt;0),F971*[1]Sheet1!$C$4+E971*[1]Sheet1!$D$4+H971*[1]Sheet1!$J$4+I971*[1]Sheet1!$K$4+[1]Sheet1!$L$4,IF(AND(OR(D971="T. domingensis",D971="T. latifolia"),J971&gt;0),J971*[1]Sheet1!$G$5+K971*[1]Sheet1!$H$5+L971*[1]Sheet1!$I$5+[1]Sheet1!$L$5,0)))))))</f>
        <v>-4.1265450000000001</v>
      </c>
      <c r="P971" t="str">
        <f t="shared" si="46"/>
        <v xml:space="preserve"> </v>
      </c>
      <c r="S971">
        <f t="shared" si="47"/>
        <v>3.3979437440000004</v>
      </c>
    </row>
    <row r="972" spans="1:19">
      <c r="A972" s="7">
        <v>42503</v>
      </c>
      <c r="B972" s="6" t="s">
        <v>25</v>
      </c>
      <c r="C972" s="6">
        <v>46</v>
      </c>
      <c r="D972" s="6" t="s">
        <v>61</v>
      </c>
      <c r="F972" s="6">
        <v>1.64</v>
      </c>
      <c r="J972">
        <f>58+74+74+73</f>
        <v>279</v>
      </c>
      <c r="K972">
        <v>4</v>
      </c>
      <c r="L972">
        <v>74</v>
      </c>
      <c r="N972" t="str">
        <f t="shared" si="45"/>
        <v>NA</v>
      </c>
      <c r="O972">
        <f>IF(AND(OR(D972="S. acutus",D972="S. californicus",D972="S. tabernaemontani"),G972=0),E972*[1]Sheet1!$D$7+[1]Sheet1!$L$7,IF(AND(OR(D972="S. acutus",D972="S. tabernaemontani"),G972&gt;0),E972*[1]Sheet1!$D$8+N972*[1]Sheet1!$E$8,IF(AND(D972="S. californicus",G972&gt;0),E972*[1]Sheet1!$D$9+N972*[1]Sheet1!$E$9,IF(D972="S. maritimus",F972*[1]Sheet1!$C$10+E972*[1]Sheet1!$D$10+G972*[1]Sheet1!$F$10+[1]Sheet1!$L$10,IF(D972="S. americanus",F972*[1]Sheet1!$C$6+E972*[1]Sheet1!$D$6+[1]Sheet1!$L$6,IF(AND(OR(D972="T. domingensis",D972="T. latifolia"),E972&gt;0),F972*[1]Sheet1!$C$4+E972*[1]Sheet1!$D$4+H972*[1]Sheet1!$J$4+I972*[1]Sheet1!$K$4+[1]Sheet1!$L$4,IF(AND(OR(D972="T. domingensis",D972="T. latifolia"),J972&gt;0),J972*[1]Sheet1!$G$5+K972*[1]Sheet1!$H$5+L972*[1]Sheet1!$I$5+[1]Sheet1!$L$5,0)))))))</f>
        <v>8.8130869999999994</v>
      </c>
      <c r="P972">
        <f t="shared" si="46"/>
        <v>8.8130869999999994</v>
      </c>
      <c r="S972">
        <f t="shared" si="47"/>
        <v>2.1124051159999997</v>
      </c>
    </row>
    <row r="973" spans="1:19">
      <c r="A973" s="7">
        <v>42503</v>
      </c>
      <c r="B973" s="6" t="s">
        <v>25</v>
      </c>
      <c r="C973" s="6">
        <v>46</v>
      </c>
      <c r="D973" s="6" t="s">
        <v>61</v>
      </c>
      <c r="F973" s="6">
        <v>1.85</v>
      </c>
      <c r="J973">
        <f>97+106</f>
        <v>203</v>
      </c>
      <c r="K973">
        <v>2</v>
      </c>
      <c r="L973">
        <v>106</v>
      </c>
      <c r="N973" t="str">
        <f t="shared" si="45"/>
        <v>NA</v>
      </c>
      <c r="O973">
        <f>IF(AND(OR(D973="S. acutus",D973="S. californicus",D973="S. tabernaemontani"),G973=0),E973*[1]Sheet1!$D$7+[1]Sheet1!$L$7,IF(AND(OR(D973="S. acutus",D973="S. tabernaemontani"),G973&gt;0),E973*[1]Sheet1!$D$8+N973*[1]Sheet1!$E$8,IF(AND(D973="S. californicus",G973&gt;0),E973*[1]Sheet1!$D$9+N973*[1]Sheet1!$E$9,IF(D973="S. maritimus",F973*[1]Sheet1!$C$10+E973*[1]Sheet1!$D$10+G973*[1]Sheet1!$F$10+[1]Sheet1!$L$10,IF(D973="S. americanus",F973*[1]Sheet1!$C$6+E973*[1]Sheet1!$D$6+[1]Sheet1!$L$6,IF(AND(OR(D973="T. domingensis",D973="T. latifolia"),E973&gt;0),F973*[1]Sheet1!$C$4+E973*[1]Sheet1!$D$4+H973*[1]Sheet1!$J$4+I973*[1]Sheet1!$K$4+[1]Sheet1!$L$4,IF(AND(OR(D973="T. domingensis",D973="T. latifolia"),J973&gt;0),J973*[1]Sheet1!$G$5+K973*[1]Sheet1!$H$5+L973*[1]Sheet1!$I$5+[1]Sheet1!$L$5,0)))))))</f>
        <v>6.0925730000000016</v>
      </c>
      <c r="P973">
        <f t="shared" si="46"/>
        <v>6.0925730000000016</v>
      </c>
      <c r="S973">
        <f t="shared" si="47"/>
        <v>2.6880229437500001</v>
      </c>
    </row>
    <row r="974" spans="1:19">
      <c r="A974" s="7">
        <v>42503</v>
      </c>
      <c r="B974" s="6" t="s">
        <v>25</v>
      </c>
      <c r="C974" s="6">
        <v>46</v>
      </c>
      <c r="D974" s="6" t="s">
        <v>61</v>
      </c>
      <c r="F974" s="6">
        <v>1.33</v>
      </c>
      <c r="J974">
        <f>77+105+120+152</f>
        <v>454</v>
      </c>
      <c r="K974">
        <v>4</v>
      </c>
      <c r="L974">
        <v>152</v>
      </c>
      <c r="N974" t="str">
        <f t="shared" si="45"/>
        <v>NA</v>
      </c>
      <c r="O974">
        <f>IF(AND(OR(D974="S. acutus",D974="S. californicus",D974="S. tabernaemontani"),G974=0),E974*[1]Sheet1!$D$7+[1]Sheet1!$L$7,IF(AND(OR(D974="S. acutus",D974="S. tabernaemontani"),G974&gt;0),E974*[1]Sheet1!$D$8+N974*[1]Sheet1!$E$8,IF(AND(D974="S. californicus",G974&gt;0),E974*[1]Sheet1!$D$9+N974*[1]Sheet1!$E$9,IF(D974="S. maritimus",F974*[1]Sheet1!$C$10+E974*[1]Sheet1!$D$10+G974*[1]Sheet1!$F$10+[1]Sheet1!$L$10,IF(D974="S. americanus",F974*[1]Sheet1!$C$6+E974*[1]Sheet1!$D$6+[1]Sheet1!$L$6,IF(AND(OR(D974="T. domingensis",D974="T. latifolia"),E974&gt;0),F974*[1]Sheet1!$C$4+E974*[1]Sheet1!$D$4+H974*[1]Sheet1!$J$4+I974*[1]Sheet1!$K$4+[1]Sheet1!$L$4,IF(AND(OR(D974="T. domingensis",D974="T. latifolia"),J974&gt;0),J974*[1]Sheet1!$G$5+K974*[1]Sheet1!$H$5+L974*[1]Sheet1!$I$5+[1]Sheet1!$L$5,0)))))))</f>
        <v>1.7231020000000008</v>
      </c>
      <c r="P974">
        <f t="shared" si="46"/>
        <v>1.7231020000000008</v>
      </c>
      <c r="S974">
        <f t="shared" si="47"/>
        <v>1.3892896377500001</v>
      </c>
    </row>
    <row r="975" spans="1:19">
      <c r="A975" s="7">
        <v>42503</v>
      </c>
      <c r="B975" s="6" t="s">
        <v>25</v>
      </c>
      <c r="C975" s="6">
        <v>46</v>
      </c>
      <c r="D975" s="6" t="s">
        <v>61</v>
      </c>
      <c r="F975" s="6">
        <v>2.3199999999999998</v>
      </c>
      <c r="J975">
        <f>69+89+122+125+181+183+184</f>
        <v>953</v>
      </c>
      <c r="K975">
        <v>7</v>
      </c>
      <c r="L975">
        <v>184</v>
      </c>
      <c r="N975" t="str">
        <f t="shared" si="45"/>
        <v>NA</v>
      </c>
      <c r="O975">
        <f>IF(AND(OR(D975="S. acutus",D975="S. californicus",D975="S. tabernaemontani"),G975=0),E975*[1]Sheet1!$D$7+[1]Sheet1!$L$7,IF(AND(OR(D975="S. acutus",D975="S. tabernaemontani"),G975&gt;0),E975*[1]Sheet1!$D$8+N975*[1]Sheet1!$E$8,IF(AND(D975="S. californicus",G975&gt;0),E975*[1]Sheet1!$D$9+N975*[1]Sheet1!$E$9,IF(D975="S. maritimus",F975*[1]Sheet1!$C$10+E975*[1]Sheet1!$D$10+G975*[1]Sheet1!$F$10+[1]Sheet1!$L$10,IF(D975="S. americanus",F975*[1]Sheet1!$C$6+E975*[1]Sheet1!$D$6+[1]Sheet1!$L$6,IF(AND(OR(D975="T. domingensis",D975="T. latifolia"),E975&gt;0),F975*[1]Sheet1!$C$4+E975*[1]Sheet1!$D$4+H975*[1]Sheet1!$J$4+I975*[1]Sheet1!$K$4+[1]Sheet1!$L$4,IF(AND(OR(D975="T. domingensis",D975="T. latifolia"),J975&gt;0),J975*[1]Sheet1!$G$5+K975*[1]Sheet1!$H$5+L975*[1]Sheet1!$I$5+[1]Sheet1!$L$5,0)))))))</f>
        <v>17.799948000000008</v>
      </c>
      <c r="P975">
        <f t="shared" si="46"/>
        <v>17.799948000000008</v>
      </c>
      <c r="S975">
        <f t="shared" si="47"/>
        <v>4.2273235039999992</v>
      </c>
    </row>
    <row r="976" spans="1:19">
      <c r="A976" s="7">
        <v>42503</v>
      </c>
      <c r="B976" s="6" t="s">
        <v>25</v>
      </c>
      <c r="C976" s="6">
        <v>42</v>
      </c>
      <c r="D976" s="6" t="s">
        <v>61</v>
      </c>
      <c r="F976" s="6">
        <v>6.3</v>
      </c>
      <c r="J976">
        <f>168+232+251+255+261+277+281</f>
        <v>1725</v>
      </c>
      <c r="K976">
        <v>7</v>
      </c>
      <c r="L976">
        <v>281</v>
      </c>
      <c r="N976" t="str">
        <f t="shared" si="45"/>
        <v>NA</v>
      </c>
      <c r="O976">
        <f>IF(AND(OR(D976="S. acutus",D976="S. californicus",D976="S. tabernaemontani"),G976=0),E976*[1]Sheet1!$D$7+[1]Sheet1!$L$7,IF(AND(OR(D976="S. acutus",D976="S. tabernaemontani"),G976&gt;0),E976*[1]Sheet1!$D$8+N976*[1]Sheet1!$E$8,IF(AND(D976="S. californicus",G976&gt;0),E976*[1]Sheet1!$D$9+N976*[1]Sheet1!$E$9,IF(D976="S. maritimus",F976*[1]Sheet1!$C$10+E976*[1]Sheet1!$D$10+G976*[1]Sheet1!$F$10+[1]Sheet1!$L$10,IF(D976="S. americanus",F976*[1]Sheet1!$C$6+E976*[1]Sheet1!$D$6+[1]Sheet1!$L$6,IF(AND(OR(D976="T. domingensis",D976="T. latifolia"),E976&gt;0),F976*[1]Sheet1!$C$4+E976*[1]Sheet1!$D$4+H976*[1]Sheet1!$J$4+I976*[1]Sheet1!$K$4+[1]Sheet1!$L$4,IF(AND(OR(D976="T. domingensis",D976="T. latifolia"),J976&gt;0),J976*[1]Sheet1!$G$5+K976*[1]Sheet1!$H$5+L976*[1]Sheet1!$I$5+[1]Sheet1!$L$5,0)))))))</f>
        <v>60.958042999999996</v>
      </c>
      <c r="P976">
        <f t="shared" si="46"/>
        <v>60.958042999999996</v>
      </c>
      <c r="S976">
        <f t="shared" si="47"/>
        <v>31.172426774999998</v>
      </c>
    </row>
    <row r="977" spans="1:19">
      <c r="A977" s="7">
        <v>42503</v>
      </c>
      <c r="B977" s="6" t="s">
        <v>25</v>
      </c>
      <c r="C977" s="6">
        <v>42</v>
      </c>
      <c r="D977" s="6" t="s">
        <v>61</v>
      </c>
      <c r="F977" s="6">
        <v>1.89</v>
      </c>
      <c r="J977">
        <f>71+70+61+145</f>
        <v>347</v>
      </c>
      <c r="K977">
        <v>4</v>
      </c>
      <c r="L977">
        <v>145</v>
      </c>
      <c r="N977" t="str">
        <f t="shared" si="45"/>
        <v>NA</v>
      </c>
      <c r="O977">
        <f>IF(AND(OR(D977="S. acutus",D977="S. californicus",D977="S. tabernaemontani"),G977=0),E977*[1]Sheet1!$D$7+[1]Sheet1!$L$7,IF(AND(OR(D977="S. acutus",D977="S. tabernaemontani"),G977&gt;0),E977*[1]Sheet1!$D$8+N977*[1]Sheet1!$E$8,IF(AND(D977="S. californicus",G977&gt;0),E977*[1]Sheet1!$D$9+N977*[1]Sheet1!$E$9,IF(D977="S. maritimus",F977*[1]Sheet1!$C$10+E977*[1]Sheet1!$D$10+G977*[1]Sheet1!$F$10+[1]Sheet1!$L$10,IF(D977="S. americanus",F977*[1]Sheet1!$C$6+E977*[1]Sheet1!$D$6+[1]Sheet1!$L$6,IF(AND(OR(D977="T. domingensis",D977="T. latifolia"),E977&gt;0),F977*[1]Sheet1!$C$4+E977*[1]Sheet1!$D$4+H977*[1]Sheet1!$J$4+I977*[1]Sheet1!$K$4+[1]Sheet1!$L$4,IF(AND(OR(D977="T. domingensis",D977="T. latifolia"),J977&gt;0),J977*[1]Sheet1!$G$5+K977*[1]Sheet1!$H$5+L977*[1]Sheet1!$I$5+[1]Sheet1!$L$5,0)))))))</f>
        <v>-6.1999679999999913</v>
      </c>
      <c r="P977" t="str">
        <f t="shared" si="46"/>
        <v xml:space="preserve"> </v>
      </c>
      <c r="S977">
        <f t="shared" si="47"/>
        <v>2.8055184097499999</v>
      </c>
    </row>
    <row r="978" spans="1:19">
      <c r="A978" s="7">
        <v>42503</v>
      </c>
      <c r="B978" s="6" t="s">
        <v>25</v>
      </c>
      <c r="C978" s="6">
        <v>42</v>
      </c>
      <c r="D978" s="6" t="s">
        <v>61</v>
      </c>
      <c r="F978" s="6">
        <v>1.33</v>
      </c>
      <c r="J978">
        <f>80+119+138+171</f>
        <v>508</v>
      </c>
      <c r="K978">
        <v>4</v>
      </c>
      <c r="L978">
        <v>171</v>
      </c>
      <c r="N978" t="str">
        <f t="shared" si="45"/>
        <v>NA</v>
      </c>
      <c r="O978">
        <f>IF(AND(OR(D978="S. acutus",D978="S. californicus",D978="S. tabernaemontani"),G978=0),E978*[1]Sheet1!$D$7+[1]Sheet1!$L$7,IF(AND(OR(D978="S. acutus",D978="S. tabernaemontani"),G978&gt;0),E978*[1]Sheet1!$D$8+N978*[1]Sheet1!$E$8,IF(AND(D978="S. californicus",G978&gt;0),E978*[1]Sheet1!$D$9+N978*[1]Sheet1!$E$9,IF(D978="S. maritimus",F978*[1]Sheet1!$C$10+E978*[1]Sheet1!$D$10+G978*[1]Sheet1!$F$10+[1]Sheet1!$L$10,IF(D978="S. americanus",F978*[1]Sheet1!$C$6+E978*[1]Sheet1!$D$6+[1]Sheet1!$L$6,IF(AND(OR(D978="T. domingensis",D978="T. latifolia"),E978&gt;0),F978*[1]Sheet1!$C$4+E978*[1]Sheet1!$D$4+H978*[1]Sheet1!$J$4+I978*[1]Sheet1!$K$4+[1]Sheet1!$L$4,IF(AND(OR(D978="T. domingensis",D978="T. latifolia"),J978&gt;0),J978*[1]Sheet1!$G$5+K978*[1]Sheet1!$H$5+L978*[1]Sheet1!$I$5+[1]Sheet1!$L$5,0)))))))</f>
        <v>1.0622170000000004</v>
      </c>
      <c r="P978">
        <f t="shared" si="46"/>
        <v>1.0622170000000004</v>
      </c>
      <c r="S978">
        <f t="shared" si="47"/>
        <v>1.3892896377500001</v>
      </c>
    </row>
    <row r="979" spans="1:19">
      <c r="A979" s="7">
        <v>42503</v>
      </c>
      <c r="B979" s="6" t="s">
        <v>25</v>
      </c>
      <c r="C979" s="6">
        <v>42</v>
      </c>
      <c r="D979" s="6" t="s">
        <v>61</v>
      </c>
      <c r="F979" s="6">
        <v>0.82</v>
      </c>
      <c r="J979">
        <f>24+54+150+92</f>
        <v>320</v>
      </c>
      <c r="K979">
        <v>4</v>
      </c>
      <c r="L979">
        <v>150</v>
      </c>
      <c r="N979" t="str">
        <f t="shared" si="45"/>
        <v>NA</v>
      </c>
      <c r="O979">
        <f>IF(AND(OR(D979="S. acutus",D979="S. californicus",D979="S. tabernaemontani"),G979=0),E979*[1]Sheet1!$D$7+[1]Sheet1!$L$7,IF(AND(OR(D979="S. acutus",D979="S. tabernaemontani"),G979&gt;0),E979*[1]Sheet1!$D$8+N979*[1]Sheet1!$E$8,IF(AND(D979="S. californicus",G979&gt;0),E979*[1]Sheet1!$D$9+N979*[1]Sheet1!$E$9,IF(D979="S. maritimus",F979*[1]Sheet1!$C$10+E979*[1]Sheet1!$D$10+G979*[1]Sheet1!$F$10+[1]Sheet1!$L$10,IF(D979="S. americanus",F979*[1]Sheet1!$C$6+E979*[1]Sheet1!$D$6+[1]Sheet1!$L$6,IF(AND(OR(D979="T. domingensis",D979="T. latifolia"),E979&gt;0),F979*[1]Sheet1!$C$4+E979*[1]Sheet1!$D$4+H979*[1]Sheet1!$J$4+I979*[1]Sheet1!$K$4+[1]Sheet1!$L$4,IF(AND(OR(D979="T. domingensis",D979="T. latifolia"),J979&gt;0),J979*[1]Sheet1!$G$5+K979*[1]Sheet1!$H$5+L979*[1]Sheet1!$I$5+[1]Sheet1!$L$5,0)))))))</f>
        <v>-10.237577999999992</v>
      </c>
      <c r="P979" t="str">
        <f t="shared" si="46"/>
        <v xml:space="preserve"> </v>
      </c>
      <c r="S979">
        <f t="shared" si="47"/>
        <v>0.52810127899999992</v>
      </c>
    </row>
    <row r="980" spans="1:19">
      <c r="A980" s="7">
        <v>42503</v>
      </c>
      <c r="B980" s="6" t="s">
        <v>25</v>
      </c>
      <c r="C980" s="6">
        <v>42</v>
      </c>
      <c r="D980" s="6" t="s">
        <v>61</v>
      </c>
      <c r="F980" s="6">
        <v>2.54</v>
      </c>
      <c r="J980">
        <f>97+130+144+188+187+207</f>
        <v>953</v>
      </c>
      <c r="K980">
        <v>6</v>
      </c>
      <c r="L980">
        <v>207</v>
      </c>
      <c r="N980" t="str">
        <f t="shared" si="45"/>
        <v>NA</v>
      </c>
      <c r="O980">
        <f>IF(AND(OR(D980="S. acutus",D980="S. californicus",D980="S. tabernaemontani"),G980=0),E980*[1]Sheet1!$D$7+[1]Sheet1!$L$7,IF(AND(OR(D980="S. acutus",D980="S. tabernaemontani"),G980&gt;0),E980*[1]Sheet1!$D$8+N980*[1]Sheet1!$E$8,IF(AND(D980="S. californicus",G980&gt;0),E980*[1]Sheet1!$D$9+N980*[1]Sheet1!$E$9,IF(D980="S. maritimus",F980*[1]Sheet1!$C$10+E980*[1]Sheet1!$D$10+G980*[1]Sheet1!$F$10+[1]Sheet1!$L$10,IF(D980="S. americanus",F980*[1]Sheet1!$C$6+E980*[1]Sheet1!$D$6+[1]Sheet1!$L$6,IF(AND(OR(D980="T. domingensis",D980="T. latifolia"),E980&gt;0),F980*[1]Sheet1!$C$4+E980*[1]Sheet1!$D$4+H980*[1]Sheet1!$J$4+I980*[1]Sheet1!$K$4+[1]Sheet1!$L$4,IF(AND(OR(D980="T. domingensis",D980="T. latifolia"),J980&gt;0),J980*[1]Sheet1!$G$5+K980*[1]Sheet1!$H$5+L980*[1]Sheet1!$I$5+[1]Sheet1!$L$5,0)))))))</f>
        <v>17.893666000000003</v>
      </c>
      <c r="P980">
        <f t="shared" si="46"/>
        <v>17.893666000000003</v>
      </c>
      <c r="S980">
        <f t="shared" si="47"/>
        <v>5.0670705109999998</v>
      </c>
    </row>
    <row r="981" spans="1:19">
      <c r="A981" s="7">
        <v>42503</v>
      </c>
      <c r="B981" s="6" t="s">
        <v>25</v>
      </c>
      <c r="C981" s="6">
        <v>42</v>
      </c>
      <c r="D981" s="6" t="s">
        <v>61</v>
      </c>
      <c r="F981" s="6">
        <v>0.73</v>
      </c>
      <c r="J981">
        <f>49+59+75+80</f>
        <v>263</v>
      </c>
      <c r="K981">
        <v>4</v>
      </c>
      <c r="L981">
        <v>80</v>
      </c>
      <c r="N981" t="str">
        <f t="shared" si="45"/>
        <v>NA</v>
      </c>
      <c r="O981">
        <f>IF(AND(OR(D981="S. acutus",D981="S. californicus",D981="S. tabernaemontani"),G981=0),E981*[1]Sheet1!$D$7+[1]Sheet1!$L$7,IF(AND(OR(D981="S. acutus",D981="S. tabernaemontani"),G981&gt;0),E981*[1]Sheet1!$D$8+N981*[1]Sheet1!$E$8,IF(AND(D981="S. californicus",G981&gt;0),E981*[1]Sheet1!$D$9+N981*[1]Sheet1!$E$9,IF(D981="S. maritimus",F981*[1]Sheet1!$C$10+E981*[1]Sheet1!$D$10+G981*[1]Sheet1!$F$10+[1]Sheet1!$L$10,IF(D981="S. americanus",F981*[1]Sheet1!$C$6+E981*[1]Sheet1!$D$6+[1]Sheet1!$L$6,IF(AND(OR(D981="T. domingensis",D981="T. latifolia"),E981&gt;0),F981*[1]Sheet1!$C$4+E981*[1]Sheet1!$D$4+H981*[1]Sheet1!$J$4+I981*[1]Sheet1!$K$4+[1]Sheet1!$L$4,IF(AND(OR(D981="T. domingensis",D981="T. latifolia"),J981&gt;0),J981*[1]Sheet1!$G$5+K981*[1]Sheet1!$H$5+L981*[1]Sheet1!$I$5+[1]Sheet1!$L$5,0)))))))</f>
        <v>5.5055370000000003</v>
      </c>
      <c r="P981">
        <f t="shared" si="46"/>
        <v>5.5055370000000003</v>
      </c>
      <c r="S981">
        <f t="shared" si="47"/>
        <v>0.41853832774999994</v>
      </c>
    </row>
    <row r="982" spans="1:19">
      <c r="A982" s="7">
        <v>42503</v>
      </c>
      <c r="B982" s="6" t="s">
        <v>25</v>
      </c>
      <c r="C982" s="6">
        <v>23</v>
      </c>
      <c r="D982" s="6" t="s">
        <v>61</v>
      </c>
      <c r="F982" s="6">
        <v>1.51</v>
      </c>
      <c r="J982">
        <f>72+106+110+83</f>
        <v>371</v>
      </c>
      <c r="K982">
        <v>4</v>
      </c>
      <c r="L982">
        <v>110</v>
      </c>
      <c r="N982" t="str">
        <f t="shared" si="45"/>
        <v>NA</v>
      </c>
      <c r="O982">
        <f>IF(AND(OR(D982="S. acutus",D982="S. californicus",D982="S. tabernaemontani"),G982=0),E982*[1]Sheet1!$D$7+[1]Sheet1!$L$7,IF(AND(OR(D982="S. acutus",D982="S. tabernaemontani"),G982&gt;0),E982*[1]Sheet1!$D$8+N982*[1]Sheet1!$E$8,IF(AND(D982="S. californicus",G982&gt;0),E982*[1]Sheet1!$D$9+N982*[1]Sheet1!$E$9,IF(D982="S. maritimus",F982*[1]Sheet1!$C$10+E982*[1]Sheet1!$D$10+G982*[1]Sheet1!$F$10+[1]Sheet1!$L$10,IF(D982="S. americanus",F982*[1]Sheet1!$C$6+E982*[1]Sheet1!$D$6+[1]Sheet1!$L$6,IF(AND(OR(D982="T. domingensis",D982="T. latifolia"),E982&gt;0),F982*[1]Sheet1!$C$4+E982*[1]Sheet1!$D$4+H982*[1]Sheet1!$J$4+I982*[1]Sheet1!$K$4+[1]Sheet1!$L$4,IF(AND(OR(D982="T. domingensis",D982="T. latifolia"),J982&gt;0),J982*[1]Sheet1!$G$5+K982*[1]Sheet1!$H$5+L982*[1]Sheet1!$I$5+[1]Sheet1!$L$5,0)))))))</f>
        <v>6.5937269999999977</v>
      </c>
      <c r="P982">
        <f t="shared" si="46"/>
        <v>6.5937269999999977</v>
      </c>
      <c r="S982">
        <f t="shared" si="47"/>
        <v>1.7907848397499999</v>
      </c>
    </row>
    <row r="983" spans="1:19">
      <c r="A983" s="7">
        <v>42503</v>
      </c>
      <c r="B983" s="6" t="s">
        <v>25</v>
      </c>
      <c r="C983" s="6">
        <v>23</v>
      </c>
      <c r="D983" s="6" t="s">
        <v>61</v>
      </c>
      <c r="F983" s="6">
        <v>1.91</v>
      </c>
      <c r="J983">
        <f>75+86+64</f>
        <v>225</v>
      </c>
      <c r="K983">
        <v>2</v>
      </c>
      <c r="L983">
        <v>86</v>
      </c>
      <c r="N983" t="str">
        <f t="shared" si="45"/>
        <v>NA</v>
      </c>
      <c r="O983">
        <f>IF(AND(OR(D983="S. acutus",D983="S. californicus",D983="S. tabernaemontani"),G983=0),E983*[1]Sheet1!$D$7+[1]Sheet1!$L$7,IF(AND(OR(D983="S. acutus",D983="S. tabernaemontani"),G983&gt;0),E983*[1]Sheet1!$D$8+N983*[1]Sheet1!$E$8,IF(AND(D983="S. californicus",G983&gt;0),E983*[1]Sheet1!$D$9+N983*[1]Sheet1!$E$9,IF(D983="S. maritimus",F983*[1]Sheet1!$C$10+E983*[1]Sheet1!$D$10+G983*[1]Sheet1!$F$10+[1]Sheet1!$L$10,IF(D983="S. americanus",F983*[1]Sheet1!$C$6+E983*[1]Sheet1!$D$6+[1]Sheet1!$L$6,IF(AND(OR(D983="T. domingensis",D983="T. latifolia"),E983&gt;0),F983*[1]Sheet1!$C$4+E983*[1]Sheet1!$D$4+H983*[1]Sheet1!$J$4+I983*[1]Sheet1!$K$4+[1]Sheet1!$L$4,IF(AND(OR(D983="T. domingensis",D983="T. latifolia"),J983&gt;0),J983*[1]Sheet1!$G$5+K983*[1]Sheet1!$H$5+L983*[1]Sheet1!$I$5+[1]Sheet1!$L$5,0)))))))</f>
        <v>14.180083000000003</v>
      </c>
      <c r="P983">
        <f t="shared" si="46"/>
        <v>14.180083000000003</v>
      </c>
      <c r="S983">
        <f t="shared" si="47"/>
        <v>2.8652086197499997</v>
      </c>
    </row>
    <row r="984" spans="1:19">
      <c r="A984" s="7">
        <v>42503</v>
      </c>
      <c r="B984" s="6" t="s">
        <v>25</v>
      </c>
      <c r="C984" s="6">
        <v>23</v>
      </c>
      <c r="D984" s="6" t="s">
        <v>61</v>
      </c>
      <c r="F984" s="6">
        <v>0.65</v>
      </c>
      <c r="J984">
        <f>34+41</f>
        <v>75</v>
      </c>
      <c r="K984">
        <v>2</v>
      </c>
      <c r="L984">
        <v>41</v>
      </c>
      <c r="N984" t="str">
        <f t="shared" si="45"/>
        <v>NA</v>
      </c>
      <c r="O984">
        <f>IF(AND(OR(D984="S. acutus",D984="S. californicus",D984="S. tabernaemontani"),G984=0),E984*[1]Sheet1!$D$7+[1]Sheet1!$L$7,IF(AND(OR(D984="S. acutus",D984="S. tabernaemontani"),G984&gt;0),E984*[1]Sheet1!$D$8+N984*[1]Sheet1!$E$8,IF(AND(D984="S. californicus",G984&gt;0),E984*[1]Sheet1!$D$9+N984*[1]Sheet1!$E$9,IF(D984="S. maritimus",F984*[1]Sheet1!$C$10+E984*[1]Sheet1!$D$10+G984*[1]Sheet1!$F$10+[1]Sheet1!$L$10,IF(D984="S. americanus",F984*[1]Sheet1!$C$6+E984*[1]Sheet1!$D$6+[1]Sheet1!$L$6,IF(AND(OR(D984="T. domingensis",D984="T. latifolia"),E984&gt;0),F984*[1]Sheet1!$C$4+E984*[1]Sheet1!$D$4+H984*[1]Sheet1!$J$4+I984*[1]Sheet1!$K$4+[1]Sheet1!$L$4,IF(AND(OR(D984="T. domingensis",D984="T. latifolia"),J984&gt;0),J984*[1]Sheet1!$G$5+K984*[1]Sheet1!$H$5+L984*[1]Sheet1!$I$5+[1]Sheet1!$L$5,0)))))))</f>
        <v>13.672857999999998</v>
      </c>
      <c r="P984">
        <f t="shared" si="46"/>
        <v>13.672857999999998</v>
      </c>
      <c r="S984">
        <f t="shared" si="47"/>
        <v>0.33183044375000004</v>
      </c>
    </row>
    <row r="985" spans="1:19">
      <c r="A985" s="7">
        <v>42503</v>
      </c>
      <c r="B985" s="6" t="s">
        <v>25</v>
      </c>
      <c r="C985" s="6">
        <v>23</v>
      </c>
      <c r="D985" s="6" t="s">
        <v>61</v>
      </c>
      <c r="F985" s="6">
        <v>4.37</v>
      </c>
      <c r="J985">
        <f>81+120+141+166+188+183+206+215</f>
        <v>1300</v>
      </c>
      <c r="K985">
        <v>8</v>
      </c>
      <c r="L985">
        <v>215</v>
      </c>
      <c r="N985" t="str">
        <f t="shared" si="45"/>
        <v>NA</v>
      </c>
      <c r="O985">
        <f>IF(AND(OR(D985="S. acutus",D985="S. californicus",D985="S. tabernaemontani"),G985=0),E985*[1]Sheet1!$D$7+[1]Sheet1!$L$7,IF(AND(OR(D985="S. acutus",D985="S. tabernaemontani"),G985&gt;0),E985*[1]Sheet1!$D$8+N985*[1]Sheet1!$E$8,IF(AND(D985="S. californicus",G985&gt;0),E985*[1]Sheet1!$D$9+N985*[1]Sheet1!$E$9,IF(D985="S. maritimus",F985*[1]Sheet1!$C$10+E985*[1]Sheet1!$D$10+G985*[1]Sheet1!$F$10+[1]Sheet1!$L$10,IF(D985="S. americanus",F985*[1]Sheet1!$C$6+E985*[1]Sheet1!$D$6+[1]Sheet1!$L$6,IF(AND(OR(D985="T. domingensis",D985="T. latifolia"),E985&gt;0),F985*[1]Sheet1!$C$4+E985*[1]Sheet1!$D$4+H985*[1]Sheet1!$J$4+I985*[1]Sheet1!$K$4+[1]Sheet1!$L$4,IF(AND(OR(D985="T. domingensis",D985="T. latifolia"),J985&gt;0),J985*[1]Sheet1!$G$5+K985*[1]Sheet1!$H$5+L985*[1]Sheet1!$I$5+[1]Sheet1!$L$5,0)))))))</f>
        <v>33.971984999999997</v>
      </c>
      <c r="P985">
        <f t="shared" si="46"/>
        <v>33.971984999999997</v>
      </c>
      <c r="S985">
        <f t="shared" si="47"/>
        <v>14.998657517750001</v>
      </c>
    </row>
    <row r="986" spans="1:19">
      <c r="A986" s="7">
        <v>42503</v>
      </c>
      <c r="B986" s="6" t="s">
        <v>25</v>
      </c>
      <c r="C986" s="6">
        <v>23</v>
      </c>
      <c r="D986" s="6" t="s">
        <v>61</v>
      </c>
      <c r="F986" s="6">
        <v>3.67</v>
      </c>
      <c r="J986">
        <f>90+58+96+122+150+172+195</f>
        <v>883</v>
      </c>
      <c r="K986">
        <v>7</v>
      </c>
      <c r="L986">
        <v>195</v>
      </c>
      <c r="N986" t="str">
        <f t="shared" si="45"/>
        <v>NA</v>
      </c>
      <c r="O986">
        <f>IF(AND(OR(D986="S. acutus",D986="S. californicus",D986="S. tabernaemontani"),G986=0),E986*[1]Sheet1!$D$7+[1]Sheet1!$L$7,IF(AND(OR(D986="S. acutus",D986="S. tabernaemontani"),G986&gt;0),E986*[1]Sheet1!$D$8+N986*[1]Sheet1!$E$8,IF(AND(D986="S. californicus",G986&gt;0),E986*[1]Sheet1!$D$9+N986*[1]Sheet1!$E$9,IF(D986="S. maritimus",F986*[1]Sheet1!$C$10+E986*[1]Sheet1!$D$10+G986*[1]Sheet1!$F$10+[1]Sheet1!$L$10,IF(D986="S. americanus",F986*[1]Sheet1!$C$6+E986*[1]Sheet1!$D$6+[1]Sheet1!$L$6,IF(AND(OR(D986="T. domingensis",D986="T. latifolia"),E986&gt;0),F986*[1]Sheet1!$C$4+E986*[1]Sheet1!$D$4+H986*[1]Sheet1!$J$4+I986*[1]Sheet1!$K$4+[1]Sheet1!$L$4,IF(AND(OR(D986="T. domingensis",D986="T. latifolia"),J986&gt;0),J986*[1]Sheet1!$G$5+K986*[1]Sheet1!$H$5+L986*[1]Sheet1!$I$5+[1]Sheet1!$L$5,0)))))))</f>
        <v>7.9234030000000146</v>
      </c>
      <c r="P986">
        <f t="shared" si="46"/>
        <v>7.9234030000000146</v>
      </c>
      <c r="S986">
        <f t="shared" si="47"/>
        <v>10.57844038775</v>
      </c>
    </row>
    <row r="987" spans="1:19">
      <c r="A987" s="7">
        <v>42503</v>
      </c>
      <c r="B987" s="6" t="s">
        <v>25</v>
      </c>
      <c r="C987" s="6">
        <v>23</v>
      </c>
      <c r="D987" s="6" t="s">
        <v>61</v>
      </c>
      <c r="F987" s="6">
        <v>1.04</v>
      </c>
      <c r="J987">
        <f>34+77+46+92+74</f>
        <v>323</v>
      </c>
      <c r="K987">
        <v>5</v>
      </c>
      <c r="L987">
        <v>92</v>
      </c>
      <c r="N987" t="str">
        <f t="shared" si="45"/>
        <v>NA</v>
      </c>
      <c r="O987">
        <f>IF(AND(OR(D987="S. acutus",D987="S. californicus",D987="S. tabernaemontani"),G987=0),E987*[1]Sheet1!$D$7+[1]Sheet1!$L$7,IF(AND(OR(D987="S. acutus",D987="S. tabernaemontani"),G987&gt;0),E987*[1]Sheet1!$D$8+N987*[1]Sheet1!$E$8,IF(AND(D987="S. californicus",G987&gt;0),E987*[1]Sheet1!$D$9+N987*[1]Sheet1!$E$9,IF(D987="S. maritimus",F987*[1]Sheet1!$C$10+E987*[1]Sheet1!$D$10+G987*[1]Sheet1!$F$10+[1]Sheet1!$L$10,IF(D987="S. americanus",F987*[1]Sheet1!$C$6+E987*[1]Sheet1!$D$6+[1]Sheet1!$L$6,IF(AND(OR(D987="T. domingensis",D987="T. latifolia"),E987&gt;0),F987*[1]Sheet1!$C$4+E987*[1]Sheet1!$D$4+H987*[1]Sheet1!$J$4+I987*[1]Sheet1!$K$4+[1]Sheet1!$L$4,IF(AND(OR(D987="T. domingensis",D987="T. latifolia"),J987&gt;0),J987*[1]Sheet1!$G$5+K987*[1]Sheet1!$H$5+L987*[1]Sheet1!$I$5+[1]Sheet1!$L$5,0)))))))</f>
        <v>0.49354399999999998</v>
      </c>
      <c r="P987">
        <f t="shared" si="46"/>
        <v>0.49354399999999998</v>
      </c>
      <c r="S987">
        <f t="shared" si="47"/>
        <v>0.84948593600000011</v>
      </c>
    </row>
    <row r="988" spans="1:19">
      <c r="A988" s="7">
        <v>42503</v>
      </c>
      <c r="B988" s="6" t="s">
        <v>25</v>
      </c>
      <c r="C988" s="6">
        <v>20</v>
      </c>
      <c r="D988" s="6" t="s">
        <v>61</v>
      </c>
      <c r="F988" s="6">
        <v>1.4</v>
      </c>
      <c r="J988">
        <f>54+49+89+123+120+150</f>
        <v>585</v>
      </c>
      <c r="K988">
        <v>6</v>
      </c>
      <c r="L988">
        <v>150</v>
      </c>
      <c r="N988" t="str">
        <f t="shared" si="45"/>
        <v>NA</v>
      </c>
      <c r="O988">
        <f>IF(AND(OR(D988="S. acutus",D988="S. californicus",D988="S. tabernaemontani"),G988=0),E988*[1]Sheet1!$D$7+[1]Sheet1!$L$7,IF(AND(OR(D988="S. acutus",D988="S. tabernaemontani"),G988&gt;0),E988*[1]Sheet1!$D$8+N988*[1]Sheet1!$E$8,IF(AND(D988="S. californicus",G988&gt;0),E988*[1]Sheet1!$D$9+N988*[1]Sheet1!$E$9,IF(D988="S. maritimus",F988*[1]Sheet1!$C$10+E988*[1]Sheet1!$D$10+G988*[1]Sheet1!$F$10+[1]Sheet1!$L$10,IF(D988="S. americanus",F988*[1]Sheet1!$C$6+E988*[1]Sheet1!$D$6+[1]Sheet1!$L$6,IF(AND(OR(D988="T. domingensis",D988="T. latifolia"),E988&gt;0),F988*[1]Sheet1!$C$4+E988*[1]Sheet1!$D$4+H988*[1]Sheet1!$J$4+I988*[1]Sheet1!$K$4+[1]Sheet1!$L$4,IF(AND(OR(D988="T. domingensis",D988="T. latifolia"),J988&gt;0),J988*[1]Sheet1!$G$5+K988*[1]Sheet1!$H$5+L988*[1]Sheet1!$I$5+[1]Sheet1!$L$5,0)))))))</f>
        <v>0.56279100000000426</v>
      </c>
      <c r="P988">
        <f t="shared" si="46"/>
        <v>0.56279100000000426</v>
      </c>
      <c r="S988">
        <f t="shared" si="47"/>
        <v>1.5393790999999997</v>
      </c>
    </row>
    <row r="989" spans="1:19">
      <c r="A989" s="7">
        <v>42503</v>
      </c>
      <c r="B989" s="6" t="s">
        <v>25</v>
      </c>
      <c r="C989" s="6">
        <v>20</v>
      </c>
      <c r="D989" s="6" t="s">
        <v>61</v>
      </c>
      <c r="F989" s="6">
        <v>1.94</v>
      </c>
      <c r="J989">
        <f>45+77+101+109+134</f>
        <v>466</v>
      </c>
      <c r="K989">
        <v>5</v>
      </c>
      <c r="L989">
        <v>134</v>
      </c>
      <c r="N989" t="str">
        <f t="shared" si="45"/>
        <v>NA</v>
      </c>
      <c r="O989">
        <f>IF(AND(OR(D989="S. acutus",D989="S. californicus",D989="S. tabernaemontani"),G989=0),E989*[1]Sheet1!$D$7+[1]Sheet1!$L$7,IF(AND(OR(D989="S. acutus",D989="S. tabernaemontani"),G989&gt;0),E989*[1]Sheet1!$D$8+N989*[1]Sheet1!$E$8,IF(AND(D989="S. californicus",G989&gt;0),E989*[1]Sheet1!$D$9+N989*[1]Sheet1!$E$9,IF(D989="S. maritimus",F989*[1]Sheet1!$C$10+E989*[1]Sheet1!$D$10+G989*[1]Sheet1!$F$10+[1]Sheet1!$L$10,IF(D989="S. americanus",F989*[1]Sheet1!$C$6+E989*[1]Sheet1!$D$6+[1]Sheet1!$L$6,IF(AND(OR(D989="T. domingensis",D989="T. latifolia"),E989&gt;0),F989*[1]Sheet1!$C$4+E989*[1]Sheet1!$D$4+H989*[1]Sheet1!$J$4+I989*[1]Sheet1!$K$4+[1]Sheet1!$L$4,IF(AND(OR(D989="T. domingensis",D989="T. latifolia"),J989&gt;0),J989*[1]Sheet1!$G$5+K989*[1]Sheet1!$H$5+L989*[1]Sheet1!$I$5+[1]Sheet1!$L$5,0)))))))</f>
        <v>1.2482189999999989</v>
      </c>
      <c r="P989">
        <f t="shared" si="46"/>
        <v>1.2482189999999989</v>
      </c>
      <c r="S989">
        <f t="shared" si="47"/>
        <v>2.9559220309999996</v>
      </c>
    </row>
    <row r="990" spans="1:19">
      <c r="A990" s="7">
        <v>42503</v>
      </c>
      <c r="B990" s="6" t="s">
        <v>25</v>
      </c>
      <c r="C990" s="6">
        <v>20</v>
      </c>
      <c r="D990" s="6" t="s">
        <v>61</v>
      </c>
      <c r="F990" s="6">
        <v>3.01</v>
      </c>
      <c r="J990">
        <f>78+115+127+160+186+205+237+237</f>
        <v>1345</v>
      </c>
      <c r="K990">
        <v>8</v>
      </c>
      <c r="L990">
        <v>237</v>
      </c>
      <c r="N990" t="str">
        <f t="shared" si="45"/>
        <v>NA</v>
      </c>
      <c r="O990">
        <f>IF(AND(OR(D990="S. acutus",D990="S. californicus",D990="S. tabernaemontani"),G990=0),E990*[1]Sheet1!$D$7+[1]Sheet1!$L$7,IF(AND(OR(D990="S. acutus",D990="S. tabernaemontani"),G990&gt;0),E990*[1]Sheet1!$D$8+N990*[1]Sheet1!$E$8,IF(AND(D990="S. californicus",G990&gt;0),E990*[1]Sheet1!$D$9+N990*[1]Sheet1!$E$9,IF(D990="S. maritimus",F990*[1]Sheet1!$C$10+E990*[1]Sheet1!$D$10+G990*[1]Sheet1!$F$10+[1]Sheet1!$L$10,IF(D990="S. americanus",F990*[1]Sheet1!$C$6+E990*[1]Sheet1!$D$6+[1]Sheet1!$L$6,IF(AND(OR(D990="T. domingensis",D990="T. latifolia"),E990&gt;0),F990*[1]Sheet1!$C$4+E990*[1]Sheet1!$D$4+H990*[1]Sheet1!$J$4+I990*[1]Sheet1!$K$4+[1]Sheet1!$L$4,IF(AND(OR(D990="T. domingensis",D990="T. latifolia"),J990&gt;0),J990*[1]Sheet1!$G$5+K990*[1]Sheet1!$H$5+L990*[1]Sheet1!$I$5+[1]Sheet1!$L$5,0)))))))</f>
        <v>31.563569999999991</v>
      </c>
      <c r="P990">
        <f t="shared" si="46"/>
        <v>31.563569999999991</v>
      </c>
      <c r="S990">
        <f t="shared" si="47"/>
        <v>7.1157798897499989</v>
      </c>
    </row>
    <row r="991" spans="1:19">
      <c r="A991" s="7">
        <v>42503</v>
      </c>
      <c r="B991" s="6" t="s">
        <v>25</v>
      </c>
      <c r="C991" s="6">
        <v>20</v>
      </c>
      <c r="D991" s="6" t="s">
        <v>61</v>
      </c>
      <c r="F991" s="6">
        <v>2.2000000000000002</v>
      </c>
      <c r="J991">
        <f>85+93+133+166+176+220+220</f>
        <v>1093</v>
      </c>
      <c r="K991">
        <v>7</v>
      </c>
      <c r="L991">
        <v>220</v>
      </c>
      <c r="N991" t="str">
        <f t="shared" si="45"/>
        <v>NA</v>
      </c>
      <c r="O991">
        <f>IF(AND(OR(D991="S. acutus",D991="S. californicus",D991="S. tabernaemontani"),G991=0),E991*[1]Sheet1!$D$7+[1]Sheet1!$L$7,IF(AND(OR(D991="S. acutus",D991="S. tabernaemontani"),G991&gt;0),E991*[1]Sheet1!$D$8+N991*[1]Sheet1!$E$8,IF(AND(D991="S. californicus",G991&gt;0),E991*[1]Sheet1!$D$9+N991*[1]Sheet1!$E$9,IF(D991="S. maritimus",F991*[1]Sheet1!$C$10+E991*[1]Sheet1!$D$10+G991*[1]Sheet1!$F$10+[1]Sheet1!$L$10,IF(D991="S. americanus",F991*[1]Sheet1!$C$6+E991*[1]Sheet1!$D$6+[1]Sheet1!$L$6,IF(AND(OR(D991="T. domingensis",D991="T. latifolia"),E991&gt;0),F991*[1]Sheet1!$C$4+E991*[1]Sheet1!$D$4+H991*[1]Sheet1!$J$4+I991*[1]Sheet1!$K$4+[1]Sheet1!$L$4,IF(AND(OR(D991="T. domingensis",D991="T. latifolia"),J991&gt;0),J991*[1]Sheet1!$G$5+K991*[1]Sheet1!$H$5+L991*[1]Sheet1!$I$5+[1]Sheet1!$L$5,0)))))))</f>
        <v>20.080828000000004</v>
      </c>
      <c r="P991">
        <f t="shared" si="46"/>
        <v>20.080828000000004</v>
      </c>
      <c r="S991">
        <f t="shared" si="47"/>
        <v>3.8013239000000003</v>
      </c>
    </row>
    <row r="992" spans="1:19">
      <c r="A992" s="7">
        <v>42503</v>
      </c>
      <c r="B992" s="6" t="s">
        <v>25</v>
      </c>
      <c r="C992" s="6">
        <v>20</v>
      </c>
      <c r="D992" s="6" t="s">
        <v>61</v>
      </c>
      <c r="F992" s="6">
        <v>3</v>
      </c>
      <c r="J992">
        <f>77+109+125+149+192+194+231+244</f>
        <v>1321</v>
      </c>
      <c r="K992">
        <v>8</v>
      </c>
      <c r="L992">
        <v>244</v>
      </c>
      <c r="N992" t="str">
        <f t="shared" si="45"/>
        <v>NA</v>
      </c>
      <c r="O992">
        <f>IF(AND(OR(D992="S. acutus",D992="S. californicus",D992="S. tabernaemontani"),G992=0),E992*[1]Sheet1!$D$7+[1]Sheet1!$L$7,IF(AND(OR(D992="S. acutus",D992="S. tabernaemontani"),G992&gt;0),E992*[1]Sheet1!$D$8+N992*[1]Sheet1!$E$8,IF(AND(D992="S. californicus",G992&gt;0),E992*[1]Sheet1!$D$9+N992*[1]Sheet1!$E$9,IF(D992="S. maritimus",F992*[1]Sheet1!$C$10+E992*[1]Sheet1!$D$10+G992*[1]Sheet1!$F$10+[1]Sheet1!$L$10,IF(D992="S. americanus",F992*[1]Sheet1!$C$6+E992*[1]Sheet1!$D$6+[1]Sheet1!$L$6,IF(AND(OR(D992="T. domingensis",D992="T. latifolia"),E992&gt;0),F992*[1]Sheet1!$C$4+E992*[1]Sheet1!$D$4+H992*[1]Sheet1!$J$4+I992*[1]Sheet1!$K$4+[1]Sheet1!$L$4,IF(AND(OR(D992="T. domingensis",D992="T. latifolia"),J992&gt;0),J992*[1]Sheet1!$G$5+K992*[1]Sheet1!$H$5+L992*[1]Sheet1!$I$5+[1]Sheet1!$L$5,0)))))))</f>
        <v>27.204735000000021</v>
      </c>
      <c r="P992">
        <f t="shared" si="46"/>
        <v>27.204735000000021</v>
      </c>
      <c r="S992">
        <f t="shared" si="47"/>
        <v>7.0685775</v>
      </c>
    </row>
    <row r="993" spans="1:19">
      <c r="A993" s="7">
        <v>42503</v>
      </c>
      <c r="B993" s="6" t="s">
        <v>25</v>
      </c>
      <c r="C993" s="6">
        <v>20</v>
      </c>
      <c r="D993" s="6" t="s">
        <v>61</v>
      </c>
      <c r="F993" s="6">
        <v>3.4</v>
      </c>
      <c r="J993">
        <f>124+144+192+220+254+254+277</f>
        <v>1465</v>
      </c>
      <c r="K993">
        <v>7</v>
      </c>
      <c r="L993">
        <v>277</v>
      </c>
      <c r="N993" t="str">
        <f t="shared" si="45"/>
        <v>NA</v>
      </c>
      <c r="O993">
        <f>IF(AND(OR(D993="S. acutus",D993="S. californicus",D993="S. tabernaemontani"),G993=0),E993*[1]Sheet1!$D$7+[1]Sheet1!$L$7,IF(AND(OR(D993="S. acutus",D993="S. tabernaemontani"),G993&gt;0),E993*[1]Sheet1!$D$8+N993*[1]Sheet1!$E$8,IF(AND(D993="S. californicus",G993&gt;0),E993*[1]Sheet1!$D$9+N993*[1]Sheet1!$E$9,IF(D993="S. maritimus",F993*[1]Sheet1!$C$10+E993*[1]Sheet1!$D$10+G993*[1]Sheet1!$F$10+[1]Sheet1!$L$10,IF(D993="S. americanus",F993*[1]Sheet1!$C$6+E993*[1]Sheet1!$D$6+[1]Sheet1!$L$6,IF(AND(OR(D993="T. domingensis",D993="T. latifolia"),E993&gt;0),F993*[1]Sheet1!$C$4+E993*[1]Sheet1!$D$4+H993*[1]Sheet1!$J$4+I993*[1]Sheet1!$K$4+[1]Sheet1!$L$4,IF(AND(OR(D993="T. domingensis",D993="T. latifolia"),J993&gt;0),J993*[1]Sheet1!$G$5+K993*[1]Sheet1!$H$5+L993*[1]Sheet1!$I$5+[1]Sheet1!$L$5,0)))))))</f>
        <v>37.786723000000016</v>
      </c>
      <c r="P993">
        <f t="shared" si="46"/>
        <v>37.786723000000016</v>
      </c>
      <c r="S993">
        <f t="shared" si="47"/>
        <v>9.079195099999998</v>
      </c>
    </row>
    <row r="994" spans="1:19">
      <c r="A994" s="7">
        <v>42503</v>
      </c>
      <c r="B994" s="6" t="s">
        <v>25</v>
      </c>
      <c r="C994" s="6">
        <v>20</v>
      </c>
      <c r="D994" s="6" t="s">
        <v>61</v>
      </c>
      <c r="E994">
        <v>237</v>
      </c>
      <c r="F994" s="6">
        <v>3.49</v>
      </c>
      <c r="H994" s="6">
        <v>28</v>
      </c>
      <c r="I994">
        <v>0.97</v>
      </c>
      <c r="N994" t="str">
        <f t="shared" si="45"/>
        <v>NA</v>
      </c>
      <c r="O994">
        <f>IF(AND(OR(D994="S. acutus",D994="S. californicus",D994="S. tabernaemontani"),G994=0),E994*[1]Sheet1!$D$7+[1]Sheet1!$L$7,IF(AND(OR(D994="S. acutus",D994="S. tabernaemontani"),G994&gt;0),E994*[1]Sheet1!$D$8+N994*[1]Sheet1!$E$8,IF(AND(D994="S. californicus",G994&gt;0),E994*[1]Sheet1!$D$9+N994*[1]Sheet1!$E$9,IF(D994="S. maritimus",F994*[1]Sheet1!$C$10+E994*[1]Sheet1!$D$10+G994*[1]Sheet1!$F$10+[1]Sheet1!$L$10,IF(D994="S. americanus",F994*[1]Sheet1!$C$6+E994*[1]Sheet1!$D$6+[1]Sheet1!$L$6,IF(AND(OR(D994="T. domingensis",D994="T. latifolia"),E994&gt;0),F994*[1]Sheet1!$C$4+E994*[1]Sheet1!$D$4+H994*[1]Sheet1!$J$4+I994*[1]Sheet1!$K$4+[1]Sheet1!$L$4,IF(AND(OR(D994="T. domingensis",D994="T. latifolia"),J994&gt;0),J994*[1]Sheet1!$G$5+K994*[1]Sheet1!$H$5+L994*[1]Sheet1!$I$5+[1]Sheet1!$L$5,0)))))))</f>
        <v>84.057556089999991</v>
      </c>
      <c r="P994">
        <f t="shared" si="46"/>
        <v>84.057556089999991</v>
      </c>
      <c r="S994">
        <f t="shared" si="47"/>
        <v>9.5662200897500007</v>
      </c>
    </row>
    <row r="995" spans="1:19">
      <c r="A995" s="7">
        <v>42503</v>
      </c>
      <c r="B995" s="6" t="s">
        <v>25</v>
      </c>
      <c r="C995" s="6">
        <v>8</v>
      </c>
      <c r="D995" s="6"/>
      <c r="F995" s="6"/>
      <c r="M995" t="s">
        <v>65</v>
      </c>
      <c r="N995" t="str">
        <f t="shared" si="45"/>
        <v>NA</v>
      </c>
      <c r="O995">
        <f>IF(AND(OR(D995="S. acutus",D995="S. californicus",D995="S. tabernaemontani"),G995=0),E995*[1]Sheet1!$D$7+[1]Sheet1!$L$7,IF(AND(OR(D995="S. acutus",D995="S. tabernaemontani"),G995&gt;0),E995*[1]Sheet1!$D$8+N995*[1]Sheet1!$E$8,IF(AND(D995="S. californicus",G995&gt;0),E995*[1]Sheet1!$D$9+N995*[1]Sheet1!$E$9,IF(D995="S. maritimus",F995*[1]Sheet1!$C$10+E995*[1]Sheet1!$D$10+G995*[1]Sheet1!$F$10+[1]Sheet1!$L$10,IF(D995="S. americanus",F995*[1]Sheet1!$C$6+E995*[1]Sheet1!$D$6+[1]Sheet1!$L$6,IF(AND(OR(D995="T. domingensis",D995="T. latifolia"),E995&gt;0),F995*[1]Sheet1!$C$4+E995*[1]Sheet1!$D$4+H995*[1]Sheet1!$J$4+I995*[1]Sheet1!$K$4+[1]Sheet1!$L$4,IF(AND(OR(D995="T. domingensis",D995="T. latifolia"),J995&gt;0),J995*[1]Sheet1!$G$5+K995*[1]Sheet1!$H$5+L995*[1]Sheet1!$I$5+[1]Sheet1!$L$5,0)))))))</f>
        <v>0</v>
      </c>
      <c r="P995">
        <f t="shared" si="46"/>
        <v>0</v>
      </c>
      <c r="S995">
        <f t="shared" si="47"/>
        <v>0</v>
      </c>
    </row>
    <row r="996" spans="1:19">
      <c r="R996" t="s">
        <v>68</v>
      </c>
      <c r="S996">
        <f>SUM(S4:S995)</f>
        <v>3109.9739021772511</v>
      </c>
    </row>
    <row r="1048575" spans="1:1">
      <c r="A1048575" s="5"/>
    </row>
  </sheetData>
  <sortState ref="A4:S995">
    <sortCondition ref="B4:B995"/>
    <sortCondition descending="1" ref="C4:C995"/>
    <sortCondition ref="D4:D995"/>
  </sortState>
  <mergeCells count="2">
    <mergeCell ref="A1:O1"/>
    <mergeCell ref="A2:O2"/>
  </mergeCells>
  <phoneticPr fontId="9" type="noConversion"/>
  <pageMargins left="0.75" right="0.75" top="1" bottom="1" header="0.5" footer="0.5"/>
  <pageSetup orientation="portrait" horizontalDpi="4294967292" verticalDpi="4294967292"/>
  <colBreaks count="2" manualBreakCount="2">
    <brk id="7" max="1048575" man="1"/>
    <brk id="14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opLeftCell="A2" workbookViewId="0">
      <pane xSplit="3080" activePane="topRight"/>
      <selection pane="topRight" activeCell="R52" sqref="R52"/>
    </sheetView>
  </sheetViews>
  <sheetFormatPr baseColWidth="10" defaultRowHeight="15" x14ac:dyDescent="0"/>
  <sheetData>
    <row r="1" spans="1:34" ht="21" thickBot="1">
      <c r="A1" s="42" t="s">
        <v>27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8"/>
      <c r="AA1" s="8"/>
    </row>
    <row r="2" spans="1:34" ht="106" thickTop="1">
      <c r="A2" s="9" t="s">
        <v>28</v>
      </c>
      <c r="B2" s="9" t="s">
        <v>4</v>
      </c>
      <c r="C2" s="3" t="s">
        <v>29</v>
      </c>
      <c r="D2" s="10" t="s">
        <v>30</v>
      </c>
      <c r="E2" s="9" t="s">
        <v>31</v>
      </c>
      <c r="F2" s="3" t="s">
        <v>32</v>
      </c>
      <c r="G2" s="3" t="s">
        <v>30</v>
      </c>
      <c r="H2" s="9" t="s">
        <v>33</v>
      </c>
      <c r="I2" s="3" t="s">
        <v>34</v>
      </c>
      <c r="J2" s="3" t="s">
        <v>30</v>
      </c>
      <c r="K2" s="9" t="s">
        <v>35</v>
      </c>
      <c r="L2" s="3" t="s">
        <v>36</v>
      </c>
      <c r="M2" s="11" t="s">
        <v>30</v>
      </c>
      <c r="N2" s="9" t="s">
        <v>37</v>
      </c>
      <c r="O2" s="3" t="s">
        <v>38</v>
      </c>
      <c r="P2" s="3" t="s">
        <v>30</v>
      </c>
      <c r="Q2" s="9" t="s">
        <v>39</v>
      </c>
      <c r="R2" s="3" t="s">
        <v>40</v>
      </c>
      <c r="S2" s="11" t="s">
        <v>30</v>
      </c>
      <c r="T2" s="9" t="s">
        <v>41</v>
      </c>
      <c r="U2" s="3" t="s">
        <v>42</v>
      </c>
      <c r="V2" s="3" t="s">
        <v>30</v>
      </c>
      <c r="W2" s="9" t="s">
        <v>43</v>
      </c>
      <c r="X2" s="9" t="s">
        <v>44</v>
      </c>
      <c r="Y2" s="9" t="s">
        <v>45</v>
      </c>
      <c r="Z2" s="9" t="s">
        <v>46</v>
      </c>
      <c r="AA2" s="9" t="s">
        <v>47</v>
      </c>
      <c r="AB2" s="9" t="s">
        <v>48</v>
      </c>
      <c r="AC2" s="9" t="s">
        <v>49</v>
      </c>
      <c r="AD2" s="9" t="s">
        <v>50</v>
      </c>
      <c r="AE2" s="9" t="s">
        <v>51</v>
      </c>
      <c r="AF2" s="12" t="s">
        <v>52</v>
      </c>
      <c r="AG2" s="12" t="s">
        <v>53</v>
      </c>
      <c r="AH2" s="12" t="s">
        <v>54</v>
      </c>
    </row>
    <row r="3" spans="1:34">
      <c r="A3" s="13" t="s">
        <v>55</v>
      </c>
      <c r="B3" s="14">
        <v>36</v>
      </c>
      <c r="C3" s="15"/>
      <c r="D3" s="16"/>
      <c r="E3" s="14">
        <f>C3*4</f>
        <v>0</v>
      </c>
      <c r="F3" s="15"/>
      <c r="G3" s="17"/>
      <c r="H3" s="14">
        <f>F3*4</f>
        <v>0</v>
      </c>
      <c r="I3" s="15"/>
      <c r="J3" s="17"/>
      <c r="K3" s="14">
        <f>I3*4</f>
        <v>0</v>
      </c>
      <c r="L3" s="15"/>
      <c r="M3" s="17"/>
      <c r="N3" s="14">
        <f>L3*4</f>
        <v>0</v>
      </c>
      <c r="O3" s="15"/>
      <c r="P3" s="17"/>
      <c r="Q3" s="14">
        <f>O3*4</f>
        <v>0</v>
      </c>
      <c r="R3" s="15">
        <f>SUM('Plant Measurements'!P4:P37)</f>
        <v>321.73537999999996</v>
      </c>
      <c r="S3" s="17"/>
      <c r="T3" s="14">
        <f>R3*4</f>
        <v>1286.9415199999999</v>
      </c>
      <c r="U3" s="15"/>
      <c r="V3" s="17"/>
      <c r="W3" s="14">
        <f>U3*4</f>
        <v>0</v>
      </c>
      <c r="X3" s="14">
        <f>SUM(W3,T3,Q3,N3,K3,H3,E3)</f>
        <v>1286.9415199999999</v>
      </c>
      <c r="Y3" s="18">
        <f>AVERAGE(X3:X7)</f>
        <v>698.57052624550863</v>
      </c>
      <c r="Z3" s="19">
        <f>E3+Q3</f>
        <v>0</v>
      </c>
      <c r="AA3" s="19">
        <f>W3+T3</f>
        <v>1286.9415199999999</v>
      </c>
      <c r="AB3">
        <f>IF(X3&gt;0,(Q3+E3)/X3," ")</f>
        <v>0</v>
      </c>
      <c r="AC3">
        <f>IF(X3&gt;0,H3/X3," ")</f>
        <v>0</v>
      </c>
      <c r="AD3">
        <f>IF(X3&gt;0,K3/X3," ")</f>
        <v>0</v>
      </c>
      <c r="AE3">
        <f>IF(X3&gt;0,(W3+T3)/X3," ")</f>
        <v>1</v>
      </c>
      <c r="AF3">
        <f>210336.2801/10</f>
        <v>21033.62801</v>
      </c>
      <c r="AG3">
        <f>AF3/5</f>
        <v>4206.7256020000004</v>
      </c>
      <c r="AH3">
        <f>(AG3*X3)/1000</f>
        <v>5413.8098404607954</v>
      </c>
    </row>
    <row r="4" spans="1:34">
      <c r="A4" s="20" t="s">
        <v>55</v>
      </c>
      <c r="B4" s="21">
        <v>20</v>
      </c>
      <c r="C4" s="22">
        <f>SUM('Plant Measurements'!P51:P52)</f>
        <v>8.2061120000000045</v>
      </c>
      <c r="D4" s="23"/>
      <c r="E4" s="14">
        <f t="shared" ref="E4:E52" si="0">C4*4</f>
        <v>32.824448000000018</v>
      </c>
      <c r="F4" s="22"/>
      <c r="G4" s="24"/>
      <c r="H4" s="14">
        <f t="shared" ref="H4:H7" si="1">F4*4</f>
        <v>0</v>
      </c>
      <c r="I4" s="22"/>
      <c r="J4" s="24"/>
      <c r="K4" s="14">
        <f t="shared" ref="K4:K52" si="2">I4*4</f>
        <v>0</v>
      </c>
      <c r="L4" s="22"/>
      <c r="M4" s="24"/>
      <c r="N4" s="14">
        <f t="shared" ref="N4:N52" si="3">L4*4</f>
        <v>0</v>
      </c>
      <c r="O4" s="22"/>
      <c r="P4" s="24"/>
      <c r="Q4" s="14">
        <f t="shared" ref="Q4:Q52" si="4">O4*4</f>
        <v>0</v>
      </c>
      <c r="R4" s="22">
        <f>SUM('Plant Measurements'!P38:P50)</f>
        <v>307.3731354886238</v>
      </c>
      <c r="S4" s="24"/>
      <c r="T4" s="14">
        <f t="shared" ref="T4:T52" si="5">R4*4</f>
        <v>1229.4925419544952</v>
      </c>
      <c r="U4" s="22"/>
      <c r="V4" s="24"/>
      <c r="W4" s="14">
        <f t="shared" ref="W4:W52" si="6">U4*4</f>
        <v>0</v>
      </c>
      <c r="X4" s="21">
        <f t="shared" ref="X4:X52" si="7">SUM(W4,T4,Q4,N4,K4,H4,E4)</f>
        <v>1262.3169899544953</v>
      </c>
      <c r="Y4" s="25"/>
      <c r="Z4" s="19">
        <f t="shared" ref="Z4:Z52" si="8">E4+Q4</f>
        <v>32.824448000000018</v>
      </c>
      <c r="AA4" s="19">
        <f t="shared" ref="AA4:AA52" si="9">W4+T4</f>
        <v>1229.4925419544952</v>
      </c>
      <c r="AB4">
        <f t="shared" ref="AB4:AB52" si="10">IF(X4&gt;0,(Q4+E4)/X4," ")</f>
        <v>2.6003332175053188E-2</v>
      </c>
      <c r="AC4">
        <f t="shared" ref="AC4:AC52" si="11">IF(X4&gt;0,H4/X4," ")</f>
        <v>0</v>
      </c>
      <c r="AD4">
        <f t="shared" ref="AD4:AD52" si="12">IF(X4&gt;0,K4/X4," ")</f>
        <v>0</v>
      </c>
      <c r="AE4">
        <f t="shared" ref="AE4:AE52" si="13">IF(X4&gt;0,(W4+T4)/X4," ")</f>
        <v>0.97399666782494676</v>
      </c>
      <c r="AF4">
        <f t="shared" ref="AF4:AF52" si="14">210336.2801/10</f>
        <v>21033.62801</v>
      </c>
      <c r="AG4">
        <f t="shared" ref="AG4:AG52" si="15">AF4/5</f>
        <v>4206.7256020000004</v>
      </c>
      <c r="AH4">
        <f t="shared" ref="AH4:AH52" si="16">(AG4*X4)/1000</f>
        <v>5310.2211994811532</v>
      </c>
    </row>
    <row r="5" spans="1:34">
      <c r="A5" s="20" t="s">
        <v>55</v>
      </c>
      <c r="B5" s="21">
        <v>12</v>
      </c>
      <c r="C5">
        <f>SUM('Plant Measurements'!P54:P64)</f>
        <v>117.69568988994146</v>
      </c>
      <c r="D5" s="23"/>
      <c r="E5" s="14">
        <f t="shared" si="0"/>
        <v>470.78275955976585</v>
      </c>
      <c r="F5" s="22"/>
      <c r="G5" s="24"/>
      <c r="H5" s="14">
        <f t="shared" si="1"/>
        <v>0</v>
      </c>
      <c r="I5" s="22"/>
      <c r="J5" s="24"/>
      <c r="K5" s="14">
        <f t="shared" si="2"/>
        <v>0</v>
      </c>
      <c r="L5" s="22"/>
      <c r="M5" s="24"/>
      <c r="N5" s="14">
        <f t="shared" si="3"/>
        <v>0</v>
      </c>
      <c r="O5" s="22"/>
      <c r="P5" s="24"/>
      <c r="Q5" s="14">
        <f t="shared" si="4"/>
        <v>0</v>
      </c>
      <c r="R5" s="22">
        <f>SUM('Plant Measurements'!P53,'Plant Measurements'!P65:P70)</f>
        <v>55.863940428320596</v>
      </c>
      <c r="S5" s="24"/>
      <c r="T5" s="14">
        <f t="shared" si="5"/>
        <v>223.45576171328239</v>
      </c>
      <c r="U5" s="22"/>
      <c r="V5" s="24"/>
      <c r="W5" s="14">
        <f t="shared" si="6"/>
        <v>0</v>
      </c>
      <c r="X5" s="21">
        <f t="shared" si="7"/>
        <v>694.23852127304826</v>
      </c>
      <c r="Y5" s="25"/>
      <c r="Z5" s="19">
        <f t="shared" si="8"/>
        <v>470.78275955976585</v>
      </c>
      <c r="AA5" s="19">
        <f t="shared" si="9"/>
        <v>223.45576171328239</v>
      </c>
      <c r="AB5">
        <f t="shared" si="10"/>
        <v>0.67812825870923421</v>
      </c>
      <c r="AC5">
        <f t="shared" si="11"/>
        <v>0</v>
      </c>
      <c r="AD5">
        <f t="shared" si="12"/>
        <v>0</v>
      </c>
      <c r="AE5">
        <f t="shared" si="13"/>
        <v>0.32187174129076579</v>
      </c>
      <c r="AF5">
        <f t="shared" si="14"/>
        <v>21033.62801</v>
      </c>
      <c r="AG5">
        <f t="shared" si="15"/>
        <v>4206.7256020000004</v>
      </c>
      <c r="AH5">
        <f t="shared" si="16"/>
        <v>2920.4709613339542</v>
      </c>
    </row>
    <row r="6" spans="1:34">
      <c r="A6" s="20" t="s">
        <v>55</v>
      </c>
      <c r="B6" s="21">
        <v>7</v>
      </c>
      <c r="C6" s="22"/>
      <c r="D6" s="23"/>
      <c r="E6" s="14">
        <f t="shared" si="0"/>
        <v>0</v>
      </c>
      <c r="F6" s="22"/>
      <c r="G6" s="24"/>
      <c r="H6" s="14">
        <f t="shared" si="1"/>
        <v>0</v>
      </c>
      <c r="I6" s="22"/>
      <c r="J6" s="24"/>
      <c r="K6" s="14">
        <f t="shared" si="2"/>
        <v>0</v>
      </c>
      <c r="L6" s="22"/>
      <c r="M6" s="24"/>
      <c r="N6" s="14">
        <f t="shared" si="3"/>
        <v>0</v>
      </c>
      <c r="O6" s="22"/>
      <c r="P6" s="24"/>
      <c r="Q6" s="14">
        <f t="shared" si="4"/>
        <v>0</v>
      </c>
      <c r="R6" s="22"/>
      <c r="S6" s="24"/>
      <c r="T6" s="14">
        <f t="shared" si="5"/>
        <v>0</v>
      </c>
      <c r="U6" s="22"/>
      <c r="V6" s="24"/>
      <c r="W6" s="14">
        <f t="shared" si="6"/>
        <v>0</v>
      </c>
      <c r="X6" s="21">
        <f t="shared" si="7"/>
        <v>0</v>
      </c>
      <c r="Y6" s="25"/>
      <c r="Z6" s="19">
        <f t="shared" si="8"/>
        <v>0</v>
      </c>
      <c r="AA6" s="19">
        <f t="shared" si="9"/>
        <v>0</v>
      </c>
      <c r="AB6" t="str">
        <f t="shared" si="10"/>
        <v xml:space="preserve"> </v>
      </c>
      <c r="AC6" t="str">
        <f t="shared" si="11"/>
        <v xml:space="preserve"> </v>
      </c>
      <c r="AD6" t="str">
        <f t="shared" si="12"/>
        <v xml:space="preserve"> </v>
      </c>
      <c r="AE6" t="str">
        <f t="shared" si="13"/>
        <v xml:space="preserve"> </v>
      </c>
      <c r="AF6">
        <f t="shared" si="14"/>
        <v>21033.62801</v>
      </c>
      <c r="AG6">
        <f>AF6/5</f>
        <v>4206.7256020000004</v>
      </c>
      <c r="AH6">
        <f t="shared" si="16"/>
        <v>0</v>
      </c>
    </row>
    <row r="7" spans="1:34">
      <c r="A7" s="26" t="s">
        <v>55</v>
      </c>
      <c r="B7" s="27">
        <v>1</v>
      </c>
      <c r="C7" s="28"/>
      <c r="D7" s="29"/>
      <c r="E7" s="14">
        <f t="shared" si="0"/>
        <v>0</v>
      </c>
      <c r="F7" s="28"/>
      <c r="G7" s="30"/>
      <c r="H7" s="14">
        <f t="shared" si="1"/>
        <v>0</v>
      </c>
      <c r="I7" s="28"/>
      <c r="J7" s="30"/>
      <c r="K7" s="14">
        <f t="shared" si="2"/>
        <v>0</v>
      </c>
      <c r="L7" s="28"/>
      <c r="M7" s="30"/>
      <c r="N7" s="14">
        <f t="shared" si="3"/>
        <v>0</v>
      </c>
      <c r="O7" s="28"/>
      <c r="P7" s="30"/>
      <c r="Q7" s="14">
        <f t="shared" si="4"/>
        <v>0</v>
      </c>
      <c r="R7" s="28">
        <f>SUM('Plant Measurements'!P72:P77)</f>
        <v>62.338900000000017</v>
      </c>
      <c r="S7" s="30"/>
      <c r="T7" s="14">
        <f t="shared" si="5"/>
        <v>249.35560000000007</v>
      </c>
      <c r="U7" s="28"/>
      <c r="V7" s="30"/>
      <c r="W7" s="14">
        <f t="shared" si="6"/>
        <v>0</v>
      </c>
      <c r="X7" s="27">
        <f t="shared" si="7"/>
        <v>249.35560000000007</v>
      </c>
      <c r="Y7" s="31"/>
      <c r="Z7" s="19">
        <f t="shared" si="8"/>
        <v>0</v>
      </c>
      <c r="AA7" s="19">
        <f t="shared" si="9"/>
        <v>249.35560000000007</v>
      </c>
      <c r="AB7">
        <f t="shared" si="10"/>
        <v>0</v>
      </c>
      <c r="AC7">
        <f t="shared" si="11"/>
        <v>0</v>
      </c>
      <c r="AD7">
        <f t="shared" si="12"/>
        <v>0</v>
      </c>
      <c r="AE7">
        <f t="shared" si="13"/>
        <v>1</v>
      </c>
      <c r="AF7">
        <f t="shared" si="14"/>
        <v>21033.62801</v>
      </c>
      <c r="AG7">
        <f t="shared" si="15"/>
        <v>4206.7256020000004</v>
      </c>
      <c r="AH7">
        <f t="shared" si="16"/>
        <v>1048.9705865220717</v>
      </c>
    </row>
    <row r="8" spans="1:34">
      <c r="A8" s="13" t="s">
        <v>21</v>
      </c>
      <c r="B8" s="14">
        <v>43</v>
      </c>
      <c r="C8" s="15"/>
      <c r="D8" s="16"/>
      <c r="E8" s="14">
        <f t="shared" si="0"/>
        <v>0</v>
      </c>
      <c r="F8" s="15"/>
      <c r="G8" s="17"/>
      <c r="H8" s="14"/>
      <c r="I8" s="15"/>
      <c r="J8" s="17"/>
      <c r="K8" s="14">
        <f t="shared" si="2"/>
        <v>0</v>
      </c>
      <c r="L8" s="15"/>
      <c r="M8" s="17"/>
      <c r="N8" s="14">
        <f t="shared" si="3"/>
        <v>0</v>
      </c>
      <c r="O8" s="15"/>
      <c r="P8" s="17"/>
      <c r="Q8" s="14">
        <f t="shared" si="4"/>
        <v>0</v>
      </c>
      <c r="R8" s="15">
        <f>SUM('Plant Measurements'!P78:P84)</f>
        <v>115.59068100000002</v>
      </c>
      <c r="S8" s="17"/>
      <c r="T8" s="14">
        <f t="shared" si="5"/>
        <v>462.36272400000007</v>
      </c>
      <c r="U8" s="15"/>
      <c r="V8" s="17"/>
      <c r="W8" s="14">
        <f t="shared" si="6"/>
        <v>0</v>
      </c>
      <c r="X8" s="14">
        <f t="shared" si="7"/>
        <v>462.36272400000007</v>
      </c>
      <c r="Y8" s="18">
        <f>AVERAGE(X8:X12)</f>
        <v>738.40574388915945</v>
      </c>
      <c r="Z8" s="19">
        <f t="shared" si="8"/>
        <v>0</v>
      </c>
      <c r="AA8" s="19">
        <f t="shared" si="9"/>
        <v>462.36272400000007</v>
      </c>
      <c r="AB8">
        <f t="shared" si="10"/>
        <v>0</v>
      </c>
      <c r="AC8">
        <f t="shared" si="11"/>
        <v>0</v>
      </c>
      <c r="AD8">
        <f t="shared" si="12"/>
        <v>0</v>
      </c>
      <c r="AE8">
        <f t="shared" si="13"/>
        <v>1</v>
      </c>
      <c r="AF8">
        <f t="shared" si="14"/>
        <v>21033.62801</v>
      </c>
      <c r="AG8">
        <f t="shared" si="15"/>
        <v>4206.7256020000004</v>
      </c>
      <c r="AH8">
        <f t="shared" si="16"/>
        <v>1945.0331084612603</v>
      </c>
    </row>
    <row r="9" spans="1:34">
      <c r="A9" s="20" t="s">
        <v>21</v>
      </c>
      <c r="B9" s="21">
        <v>38</v>
      </c>
      <c r="C9" s="22"/>
      <c r="D9" s="23"/>
      <c r="E9" s="14">
        <f t="shared" si="0"/>
        <v>0</v>
      </c>
      <c r="F9" s="22"/>
      <c r="G9" s="24"/>
      <c r="H9" s="21">
        <f>F9*4</f>
        <v>0</v>
      </c>
      <c r="I9" s="22">
        <f>SUM('Plant Measurements'!P85:P98)</f>
        <v>97.356369867337904</v>
      </c>
      <c r="J9" s="24"/>
      <c r="K9" s="14">
        <f t="shared" si="2"/>
        <v>389.42547946935161</v>
      </c>
      <c r="L9" s="22"/>
      <c r="M9" s="24"/>
      <c r="N9" s="14">
        <f t="shared" si="3"/>
        <v>0</v>
      </c>
      <c r="O9" s="22"/>
      <c r="P9" s="24"/>
      <c r="Q9" s="14">
        <f t="shared" si="4"/>
        <v>0</v>
      </c>
      <c r="R9" s="22">
        <f>SUM('Plant Measurements'!P99:P107)</f>
        <v>120.07114800000005</v>
      </c>
      <c r="S9" s="24"/>
      <c r="T9" s="14">
        <f t="shared" si="5"/>
        <v>480.2845920000002</v>
      </c>
      <c r="U9" s="22"/>
      <c r="V9" s="24"/>
      <c r="W9" s="14">
        <f t="shared" si="6"/>
        <v>0</v>
      </c>
      <c r="X9" s="21">
        <f>SUM(W9,T9,Q9,N9,K9,H9,E9)</f>
        <v>869.71007146935176</v>
      </c>
      <c r="Y9" s="25"/>
      <c r="Z9" s="19">
        <f t="shared" si="8"/>
        <v>0</v>
      </c>
      <c r="AA9" s="19">
        <f t="shared" si="9"/>
        <v>480.2845920000002</v>
      </c>
      <c r="AB9">
        <f t="shared" si="10"/>
        <v>0</v>
      </c>
      <c r="AC9">
        <f t="shared" si="11"/>
        <v>0</v>
      </c>
      <c r="AD9">
        <f t="shared" si="12"/>
        <v>0.44776471176357396</v>
      </c>
      <c r="AE9">
        <f t="shared" si="13"/>
        <v>0.55223528823642609</v>
      </c>
      <c r="AF9">
        <f t="shared" si="14"/>
        <v>21033.62801</v>
      </c>
      <c r="AG9">
        <f t="shared" si="15"/>
        <v>4206.7256020000004</v>
      </c>
      <c r="AH9">
        <f t="shared" si="16"/>
        <v>3658.6316239673724</v>
      </c>
    </row>
    <row r="10" spans="1:34">
      <c r="A10" s="20" t="s">
        <v>21</v>
      </c>
      <c r="B10" s="21">
        <v>31</v>
      </c>
      <c r="C10" s="22">
        <f>SUM('Plant Measurements'!P108:P120)</f>
        <v>102.02638899411122</v>
      </c>
      <c r="D10" s="23"/>
      <c r="E10" s="14">
        <f t="shared" si="0"/>
        <v>408.10555597644486</v>
      </c>
      <c r="F10" s="22"/>
      <c r="G10" s="24"/>
      <c r="H10" s="21">
        <f t="shared" ref="H10:H42" si="17">F10*4</f>
        <v>0</v>
      </c>
      <c r="I10" s="22"/>
      <c r="J10" s="24"/>
      <c r="K10" s="14">
        <f t="shared" si="2"/>
        <v>0</v>
      </c>
      <c r="L10" s="22"/>
      <c r="M10" s="24"/>
      <c r="N10" s="14">
        <f t="shared" si="3"/>
        <v>0</v>
      </c>
      <c r="O10" s="22"/>
      <c r="P10" s="24"/>
      <c r="Q10" s="14">
        <f t="shared" si="4"/>
        <v>0</v>
      </c>
      <c r="R10" s="22">
        <f>SUM('Plant Measurements'!P121:P128)</f>
        <v>91.90902100000001</v>
      </c>
      <c r="S10" s="24"/>
      <c r="T10" s="14">
        <f t="shared" si="5"/>
        <v>367.63608400000004</v>
      </c>
      <c r="U10" s="22"/>
      <c r="V10" s="24"/>
      <c r="W10" s="14">
        <f t="shared" si="6"/>
        <v>0</v>
      </c>
      <c r="X10" s="21">
        <f t="shared" si="7"/>
        <v>775.74163997644496</v>
      </c>
      <c r="Y10" s="25"/>
      <c r="Z10" s="19">
        <f t="shared" si="8"/>
        <v>408.10555597644486</v>
      </c>
      <c r="AA10" s="19">
        <f t="shared" si="9"/>
        <v>367.63608400000004</v>
      </c>
      <c r="AB10">
        <f t="shared" si="10"/>
        <v>0.52608437519073592</v>
      </c>
      <c r="AC10">
        <f t="shared" si="11"/>
        <v>0</v>
      </c>
      <c r="AD10">
        <f t="shared" si="12"/>
        <v>0</v>
      </c>
      <c r="AE10">
        <f t="shared" si="13"/>
        <v>0.47391562480926402</v>
      </c>
      <c r="AF10">
        <f t="shared" si="14"/>
        <v>21033.62801</v>
      </c>
      <c r="AG10">
        <f t="shared" si="15"/>
        <v>4206.7256020000004</v>
      </c>
      <c r="AH10">
        <f t="shared" si="16"/>
        <v>3263.3322174263776</v>
      </c>
    </row>
    <row r="11" spans="1:34">
      <c r="A11" s="20" t="s">
        <v>21</v>
      </c>
      <c r="B11" s="21">
        <v>22</v>
      </c>
      <c r="C11" s="22"/>
      <c r="D11" s="23"/>
      <c r="E11" s="14">
        <f t="shared" si="0"/>
        <v>0</v>
      </c>
      <c r="F11" s="22"/>
      <c r="G11" s="24"/>
      <c r="H11" s="21">
        <f t="shared" si="17"/>
        <v>0</v>
      </c>
      <c r="I11" s="22"/>
      <c r="J11" s="24"/>
      <c r="K11" s="14">
        <f t="shared" si="2"/>
        <v>0</v>
      </c>
      <c r="L11" s="22"/>
      <c r="M11" s="24"/>
      <c r="N11" s="14">
        <f t="shared" si="3"/>
        <v>0</v>
      </c>
      <c r="O11" s="22"/>
      <c r="P11" s="24"/>
      <c r="Q11" s="14">
        <f t="shared" si="4"/>
        <v>0</v>
      </c>
      <c r="R11" s="22">
        <f>SUM('Plant Measurements'!P132:P137)</f>
        <v>64.891738000000004</v>
      </c>
      <c r="S11" s="24"/>
      <c r="T11" s="14">
        <f t="shared" si="5"/>
        <v>259.56695200000001</v>
      </c>
      <c r="U11" s="22">
        <f>SUM('Plant Measurements'!P129:P131)</f>
        <v>167.32032800000002</v>
      </c>
      <c r="V11" s="24"/>
      <c r="W11" s="14">
        <f t="shared" si="6"/>
        <v>669.28131200000007</v>
      </c>
      <c r="X11" s="21">
        <f t="shared" si="7"/>
        <v>928.84826400000009</v>
      </c>
      <c r="Y11" s="25"/>
      <c r="Z11" s="19">
        <f t="shared" si="8"/>
        <v>0</v>
      </c>
      <c r="AA11" s="19">
        <f t="shared" si="9"/>
        <v>928.84826400000009</v>
      </c>
      <c r="AB11">
        <f t="shared" si="10"/>
        <v>0</v>
      </c>
      <c r="AC11">
        <f t="shared" si="11"/>
        <v>0</v>
      </c>
      <c r="AD11">
        <f t="shared" si="12"/>
        <v>0</v>
      </c>
      <c r="AE11">
        <f t="shared" si="13"/>
        <v>1</v>
      </c>
      <c r="AF11">
        <f t="shared" si="14"/>
        <v>21033.62801</v>
      </c>
      <c r="AG11">
        <f t="shared" si="15"/>
        <v>4206.7256020000004</v>
      </c>
      <c r="AH11">
        <f t="shared" si="16"/>
        <v>3907.4097725420556</v>
      </c>
    </row>
    <row r="12" spans="1:34">
      <c r="A12" s="26" t="s">
        <v>21</v>
      </c>
      <c r="B12" s="27">
        <v>19</v>
      </c>
      <c r="C12" s="28"/>
      <c r="D12" s="29"/>
      <c r="E12" s="14">
        <f t="shared" si="0"/>
        <v>0</v>
      </c>
      <c r="F12" s="28"/>
      <c r="G12" s="30"/>
      <c r="H12" s="21">
        <f t="shared" si="17"/>
        <v>0</v>
      </c>
      <c r="I12" s="28"/>
      <c r="J12" s="30"/>
      <c r="K12" s="14">
        <f t="shared" si="2"/>
        <v>0</v>
      </c>
      <c r="L12" s="28"/>
      <c r="M12" s="30"/>
      <c r="N12" s="14">
        <f t="shared" si="3"/>
        <v>0</v>
      </c>
      <c r="O12" s="28"/>
      <c r="P12" s="30"/>
      <c r="Q12" s="14">
        <f t="shared" si="4"/>
        <v>0</v>
      </c>
      <c r="R12" s="28">
        <f>SUM('Plant Measurements'!P144:P147)</f>
        <v>68.881444000000016</v>
      </c>
      <c r="S12" s="30"/>
      <c r="T12" s="14">
        <f t="shared" si="5"/>
        <v>275.52577600000006</v>
      </c>
      <c r="U12" s="28">
        <f>SUM('Plant Measurements'!P138:P143)</f>
        <v>94.960061000000053</v>
      </c>
      <c r="V12" s="30"/>
      <c r="W12" s="14">
        <f t="shared" si="6"/>
        <v>379.84024400000021</v>
      </c>
      <c r="X12" s="27">
        <f t="shared" si="7"/>
        <v>655.36602000000028</v>
      </c>
      <c r="Y12" s="31"/>
      <c r="Z12" s="19">
        <f t="shared" si="8"/>
        <v>0</v>
      </c>
      <c r="AA12" s="19">
        <f t="shared" si="9"/>
        <v>655.36602000000028</v>
      </c>
      <c r="AB12">
        <f t="shared" si="10"/>
        <v>0</v>
      </c>
      <c r="AC12">
        <f t="shared" si="11"/>
        <v>0</v>
      </c>
      <c r="AD12">
        <f t="shared" si="12"/>
        <v>0</v>
      </c>
      <c r="AE12">
        <f t="shared" si="13"/>
        <v>1</v>
      </c>
      <c r="AF12">
        <f t="shared" si="14"/>
        <v>21033.62801</v>
      </c>
      <c r="AG12">
        <f t="shared" si="15"/>
        <v>4206.7256020000004</v>
      </c>
      <c r="AH12">
        <f t="shared" si="16"/>
        <v>2756.9450150148455</v>
      </c>
    </row>
    <row r="13" spans="1:34">
      <c r="A13" s="32" t="s">
        <v>19</v>
      </c>
      <c r="B13" s="33">
        <v>29</v>
      </c>
      <c r="C13" s="15"/>
      <c r="D13" s="16"/>
      <c r="E13" s="14">
        <f t="shared" si="0"/>
        <v>0</v>
      </c>
      <c r="F13" s="15"/>
      <c r="G13" s="17"/>
      <c r="H13" s="21">
        <f t="shared" si="17"/>
        <v>0</v>
      </c>
      <c r="I13" s="15"/>
      <c r="J13" s="17"/>
      <c r="K13" s="14">
        <f t="shared" si="2"/>
        <v>0</v>
      </c>
      <c r="L13" s="15"/>
      <c r="M13" s="17"/>
      <c r="N13" s="14">
        <f t="shared" si="3"/>
        <v>0</v>
      </c>
      <c r="O13" s="15"/>
      <c r="P13" s="17"/>
      <c r="Q13" s="14">
        <f t="shared" si="4"/>
        <v>0</v>
      </c>
      <c r="R13" s="15">
        <f>SUM('Plant Measurements'!P148:P155)</f>
        <v>214.94265800000005</v>
      </c>
      <c r="S13" s="17"/>
      <c r="T13" s="14">
        <f t="shared" si="5"/>
        <v>859.77063200000021</v>
      </c>
      <c r="U13" s="15">
        <f>SUM('Plant Measurements'!P156)</f>
        <v>77.741916000000032</v>
      </c>
      <c r="V13" s="17"/>
      <c r="W13" s="14">
        <f t="shared" si="6"/>
        <v>310.96766400000013</v>
      </c>
      <c r="X13" s="14">
        <f t="shared" si="7"/>
        <v>1170.7382960000004</v>
      </c>
      <c r="Y13" s="18">
        <f>AVERAGE(X13:X17)</f>
        <v>2389.799551929847</v>
      </c>
      <c r="Z13" s="19">
        <f t="shared" si="8"/>
        <v>0</v>
      </c>
      <c r="AA13" s="19">
        <f t="shared" si="9"/>
        <v>1170.7382960000004</v>
      </c>
      <c r="AB13">
        <f t="shared" si="10"/>
        <v>0</v>
      </c>
      <c r="AC13">
        <f t="shared" si="11"/>
        <v>0</v>
      </c>
      <c r="AD13">
        <f t="shared" si="12"/>
        <v>0</v>
      </c>
      <c r="AE13">
        <f t="shared" si="13"/>
        <v>1</v>
      </c>
      <c r="AF13">
        <f t="shared" si="14"/>
        <v>21033.62801</v>
      </c>
      <c r="AG13">
        <f t="shared" si="15"/>
        <v>4206.7256020000004</v>
      </c>
      <c r="AH13">
        <f t="shared" si="16"/>
        <v>4924.9747630250567</v>
      </c>
    </row>
    <row r="14" spans="1:34">
      <c r="A14" s="20" t="s">
        <v>19</v>
      </c>
      <c r="B14" s="21">
        <v>24</v>
      </c>
      <c r="C14" s="22"/>
      <c r="D14" s="23"/>
      <c r="E14" s="14">
        <f t="shared" si="0"/>
        <v>0</v>
      </c>
      <c r="F14" s="22"/>
      <c r="G14" s="24"/>
      <c r="H14" s="21">
        <f t="shared" si="17"/>
        <v>0</v>
      </c>
      <c r="I14" s="22"/>
      <c r="J14" s="24"/>
      <c r="K14" s="14">
        <f t="shared" si="2"/>
        <v>0</v>
      </c>
      <c r="L14" s="22"/>
      <c r="M14" s="24"/>
      <c r="N14" s="14">
        <f t="shared" si="3"/>
        <v>0</v>
      </c>
      <c r="O14" s="22"/>
      <c r="P14" s="24"/>
      <c r="Q14" s="14">
        <f t="shared" si="4"/>
        <v>0</v>
      </c>
      <c r="R14" s="22">
        <f>SUM('Plant Measurements'!P157:P167)</f>
        <v>157.67488500000005</v>
      </c>
      <c r="S14" s="24"/>
      <c r="T14" s="14">
        <f t="shared" si="5"/>
        <v>630.69954000000018</v>
      </c>
      <c r="U14" s="22"/>
      <c r="V14" s="24"/>
      <c r="W14" s="14">
        <f t="shared" si="6"/>
        <v>0</v>
      </c>
      <c r="X14" s="21">
        <f t="shared" si="7"/>
        <v>630.69954000000018</v>
      </c>
      <c r="Y14" s="25"/>
      <c r="Z14" s="19">
        <f t="shared" si="8"/>
        <v>0</v>
      </c>
      <c r="AA14" s="19">
        <f t="shared" si="9"/>
        <v>630.69954000000018</v>
      </c>
      <c r="AB14">
        <f t="shared" si="10"/>
        <v>0</v>
      </c>
      <c r="AC14">
        <f t="shared" si="11"/>
        <v>0</v>
      </c>
      <c r="AD14">
        <f t="shared" si="12"/>
        <v>0</v>
      </c>
      <c r="AE14">
        <f t="shared" si="13"/>
        <v>1</v>
      </c>
      <c r="AF14">
        <f t="shared" si="14"/>
        <v>21033.62801</v>
      </c>
      <c r="AG14">
        <f t="shared" si="15"/>
        <v>4206.7256020000004</v>
      </c>
      <c r="AH14">
        <f t="shared" si="16"/>
        <v>2653.1799020876242</v>
      </c>
    </row>
    <row r="15" spans="1:34">
      <c r="A15" s="20" t="s">
        <v>19</v>
      </c>
      <c r="B15" s="21">
        <v>22</v>
      </c>
      <c r="C15" s="22"/>
      <c r="D15" s="23"/>
      <c r="E15" s="14">
        <f t="shared" si="0"/>
        <v>0</v>
      </c>
      <c r="F15" s="22"/>
      <c r="G15" s="24"/>
      <c r="H15" s="21">
        <f t="shared" si="17"/>
        <v>0</v>
      </c>
      <c r="I15" s="22"/>
      <c r="J15" s="24"/>
      <c r="K15" s="14">
        <f t="shared" si="2"/>
        <v>0</v>
      </c>
      <c r="L15" s="22"/>
      <c r="M15" s="24"/>
      <c r="N15" s="14">
        <f t="shared" si="3"/>
        <v>0</v>
      </c>
      <c r="O15" s="22"/>
      <c r="P15" s="24"/>
      <c r="Q15" s="14">
        <f t="shared" si="4"/>
        <v>0</v>
      </c>
      <c r="R15" s="22"/>
      <c r="S15" s="24"/>
      <c r="T15" s="14">
        <f t="shared" si="5"/>
        <v>0</v>
      </c>
      <c r="U15" s="22">
        <f>SUM('Plant Measurements'!P168:P204)</f>
        <v>1266.6310014800001</v>
      </c>
      <c r="V15" s="24"/>
      <c r="W15" s="14">
        <f t="shared" si="6"/>
        <v>5066.5240059200005</v>
      </c>
      <c r="X15" s="21">
        <f t="shared" si="7"/>
        <v>5066.5240059200005</v>
      </c>
      <c r="Y15" s="25"/>
      <c r="Z15" s="19">
        <f t="shared" si="8"/>
        <v>0</v>
      </c>
      <c r="AA15" s="19">
        <f t="shared" si="9"/>
        <v>5066.5240059200005</v>
      </c>
      <c r="AB15">
        <f t="shared" si="10"/>
        <v>0</v>
      </c>
      <c r="AC15">
        <f t="shared" si="11"/>
        <v>0</v>
      </c>
      <c r="AD15">
        <f t="shared" si="12"/>
        <v>0</v>
      </c>
      <c r="AE15">
        <f t="shared" si="13"/>
        <v>1</v>
      </c>
      <c r="AF15">
        <f t="shared" si="14"/>
        <v>21033.62801</v>
      </c>
      <c r="AG15">
        <f t="shared" si="15"/>
        <v>4206.7256020000004</v>
      </c>
      <c r="AH15">
        <f t="shared" si="16"/>
        <v>21313.476248851268</v>
      </c>
    </row>
    <row r="16" spans="1:34">
      <c r="A16" s="20" t="s">
        <v>19</v>
      </c>
      <c r="B16" s="21">
        <v>6</v>
      </c>
      <c r="C16" s="22"/>
      <c r="D16" s="23"/>
      <c r="E16" s="14">
        <f t="shared" si="0"/>
        <v>0</v>
      </c>
      <c r="F16" s="22"/>
      <c r="G16" s="24"/>
      <c r="H16" s="21">
        <f t="shared" si="17"/>
        <v>0</v>
      </c>
      <c r="I16" s="22"/>
      <c r="J16" s="24"/>
      <c r="K16" s="14">
        <f t="shared" si="2"/>
        <v>0</v>
      </c>
      <c r="L16" s="22"/>
      <c r="M16" s="24"/>
      <c r="N16" s="14">
        <f t="shared" si="3"/>
        <v>0</v>
      </c>
      <c r="O16" s="22"/>
      <c r="P16" s="24"/>
      <c r="Q16" s="14">
        <f t="shared" si="4"/>
        <v>0</v>
      </c>
      <c r="R16" s="22">
        <f>SUM('Plant Measurements'!P205:P241)</f>
        <v>909.40335647000006</v>
      </c>
      <c r="S16" s="24"/>
      <c r="T16" s="14">
        <f t="shared" si="5"/>
        <v>3637.6134258800002</v>
      </c>
      <c r="U16" s="22"/>
      <c r="V16" s="24"/>
      <c r="W16" s="14">
        <f t="shared" si="6"/>
        <v>0</v>
      </c>
      <c r="X16" s="21">
        <f t="shared" si="7"/>
        <v>3637.6134258800002</v>
      </c>
      <c r="Y16" s="25"/>
      <c r="Z16" s="19">
        <f t="shared" si="8"/>
        <v>0</v>
      </c>
      <c r="AA16" s="19">
        <f t="shared" si="9"/>
        <v>3637.6134258800002</v>
      </c>
      <c r="AB16">
        <f t="shared" si="10"/>
        <v>0</v>
      </c>
      <c r="AC16">
        <f t="shared" si="11"/>
        <v>0</v>
      </c>
      <c r="AD16">
        <f t="shared" si="12"/>
        <v>0</v>
      </c>
      <c r="AE16">
        <f t="shared" si="13"/>
        <v>1</v>
      </c>
      <c r="AF16">
        <f t="shared" si="14"/>
        <v>21033.62801</v>
      </c>
      <c r="AG16">
        <f t="shared" si="15"/>
        <v>4206.7256020000004</v>
      </c>
      <c r="AH16">
        <f t="shared" si="16"/>
        <v>15302.441528828329</v>
      </c>
    </row>
    <row r="17" spans="1:34">
      <c r="A17" s="26" t="s">
        <v>19</v>
      </c>
      <c r="B17" s="27">
        <v>5</v>
      </c>
      <c r="C17" s="28">
        <f>SUM('Plant Measurements'!P242:P267)</f>
        <v>73.117710357002011</v>
      </c>
      <c r="D17" s="29"/>
      <c r="E17" s="14">
        <f t="shared" si="0"/>
        <v>292.47084142800804</v>
      </c>
      <c r="F17" s="28"/>
      <c r="G17" s="30"/>
      <c r="H17" s="21">
        <f t="shared" si="17"/>
        <v>0</v>
      </c>
      <c r="I17" s="28">
        <f>SUM('Plant Measurements'!P268:P390)</f>
        <v>287.73791260530641</v>
      </c>
      <c r="J17" s="30"/>
      <c r="K17" s="14">
        <f t="shared" si="2"/>
        <v>1150.9516504212256</v>
      </c>
      <c r="L17" s="28"/>
      <c r="M17" s="30"/>
      <c r="N17" s="14">
        <f t="shared" si="3"/>
        <v>0</v>
      </c>
      <c r="O17" s="28"/>
      <c r="P17" s="30"/>
      <c r="Q17" s="14">
        <f t="shared" si="4"/>
        <v>0</v>
      </c>
      <c r="R17" s="28"/>
      <c r="S17" s="30"/>
      <c r="T17" s="14">
        <f t="shared" si="5"/>
        <v>0</v>
      </c>
      <c r="U17" s="28"/>
      <c r="V17" s="30"/>
      <c r="W17" s="14">
        <f t="shared" si="6"/>
        <v>0</v>
      </c>
      <c r="X17" s="27">
        <f t="shared" si="7"/>
        <v>1443.4224918492337</v>
      </c>
      <c r="Y17" s="31"/>
      <c r="Z17" s="19">
        <f t="shared" si="8"/>
        <v>292.47084142800804</v>
      </c>
      <c r="AA17" s="19">
        <f t="shared" si="9"/>
        <v>0</v>
      </c>
      <c r="AB17">
        <f t="shared" si="10"/>
        <v>0.20262317033269342</v>
      </c>
      <c r="AC17">
        <f t="shared" si="11"/>
        <v>0</v>
      </c>
      <c r="AD17">
        <f t="shared" si="12"/>
        <v>0.79737682966730661</v>
      </c>
      <c r="AE17">
        <f t="shared" si="13"/>
        <v>0</v>
      </c>
      <c r="AF17">
        <f t="shared" si="14"/>
        <v>21033.62801</v>
      </c>
      <c r="AG17">
        <f t="shared" si="15"/>
        <v>4206.7256020000004</v>
      </c>
      <c r="AH17">
        <f t="shared" si="16"/>
        <v>6072.082350964808</v>
      </c>
    </row>
    <row r="18" spans="1:34">
      <c r="A18" s="13" t="s">
        <v>56</v>
      </c>
      <c r="B18" s="14">
        <v>47</v>
      </c>
      <c r="C18" s="15"/>
      <c r="D18" s="16"/>
      <c r="E18" s="14">
        <f t="shared" si="0"/>
        <v>0</v>
      </c>
      <c r="F18" s="15"/>
      <c r="G18" s="17"/>
      <c r="H18" s="21">
        <f t="shared" si="17"/>
        <v>0</v>
      </c>
      <c r="I18" s="15"/>
      <c r="J18" s="17"/>
      <c r="K18" s="14">
        <f t="shared" si="2"/>
        <v>0</v>
      </c>
      <c r="L18" s="15"/>
      <c r="M18" s="17"/>
      <c r="N18" s="14">
        <f t="shared" si="3"/>
        <v>0</v>
      </c>
      <c r="O18" s="15"/>
      <c r="P18" s="17"/>
      <c r="Q18" s="14">
        <f t="shared" si="4"/>
        <v>0</v>
      </c>
      <c r="R18" s="15">
        <f>SUM('Plant Measurements'!P391:P398)</f>
        <v>232.06022500000003</v>
      </c>
      <c r="S18" s="17"/>
      <c r="T18" s="14">
        <f t="shared" si="5"/>
        <v>928.24090000000012</v>
      </c>
      <c r="U18" s="15"/>
      <c r="V18" s="17"/>
      <c r="W18" s="14">
        <f t="shared" si="6"/>
        <v>0</v>
      </c>
      <c r="X18" s="14">
        <f t="shared" si="7"/>
        <v>928.24090000000012</v>
      </c>
      <c r="Y18" s="18">
        <f>AVERAGE(X18:X22)</f>
        <v>1192.3915961167741</v>
      </c>
      <c r="Z18" s="19">
        <f t="shared" si="8"/>
        <v>0</v>
      </c>
      <c r="AA18" s="19">
        <f t="shared" si="9"/>
        <v>928.24090000000012</v>
      </c>
      <c r="AB18">
        <f t="shared" si="10"/>
        <v>0</v>
      </c>
      <c r="AC18">
        <f t="shared" si="11"/>
        <v>0</v>
      </c>
      <c r="AD18">
        <f t="shared" si="12"/>
        <v>0</v>
      </c>
      <c r="AE18">
        <f t="shared" si="13"/>
        <v>1</v>
      </c>
      <c r="AF18">
        <f t="shared" si="14"/>
        <v>21033.62801</v>
      </c>
      <c r="AG18">
        <f t="shared" si="15"/>
        <v>4206.7256020000004</v>
      </c>
      <c r="AH18">
        <f t="shared" si="16"/>
        <v>3904.8547588535225</v>
      </c>
    </row>
    <row r="19" spans="1:34">
      <c r="A19" s="20" t="s">
        <v>56</v>
      </c>
      <c r="B19" s="34">
        <v>28</v>
      </c>
      <c r="C19" s="22"/>
      <c r="D19" s="23"/>
      <c r="E19" s="14">
        <f t="shared" si="0"/>
        <v>0</v>
      </c>
      <c r="F19" s="22"/>
      <c r="G19" s="24"/>
      <c r="H19" s="21">
        <f t="shared" si="17"/>
        <v>0</v>
      </c>
      <c r="I19" s="22"/>
      <c r="J19" s="24"/>
      <c r="K19" s="14">
        <f t="shared" si="2"/>
        <v>0</v>
      </c>
      <c r="L19" s="22"/>
      <c r="M19" s="24"/>
      <c r="N19" s="14">
        <f t="shared" si="3"/>
        <v>0</v>
      </c>
      <c r="O19" s="22"/>
      <c r="P19" s="24"/>
      <c r="Q19" s="14">
        <f t="shared" si="4"/>
        <v>0</v>
      </c>
      <c r="R19" s="22">
        <f>SUM('Plant Measurements'!P399:P412)</f>
        <v>872.52401700000019</v>
      </c>
      <c r="S19" s="24"/>
      <c r="T19" s="14">
        <f t="shared" si="5"/>
        <v>3490.0960680000007</v>
      </c>
      <c r="U19" s="22"/>
      <c r="V19" s="24"/>
      <c r="W19" s="14">
        <f t="shared" si="6"/>
        <v>0</v>
      </c>
      <c r="X19" s="21">
        <f t="shared" si="7"/>
        <v>3490.0960680000007</v>
      </c>
      <c r="Y19" s="25"/>
      <c r="Z19" s="19">
        <f t="shared" si="8"/>
        <v>0</v>
      </c>
      <c r="AA19" s="19">
        <f t="shared" si="9"/>
        <v>3490.0960680000007</v>
      </c>
      <c r="AB19">
        <f t="shared" si="10"/>
        <v>0</v>
      </c>
      <c r="AC19">
        <f t="shared" si="11"/>
        <v>0</v>
      </c>
      <c r="AD19">
        <f t="shared" si="12"/>
        <v>0</v>
      </c>
      <c r="AE19">
        <f t="shared" si="13"/>
        <v>1</v>
      </c>
      <c r="AF19">
        <f t="shared" si="14"/>
        <v>21033.62801</v>
      </c>
      <c r="AG19">
        <f t="shared" si="15"/>
        <v>4206.7256020000004</v>
      </c>
      <c r="AH19">
        <f t="shared" si="16"/>
        <v>14681.876482695137</v>
      </c>
    </row>
    <row r="20" spans="1:34">
      <c r="A20" s="20" t="s">
        <v>56</v>
      </c>
      <c r="B20" s="21">
        <v>13</v>
      </c>
      <c r="C20" s="22"/>
      <c r="D20" s="23"/>
      <c r="E20" s="14">
        <f t="shared" si="0"/>
        <v>0</v>
      </c>
      <c r="F20" s="22"/>
      <c r="G20" s="24"/>
      <c r="H20" s="21">
        <f t="shared" si="17"/>
        <v>0</v>
      </c>
      <c r="I20" s="22"/>
      <c r="J20" s="24"/>
      <c r="K20" s="14">
        <f t="shared" si="2"/>
        <v>0</v>
      </c>
      <c r="L20" s="22"/>
      <c r="M20" s="24"/>
      <c r="N20" s="14">
        <f t="shared" si="3"/>
        <v>0</v>
      </c>
      <c r="O20" s="22"/>
      <c r="P20" s="24"/>
      <c r="Q20" s="14">
        <f t="shared" si="4"/>
        <v>0</v>
      </c>
      <c r="R20" s="22">
        <f>SUM('Plant Measurements'!P413:P424)</f>
        <v>267.17851800000005</v>
      </c>
      <c r="S20" s="24"/>
      <c r="T20" s="14">
        <f t="shared" si="5"/>
        <v>1068.7140720000002</v>
      </c>
      <c r="U20" s="22"/>
      <c r="V20" s="24"/>
      <c r="W20" s="14">
        <f t="shared" si="6"/>
        <v>0</v>
      </c>
      <c r="X20" s="21">
        <f t="shared" si="7"/>
        <v>1068.7140720000002</v>
      </c>
      <c r="Y20" s="25"/>
      <c r="Z20" s="19">
        <f t="shared" si="8"/>
        <v>0</v>
      </c>
      <c r="AA20" s="19">
        <f t="shared" si="9"/>
        <v>1068.7140720000002</v>
      </c>
      <c r="AB20">
        <f t="shared" si="10"/>
        <v>0</v>
      </c>
      <c r="AC20">
        <f t="shared" si="11"/>
        <v>0</v>
      </c>
      <c r="AD20">
        <f t="shared" si="12"/>
        <v>0</v>
      </c>
      <c r="AE20">
        <f t="shared" si="13"/>
        <v>1</v>
      </c>
      <c r="AF20">
        <f t="shared" si="14"/>
        <v>21033.62801</v>
      </c>
      <c r="AG20">
        <f t="shared" si="15"/>
        <v>4206.7256020000004</v>
      </c>
      <c r="AH20">
        <f t="shared" si="16"/>
        <v>4495.7868479000726</v>
      </c>
    </row>
    <row r="21" spans="1:34">
      <c r="A21" s="20" t="s">
        <v>56</v>
      </c>
      <c r="B21" s="21">
        <v>6</v>
      </c>
      <c r="C21" s="22"/>
      <c r="D21" s="23"/>
      <c r="E21" s="14">
        <f t="shared" si="0"/>
        <v>0</v>
      </c>
      <c r="F21" s="22"/>
      <c r="G21" s="24"/>
      <c r="H21" s="21">
        <f t="shared" si="17"/>
        <v>0</v>
      </c>
      <c r="I21" s="22"/>
      <c r="J21" s="24"/>
      <c r="K21" s="14">
        <f t="shared" si="2"/>
        <v>0</v>
      </c>
      <c r="L21" s="22"/>
      <c r="M21" s="24"/>
      <c r="N21" s="14">
        <f t="shared" si="3"/>
        <v>0</v>
      </c>
      <c r="O21" s="22"/>
      <c r="P21" s="24"/>
      <c r="Q21" s="14">
        <f t="shared" si="4"/>
        <v>0</v>
      </c>
      <c r="R21" s="22"/>
      <c r="S21" s="24"/>
      <c r="T21" s="14">
        <f t="shared" si="5"/>
        <v>0</v>
      </c>
      <c r="U21" s="22"/>
      <c r="V21" s="24"/>
      <c r="W21" s="14">
        <f t="shared" si="6"/>
        <v>0</v>
      </c>
      <c r="X21" s="21">
        <f t="shared" si="7"/>
        <v>0</v>
      </c>
      <c r="Y21" s="25"/>
      <c r="Z21" s="19">
        <f t="shared" si="8"/>
        <v>0</v>
      </c>
      <c r="AA21" s="19">
        <f t="shared" si="9"/>
        <v>0</v>
      </c>
      <c r="AB21" t="str">
        <f t="shared" si="10"/>
        <v xml:space="preserve"> </v>
      </c>
      <c r="AC21" t="str">
        <f t="shared" si="11"/>
        <v xml:space="preserve"> </v>
      </c>
      <c r="AD21" t="str">
        <f t="shared" si="12"/>
        <v xml:space="preserve"> </v>
      </c>
      <c r="AE21" t="str">
        <f t="shared" si="13"/>
        <v xml:space="preserve"> </v>
      </c>
      <c r="AF21">
        <f t="shared" si="14"/>
        <v>21033.62801</v>
      </c>
      <c r="AG21">
        <f t="shared" si="15"/>
        <v>4206.7256020000004</v>
      </c>
      <c r="AH21">
        <f t="shared" si="16"/>
        <v>0</v>
      </c>
    </row>
    <row r="22" spans="1:34">
      <c r="A22" s="26" t="s">
        <v>56</v>
      </c>
      <c r="B22" s="21">
        <v>2</v>
      </c>
      <c r="C22" s="28"/>
      <c r="D22" s="29"/>
      <c r="E22" s="14">
        <f t="shared" si="0"/>
        <v>0</v>
      </c>
      <c r="F22" s="28"/>
      <c r="G22" s="30"/>
      <c r="H22" s="21">
        <f t="shared" si="17"/>
        <v>0</v>
      </c>
      <c r="I22" s="28">
        <f>SUM('Plant Measurements'!P426:P471)</f>
        <v>118.72673514596741</v>
      </c>
      <c r="J22" s="30"/>
      <c r="K22" s="14">
        <f t="shared" si="2"/>
        <v>474.90694058386964</v>
      </c>
      <c r="L22" s="28"/>
      <c r="M22" s="30"/>
      <c r="N22" s="14">
        <f t="shared" si="3"/>
        <v>0</v>
      </c>
      <c r="O22" s="28"/>
      <c r="P22" s="30"/>
      <c r="Q22" s="14">
        <f t="shared" si="4"/>
        <v>0</v>
      </c>
      <c r="R22" s="28"/>
      <c r="S22" s="30"/>
      <c r="T22" s="14">
        <f t="shared" si="5"/>
        <v>0</v>
      </c>
      <c r="U22" s="28"/>
      <c r="V22" s="30"/>
      <c r="W22" s="14">
        <f t="shared" si="6"/>
        <v>0</v>
      </c>
      <c r="X22" s="27">
        <f t="shared" si="7"/>
        <v>474.90694058386964</v>
      </c>
      <c r="Y22" s="31"/>
      <c r="Z22" s="19">
        <f t="shared" si="8"/>
        <v>0</v>
      </c>
      <c r="AA22" s="19">
        <f t="shared" si="9"/>
        <v>0</v>
      </c>
      <c r="AB22">
        <f t="shared" si="10"/>
        <v>0</v>
      </c>
      <c r="AC22">
        <f t="shared" si="11"/>
        <v>0</v>
      </c>
      <c r="AD22">
        <f t="shared" si="12"/>
        <v>1</v>
      </c>
      <c r="AE22">
        <f t="shared" si="13"/>
        <v>0</v>
      </c>
      <c r="AF22">
        <f t="shared" si="14"/>
        <v>21033.62801</v>
      </c>
      <c r="AG22">
        <f t="shared" si="15"/>
        <v>4206.7256020000004</v>
      </c>
      <c r="AH22">
        <f t="shared" si="16"/>
        <v>1997.8031855216573</v>
      </c>
    </row>
    <row r="23" spans="1:34">
      <c r="A23" s="13" t="s">
        <v>20</v>
      </c>
      <c r="B23" s="14">
        <v>39</v>
      </c>
      <c r="C23" s="15"/>
      <c r="D23" s="16"/>
      <c r="E23" s="14">
        <f t="shared" si="0"/>
        <v>0</v>
      </c>
      <c r="F23" s="15"/>
      <c r="G23" s="17"/>
      <c r="H23" s="21">
        <f t="shared" si="17"/>
        <v>0</v>
      </c>
      <c r="I23" s="15"/>
      <c r="J23" s="17"/>
      <c r="K23" s="14">
        <f t="shared" si="2"/>
        <v>0</v>
      </c>
      <c r="L23" s="15"/>
      <c r="M23" s="17"/>
      <c r="N23" s="14">
        <f t="shared" si="3"/>
        <v>0</v>
      </c>
      <c r="O23" s="15"/>
      <c r="P23" s="17"/>
      <c r="Q23" s="14">
        <f t="shared" si="4"/>
        <v>0</v>
      </c>
      <c r="R23" s="15">
        <f>SUM('Plant Measurements'!P472:P481)</f>
        <v>201.64919100000006</v>
      </c>
      <c r="S23" s="17"/>
      <c r="T23" s="14">
        <f t="shared" si="5"/>
        <v>806.59676400000023</v>
      </c>
      <c r="U23" s="15"/>
      <c r="V23" s="17"/>
      <c r="W23" s="14">
        <f t="shared" si="6"/>
        <v>0</v>
      </c>
      <c r="X23" s="14">
        <f t="shared" si="7"/>
        <v>806.59676400000023</v>
      </c>
      <c r="Y23" s="18">
        <f>AVERAGE(X23:X27)</f>
        <v>852.93841409417041</v>
      </c>
      <c r="Z23" s="19">
        <f t="shared" si="8"/>
        <v>0</v>
      </c>
      <c r="AA23" s="19">
        <f t="shared" si="9"/>
        <v>806.59676400000023</v>
      </c>
      <c r="AB23">
        <f t="shared" si="10"/>
        <v>0</v>
      </c>
      <c r="AC23">
        <f t="shared" si="11"/>
        <v>0</v>
      </c>
      <c r="AD23">
        <f t="shared" si="12"/>
        <v>0</v>
      </c>
      <c r="AE23">
        <f t="shared" si="13"/>
        <v>1</v>
      </c>
      <c r="AF23">
        <f t="shared" si="14"/>
        <v>21033.62801</v>
      </c>
      <c r="AG23">
        <f t="shared" si="15"/>
        <v>4206.7256020000004</v>
      </c>
      <c r="AH23">
        <f t="shared" si="16"/>
        <v>3393.1312576091532</v>
      </c>
    </row>
    <row r="24" spans="1:34">
      <c r="A24" s="20" t="s">
        <v>20</v>
      </c>
      <c r="B24" s="21">
        <v>24</v>
      </c>
      <c r="C24" s="22"/>
      <c r="D24" s="23"/>
      <c r="E24" s="14">
        <f t="shared" si="0"/>
        <v>0</v>
      </c>
      <c r="F24" s="22"/>
      <c r="G24" s="24"/>
      <c r="H24" s="21">
        <f t="shared" si="17"/>
        <v>0</v>
      </c>
      <c r="I24" s="22"/>
      <c r="J24" s="24"/>
      <c r="K24" s="14">
        <f t="shared" si="2"/>
        <v>0</v>
      </c>
      <c r="L24" s="22"/>
      <c r="M24" s="24"/>
      <c r="N24" s="14">
        <f t="shared" si="3"/>
        <v>0</v>
      </c>
      <c r="O24" s="22"/>
      <c r="P24" s="24"/>
      <c r="Q24" s="14">
        <f t="shared" si="4"/>
        <v>0</v>
      </c>
      <c r="R24" s="22">
        <f>SUM('Plant Measurements'!P482:P487)</f>
        <v>319.20906200000002</v>
      </c>
      <c r="S24" s="24"/>
      <c r="T24" s="14">
        <f t="shared" si="5"/>
        <v>1276.8362480000001</v>
      </c>
      <c r="U24" s="22"/>
      <c r="V24" s="24"/>
      <c r="W24" s="14">
        <f t="shared" si="6"/>
        <v>0</v>
      </c>
      <c r="X24" s="21">
        <f t="shared" si="7"/>
        <v>1276.8362480000001</v>
      </c>
      <c r="Y24" s="25"/>
      <c r="Z24" s="19">
        <f t="shared" si="8"/>
        <v>0</v>
      </c>
      <c r="AA24" s="19">
        <f t="shared" si="9"/>
        <v>1276.8362480000001</v>
      </c>
      <c r="AB24">
        <f t="shared" si="10"/>
        <v>0</v>
      </c>
      <c r="AC24">
        <f t="shared" si="11"/>
        <v>0</v>
      </c>
      <c r="AD24">
        <f t="shared" si="12"/>
        <v>0</v>
      </c>
      <c r="AE24">
        <f t="shared" si="13"/>
        <v>1</v>
      </c>
      <c r="AF24">
        <f t="shared" si="14"/>
        <v>21033.62801</v>
      </c>
      <c r="AG24">
        <f t="shared" si="15"/>
        <v>4206.7256020000004</v>
      </c>
      <c r="AH24">
        <f t="shared" si="16"/>
        <v>5371.2997340232214</v>
      </c>
    </row>
    <row r="25" spans="1:34">
      <c r="A25" s="20" t="s">
        <v>20</v>
      </c>
      <c r="B25" s="21">
        <v>16</v>
      </c>
      <c r="C25" s="22"/>
      <c r="D25" s="23"/>
      <c r="E25" s="14">
        <f t="shared" si="0"/>
        <v>0</v>
      </c>
      <c r="F25" s="22"/>
      <c r="G25" s="24"/>
      <c r="H25" s="21">
        <f t="shared" si="17"/>
        <v>0</v>
      </c>
      <c r="I25" s="22"/>
      <c r="J25" s="24"/>
      <c r="K25" s="14">
        <f t="shared" si="2"/>
        <v>0</v>
      </c>
      <c r="L25" s="22"/>
      <c r="M25" s="24"/>
      <c r="N25" s="14">
        <f t="shared" si="3"/>
        <v>0</v>
      </c>
      <c r="O25" s="22"/>
      <c r="P25" s="24"/>
      <c r="Q25" s="14">
        <f t="shared" si="4"/>
        <v>0</v>
      </c>
      <c r="R25" s="22">
        <f>SUM('Plant Measurements'!P488:P498)</f>
        <v>178.00979900000007</v>
      </c>
      <c r="S25" s="24"/>
      <c r="T25" s="14">
        <f t="shared" si="5"/>
        <v>712.03919600000029</v>
      </c>
      <c r="U25" s="22"/>
      <c r="V25" s="24"/>
      <c r="W25" s="14">
        <f t="shared" si="6"/>
        <v>0</v>
      </c>
      <c r="X25" s="21">
        <f t="shared" si="7"/>
        <v>712.03919600000029</v>
      </c>
      <c r="Y25" s="25"/>
      <c r="Z25" s="19">
        <f t="shared" si="8"/>
        <v>0</v>
      </c>
      <c r="AA25" s="19">
        <f t="shared" si="9"/>
        <v>712.03919600000029</v>
      </c>
      <c r="AB25">
        <f t="shared" si="10"/>
        <v>0</v>
      </c>
      <c r="AC25">
        <f t="shared" si="11"/>
        <v>0</v>
      </c>
      <c r="AD25">
        <f t="shared" si="12"/>
        <v>0</v>
      </c>
      <c r="AE25">
        <f t="shared" si="13"/>
        <v>1</v>
      </c>
      <c r="AF25">
        <f t="shared" si="14"/>
        <v>21033.62801</v>
      </c>
      <c r="AG25">
        <f t="shared" si="15"/>
        <v>4206.7256020000004</v>
      </c>
      <c r="AH25">
        <f t="shared" si="16"/>
        <v>2995.3535154406973</v>
      </c>
    </row>
    <row r="26" spans="1:34">
      <c r="A26" s="20" t="s">
        <v>20</v>
      </c>
      <c r="B26" s="21">
        <v>15</v>
      </c>
      <c r="C26" s="22">
        <f>SUM('Plant Measurements'!P499:P532)</f>
        <v>316.08772220705958</v>
      </c>
      <c r="D26" s="23"/>
      <c r="E26" s="14">
        <f t="shared" si="0"/>
        <v>1264.3508888282383</v>
      </c>
      <c r="F26" s="22"/>
      <c r="G26" s="24"/>
      <c r="H26" s="21">
        <f t="shared" si="17"/>
        <v>0</v>
      </c>
      <c r="I26" s="22"/>
      <c r="J26" s="24"/>
      <c r="K26" s="14">
        <f t="shared" si="2"/>
        <v>0</v>
      </c>
      <c r="L26" s="22"/>
      <c r="M26" s="24"/>
      <c r="N26" s="14">
        <f t="shared" si="3"/>
        <v>0</v>
      </c>
      <c r="O26" s="22"/>
      <c r="P26" s="24"/>
      <c r="Q26" s="14">
        <f t="shared" si="4"/>
        <v>0</v>
      </c>
      <c r="R26" s="22">
        <f>SUM('Plant Measurements'!P533)</f>
        <v>0</v>
      </c>
      <c r="S26" s="24"/>
      <c r="T26" s="14">
        <f t="shared" si="5"/>
        <v>0</v>
      </c>
      <c r="U26" s="22"/>
      <c r="V26" s="24"/>
      <c r="W26" s="14">
        <f t="shared" si="6"/>
        <v>0</v>
      </c>
      <c r="X26" s="21">
        <f t="shared" si="7"/>
        <v>1264.3508888282383</v>
      </c>
      <c r="Y26" s="25"/>
      <c r="Z26" s="19">
        <f t="shared" si="8"/>
        <v>1264.3508888282383</v>
      </c>
      <c r="AA26" s="19">
        <f t="shared" si="9"/>
        <v>0</v>
      </c>
      <c r="AB26">
        <f t="shared" si="10"/>
        <v>1</v>
      </c>
      <c r="AC26">
        <f t="shared" si="11"/>
        <v>0</v>
      </c>
      <c r="AD26">
        <f t="shared" si="12"/>
        <v>0</v>
      </c>
      <c r="AE26">
        <f t="shared" si="13"/>
        <v>0</v>
      </c>
      <c r="AF26">
        <f t="shared" si="14"/>
        <v>21033.62801</v>
      </c>
      <c r="AG26">
        <f t="shared" si="15"/>
        <v>4206.7256020000004</v>
      </c>
      <c r="AH26">
        <f t="shared" si="16"/>
        <v>5318.7772539452062</v>
      </c>
    </row>
    <row r="27" spans="1:34">
      <c r="A27" s="26" t="s">
        <v>20</v>
      </c>
      <c r="B27" s="27">
        <v>14</v>
      </c>
      <c r="C27" s="28">
        <f>SUM('Plant Measurements'!P534:P540)</f>
        <v>51.21724341065331</v>
      </c>
      <c r="D27" s="29"/>
      <c r="E27" s="14">
        <f t="shared" si="0"/>
        <v>204.86897364261324</v>
      </c>
      <c r="F27" s="28"/>
      <c r="G27" s="30"/>
      <c r="H27" s="21">
        <f t="shared" si="17"/>
        <v>0</v>
      </c>
      <c r="I27" s="28"/>
      <c r="J27" s="30"/>
      <c r="K27" s="14">
        <f t="shared" si="2"/>
        <v>0</v>
      </c>
      <c r="L27" s="28"/>
      <c r="M27" s="30"/>
      <c r="N27" s="14">
        <f t="shared" si="3"/>
        <v>0</v>
      </c>
      <c r="O27" s="28"/>
      <c r="P27" s="30"/>
      <c r="Q27" s="14">
        <f t="shared" si="4"/>
        <v>0</v>
      </c>
      <c r="R27" s="28"/>
      <c r="S27" s="30"/>
      <c r="T27" s="14">
        <f t="shared" si="5"/>
        <v>0</v>
      </c>
      <c r="U27" s="28"/>
      <c r="V27" s="30"/>
      <c r="W27" s="14">
        <f t="shared" si="6"/>
        <v>0</v>
      </c>
      <c r="X27" s="27">
        <f t="shared" si="7"/>
        <v>204.86897364261324</v>
      </c>
      <c r="Y27" s="31"/>
      <c r="Z27" s="19">
        <f t="shared" si="8"/>
        <v>204.86897364261324</v>
      </c>
      <c r="AA27" s="19">
        <f t="shared" si="9"/>
        <v>0</v>
      </c>
      <c r="AB27">
        <f t="shared" si="10"/>
        <v>1</v>
      </c>
      <c r="AC27">
        <f t="shared" si="11"/>
        <v>0</v>
      </c>
      <c r="AD27">
        <f t="shared" si="12"/>
        <v>0</v>
      </c>
      <c r="AE27">
        <f t="shared" si="13"/>
        <v>0</v>
      </c>
      <c r="AF27">
        <f t="shared" si="14"/>
        <v>21033.62801</v>
      </c>
      <c r="AG27">
        <f t="shared" si="15"/>
        <v>4206.7256020000004</v>
      </c>
      <c r="AH27">
        <f t="shared" si="16"/>
        <v>861.82755647784438</v>
      </c>
    </row>
    <row r="28" spans="1:34">
      <c r="A28" s="13" t="s">
        <v>22</v>
      </c>
      <c r="B28" s="33">
        <v>43</v>
      </c>
      <c r="C28" s="15"/>
      <c r="D28" s="16"/>
      <c r="E28" s="14">
        <f t="shared" si="0"/>
        <v>0</v>
      </c>
      <c r="F28" s="15"/>
      <c r="G28" s="17"/>
      <c r="H28" s="21">
        <f t="shared" si="17"/>
        <v>0</v>
      </c>
      <c r="I28" s="15"/>
      <c r="J28" s="17"/>
      <c r="K28" s="14">
        <f t="shared" si="2"/>
        <v>0</v>
      </c>
      <c r="L28" s="15"/>
      <c r="M28" s="17"/>
      <c r="N28" s="14">
        <f t="shared" si="3"/>
        <v>0</v>
      </c>
      <c r="O28" s="15"/>
      <c r="P28" s="17"/>
      <c r="Q28" s="14">
        <f t="shared" si="4"/>
        <v>0</v>
      </c>
      <c r="R28" s="15">
        <f>SUM('Plant Measurements'!P552:P555)</f>
        <v>114.92903100000005</v>
      </c>
      <c r="S28" s="17"/>
      <c r="T28" s="14">
        <f t="shared" si="5"/>
        <v>459.71612400000021</v>
      </c>
      <c r="U28" s="15">
        <f>SUM('Plant Measurements'!P546:P551)</f>
        <v>194.62810000000007</v>
      </c>
      <c r="V28" s="17"/>
      <c r="W28" s="14">
        <f t="shared" si="6"/>
        <v>778.5124000000003</v>
      </c>
      <c r="X28" s="14">
        <f t="shared" si="7"/>
        <v>1238.2285240000006</v>
      </c>
      <c r="Y28" s="18">
        <f>AVERAGE(X28:X32)</f>
        <v>1371.8609883915512</v>
      </c>
      <c r="Z28" s="19">
        <f t="shared" si="8"/>
        <v>0</v>
      </c>
      <c r="AA28" s="19">
        <f t="shared" si="9"/>
        <v>1238.2285240000006</v>
      </c>
      <c r="AB28">
        <f t="shared" si="10"/>
        <v>0</v>
      </c>
      <c r="AC28">
        <f t="shared" si="11"/>
        <v>0</v>
      </c>
      <c r="AD28">
        <f t="shared" si="12"/>
        <v>0</v>
      </c>
      <c r="AE28">
        <f t="shared" si="13"/>
        <v>1</v>
      </c>
      <c r="AF28">
        <f t="shared" si="14"/>
        <v>21033.62801</v>
      </c>
      <c r="AG28">
        <f t="shared" si="15"/>
        <v>4206.7256020000004</v>
      </c>
      <c r="AH28">
        <f t="shared" si="16"/>
        <v>5208.8876330374742</v>
      </c>
    </row>
    <row r="29" spans="1:34">
      <c r="A29" s="20" t="s">
        <v>22</v>
      </c>
      <c r="B29" s="21">
        <v>34</v>
      </c>
      <c r="C29" s="22"/>
      <c r="D29" s="23"/>
      <c r="E29" s="14">
        <f t="shared" si="0"/>
        <v>0</v>
      </c>
      <c r="F29" s="22"/>
      <c r="G29" s="24"/>
      <c r="H29" s="21">
        <f t="shared" si="17"/>
        <v>0</v>
      </c>
      <c r="I29" s="22"/>
      <c r="J29" s="24"/>
      <c r="K29" s="14">
        <f t="shared" si="2"/>
        <v>0</v>
      </c>
      <c r="L29" s="22"/>
      <c r="M29" s="24"/>
      <c r="N29" s="14">
        <f t="shared" si="3"/>
        <v>0</v>
      </c>
      <c r="O29" s="22"/>
      <c r="P29" s="24"/>
      <c r="Q29" s="14">
        <f t="shared" si="4"/>
        <v>0</v>
      </c>
      <c r="R29" s="22">
        <f>SUM('Plant Measurements'!P560:P566)</f>
        <v>88.246509000000032</v>
      </c>
      <c r="S29" s="24"/>
      <c r="T29" s="14">
        <f t="shared" si="5"/>
        <v>352.98603600000013</v>
      </c>
      <c r="U29" s="22">
        <f>SUM('Plant Measurements'!P556:P559)</f>
        <v>166.12764000000004</v>
      </c>
      <c r="V29" s="24"/>
      <c r="W29" s="14">
        <f t="shared" si="6"/>
        <v>664.51056000000017</v>
      </c>
      <c r="X29" s="21">
        <f t="shared" si="7"/>
        <v>1017.4965960000003</v>
      </c>
      <c r="Y29" s="25"/>
      <c r="Z29" s="19">
        <f t="shared" si="8"/>
        <v>0</v>
      </c>
      <c r="AA29" s="19">
        <f t="shared" si="9"/>
        <v>1017.4965960000003</v>
      </c>
      <c r="AB29">
        <f t="shared" si="10"/>
        <v>0</v>
      </c>
      <c r="AC29">
        <f t="shared" si="11"/>
        <v>0</v>
      </c>
      <c r="AD29">
        <f t="shared" si="12"/>
        <v>0</v>
      </c>
      <c r="AE29">
        <f t="shared" si="13"/>
        <v>1</v>
      </c>
      <c r="AF29">
        <f t="shared" si="14"/>
        <v>21033.62801</v>
      </c>
      <c r="AG29">
        <f t="shared" si="15"/>
        <v>4206.7256020000004</v>
      </c>
      <c r="AH29">
        <f t="shared" si="16"/>
        <v>4280.3289803410526</v>
      </c>
    </row>
    <row r="30" spans="1:34">
      <c r="A30" s="20" t="s">
        <v>22</v>
      </c>
      <c r="B30" s="34">
        <v>32</v>
      </c>
      <c r="C30" s="22"/>
      <c r="D30" s="23"/>
      <c r="E30" s="14">
        <f t="shared" si="0"/>
        <v>0</v>
      </c>
      <c r="F30" s="22"/>
      <c r="G30" s="24"/>
      <c r="H30" s="21">
        <f t="shared" si="17"/>
        <v>0</v>
      </c>
      <c r="I30" s="22"/>
      <c r="J30" s="24"/>
      <c r="K30" s="14">
        <f t="shared" si="2"/>
        <v>0</v>
      </c>
      <c r="L30" s="22"/>
      <c r="M30" s="24"/>
      <c r="N30" s="14">
        <f t="shared" si="3"/>
        <v>0</v>
      </c>
      <c r="O30" s="22"/>
      <c r="P30" s="24"/>
      <c r="Q30" s="14">
        <f t="shared" si="4"/>
        <v>0</v>
      </c>
      <c r="R30" s="22">
        <f>SUM('Plant Measurements'!P576:P588)</f>
        <v>189.43913900000004</v>
      </c>
      <c r="S30" s="24"/>
      <c r="T30" s="14">
        <f t="shared" si="5"/>
        <v>757.75655600000016</v>
      </c>
      <c r="U30" s="22">
        <f>SUM('Plant Measurements'!P567:P575)</f>
        <v>166.66810500000008</v>
      </c>
      <c r="V30" s="24"/>
      <c r="W30" s="14">
        <f t="shared" si="6"/>
        <v>666.67242000000033</v>
      </c>
      <c r="X30" s="21">
        <f t="shared" si="7"/>
        <v>1424.4289760000006</v>
      </c>
      <c r="Y30" s="25"/>
      <c r="Z30" s="19">
        <f t="shared" si="8"/>
        <v>0</v>
      </c>
      <c r="AA30" s="19">
        <f t="shared" si="9"/>
        <v>1424.4289760000006</v>
      </c>
      <c r="AB30">
        <f t="shared" si="10"/>
        <v>0</v>
      </c>
      <c r="AC30">
        <f t="shared" si="11"/>
        <v>0</v>
      </c>
      <c r="AD30">
        <f t="shared" si="12"/>
        <v>0</v>
      </c>
      <c r="AE30">
        <f t="shared" si="13"/>
        <v>1</v>
      </c>
      <c r="AF30">
        <f t="shared" si="14"/>
        <v>21033.62801</v>
      </c>
      <c r="AG30">
        <f t="shared" si="15"/>
        <v>4206.7256020000004</v>
      </c>
      <c r="AH30">
        <f t="shared" si="16"/>
        <v>5992.1818415698463</v>
      </c>
    </row>
    <row r="31" spans="1:34">
      <c r="A31" s="20" t="s">
        <v>22</v>
      </c>
      <c r="B31" s="21">
        <v>22</v>
      </c>
      <c r="C31" s="22">
        <f>SUM('Plant Measurements'!P589:P658)</f>
        <v>550.58466848943874</v>
      </c>
      <c r="D31" s="23"/>
      <c r="E31" s="14">
        <f t="shared" si="0"/>
        <v>2202.338673957755</v>
      </c>
      <c r="F31" s="22"/>
      <c r="G31" s="24"/>
      <c r="H31" s="21">
        <f t="shared" si="17"/>
        <v>0</v>
      </c>
      <c r="I31" s="22"/>
      <c r="J31" s="24"/>
      <c r="K31" s="14">
        <f t="shared" si="2"/>
        <v>0</v>
      </c>
      <c r="L31" s="22"/>
      <c r="M31" s="24"/>
      <c r="N31" s="14">
        <f t="shared" si="3"/>
        <v>0</v>
      </c>
      <c r="O31" s="22"/>
      <c r="P31" s="24"/>
      <c r="Q31" s="14">
        <f t="shared" si="4"/>
        <v>0</v>
      </c>
      <c r="R31" s="22"/>
      <c r="S31" s="24"/>
      <c r="T31" s="14">
        <f t="shared" si="5"/>
        <v>0</v>
      </c>
      <c r="U31" s="22"/>
      <c r="V31" s="24"/>
      <c r="W31" s="14">
        <f t="shared" si="6"/>
        <v>0</v>
      </c>
      <c r="X31" s="21">
        <f t="shared" si="7"/>
        <v>2202.338673957755</v>
      </c>
      <c r="Y31" s="25"/>
      <c r="Z31" s="19">
        <f t="shared" si="8"/>
        <v>2202.338673957755</v>
      </c>
      <c r="AA31" s="19">
        <f t="shared" si="9"/>
        <v>0</v>
      </c>
      <c r="AB31">
        <f t="shared" si="10"/>
        <v>1</v>
      </c>
      <c r="AC31">
        <f t="shared" si="11"/>
        <v>0</v>
      </c>
      <c r="AD31">
        <f t="shared" si="12"/>
        <v>0</v>
      </c>
      <c r="AE31">
        <f t="shared" si="13"/>
        <v>0</v>
      </c>
      <c r="AF31">
        <f t="shared" si="14"/>
        <v>21033.62801</v>
      </c>
      <c r="AG31">
        <f t="shared" si="15"/>
        <v>4206.7256020000004</v>
      </c>
      <c r="AH31">
        <f t="shared" si="16"/>
        <v>9264.6344840128204</v>
      </c>
    </row>
    <row r="32" spans="1:34">
      <c r="A32" s="26" t="s">
        <v>22</v>
      </c>
      <c r="B32" s="21">
        <v>20</v>
      </c>
      <c r="C32" s="28"/>
      <c r="D32" s="29"/>
      <c r="E32" s="14">
        <f t="shared" si="0"/>
        <v>0</v>
      </c>
      <c r="F32" s="28"/>
      <c r="G32" s="30"/>
      <c r="H32" s="21">
        <f t="shared" si="17"/>
        <v>0</v>
      </c>
      <c r="I32" s="28"/>
      <c r="J32" s="30"/>
      <c r="K32" s="14">
        <f t="shared" si="2"/>
        <v>0</v>
      </c>
      <c r="L32" s="28"/>
      <c r="M32" s="30"/>
      <c r="N32" s="14">
        <f t="shared" si="3"/>
        <v>0</v>
      </c>
      <c r="O32" s="28"/>
      <c r="P32" s="30"/>
      <c r="Q32" s="14">
        <f t="shared" si="4"/>
        <v>0</v>
      </c>
      <c r="R32" s="28">
        <f>SUM('Plant Measurements'!P659:P668)</f>
        <v>244.20304300000009</v>
      </c>
      <c r="S32" s="30"/>
      <c r="T32" s="14">
        <f t="shared" si="5"/>
        <v>976.81217200000037</v>
      </c>
      <c r="U32" s="28"/>
      <c r="V32" s="30"/>
      <c r="W32" s="14">
        <f t="shared" si="6"/>
        <v>0</v>
      </c>
      <c r="X32" s="27">
        <f t="shared" si="7"/>
        <v>976.81217200000037</v>
      </c>
      <c r="Y32" s="31"/>
      <c r="Z32" s="19">
        <f t="shared" si="8"/>
        <v>0</v>
      </c>
      <c r="AA32" s="19">
        <f t="shared" si="9"/>
        <v>976.81217200000037</v>
      </c>
      <c r="AB32">
        <f t="shared" si="10"/>
        <v>0</v>
      </c>
      <c r="AC32">
        <f t="shared" si="11"/>
        <v>0</v>
      </c>
      <c r="AD32">
        <f t="shared" si="12"/>
        <v>0</v>
      </c>
      <c r="AE32">
        <f t="shared" si="13"/>
        <v>1</v>
      </c>
      <c r="AF32">
        <f t="shared" si="14"/>
        <v>21033.62801</v>
      </c>
      <c r="AG32">
        <f t="shared" si="15"/>
        <v>4206.7256020000004</v>
      </c>
      <c r="AH32">
        <f t="shared" si="16"/>
        <v>4109.18077229763</v>
      </c>
    </row>
    <row r="33" spans="1:34">
      <c r="A33" s="13" t="s">
        <v>23</v>
      </c>
      <c r="B33" s="14">
        <v>37</v>
      </c>
      <c r="C33" s="15"/>
      <c r="D33" s="35"/>
      <c r="E33" s="14">
        <f t="shared" si="0"/>
        <v>0</v>
      </c>
      <c r="F33" s="15"/>
      <c r="G33" s="17"/>
      <c r="H33" s="21">
        <f t="shared" si="17"/>
        <v>0</v>
      </c>
      <c r="I33" s="15"/>
      <c r="J33" s="17"/>
      <c r="K33" s="14">
        <f t="shared" si="2"/>
        <v>0</v>
      </c>
      <c r="L33" s="15"/>
      <c r="M33" s="17"/>
      <c r="N33" s="14">
        <f t="shared" si="3"/>
        <v>0</v>
      </c>
      <c r="O33" s="15"/>
      <c r="P33" s="17"/>
      <c r="Q33" s="14">
        <f t="shared" si="4"/>
        <v>0</v>
      </c>
      <c r="R33" s="15">
        <f>SUM('Plant Measurements'!P669:P679)</f>
        <v>598.70715400000017</v>
      </c>
      <c r="S33" s="17"/>
      <c r="T33" s="14">
        <f t="shared" si="5"/>
        <v>2394.8286160000007</v>
      </c>
      <c r="U33" s="15"/>
      <c r="V33" s="17"/>
      <c r="W33" s="14">
        <f t="shared" si="6"/>
        <v>0</v>
      </c>
      <c r="X33" s="14">
        <f t="shared" si="7"/>
        <v>2394.8286160000007</v>
      </c>
      <c r="Y33" s="18">
        <f>AVERAGE(X33:X37)</f>
        <v>2620.8458530573216</v>
      </c>
      <c r="Z33" s="19">
        <f t="shared" si="8"/>
        <v>0</v>
      </c>
      <c r="AA33" s="19">
        <f t="shared" si="9"/>
        <v>2394.8286160000007</v>
      </c>
      <c r="AB33">
        <f t="shared" si="10"/>
        <v>0</v>
      </c>
      <c r="AC33">
        <f t="shared" si="11"/>
        <v>0</v>
      </c>
      <c r="AD33">
        <f t="shared" si="12"/>
        <v>0</v>
      </c>
      <c r="AE33">
        <f t="shared" si="13"/>
        <v>1</v>
      </c>
      <c r="AF33">
        <f t="shared" si="14"/>
        <v>21033.62801</v>
      </c>
      <c r="AG33">
        <f t="shared" si="15"/>
        <v>4206.7256020000004</v>
      </c>
      <c r="AH33">
        <f t="shared" si="16"/>
        <v>10074.386851329431</v>
      </c>
    </row>
    <row r="34" spans="1:34">
      <c r="A34" s="20" t="s">
        <v>23</v>
      </c>
      <c r="B34" s="21">
        <v>32</v>
      </c>
      <c r="C34" s="22"/>
      <c r="D34" s="23"/>
      <c r="E34" s="14">
        <f t="shared" si="0"/>
        <v>0</v>
      </c>
      <c r="F34" s="22"/>
      <c r="G34" s="24"/>
      <c r="H34" s="21">
        <f t="shared" si="17"/>
        <v>0</v>
      </c>
      <c r="I34" s="22"/>
      <c r="J34" s="24"/>
      <c r="K34" s="14">
        <f t="shared" si="2"/>
        <v>0</v>
      </c>
      <c r="L34" s="22"/>
      <c r="M34" s="24"/>
      <c r="N34" s="14">
        <f t="shared" si="3"/>
        <v>0</v>
      </c>
      <c r="O34" s="22"/>
      <c r="P34" s="24"/>
      <c r="Q34" s="14">
        <f t="shared" si="4"/>
        <v>0</v>
      </c>
      <c r="R34" s="22">
        <f>SUM('Plant Measurements'!P680:P699)</f>
        <v>926.14725088</v>
      </c>
      <c r="S34" s="24"/>
      <c r="T34" s="14">
        <f t="shared" si="5"/>
        <v>3704.58900352</v>
      </c>
      <c r="U34" s="22"/>
      <c r="V34" s="24"/>
      <c r="W34" s="14">
        <f t="shared" si="6"/>
        <v>0</v>
      </c>
      <c r="X34" s="21">
        <f t="shared" si="7"/>
        <v>3704.58900352</v>
      </c>
      <c r="Y34" s="25"/>
      <c r="Z34" s="19">
        <f t="shared" si="8"/>
        <v>0</v>
      </c>
      <c r="AA34" s="19">
        <f t="shared" si="9"/>
        <v>3704.58900352</v>
      </c>
      <c r="AB34">
        <f t="shared" si="10"/>
        <v>0</v>
      </c>
      <c r="AC34">
        <f t="shared" si="11"/>
        <v>0</v>
      </c>
      <c r="AD34">
        <f t="shared" si="12"/>
        <v>0</v>
      </c>
      <c r="AE34">
        <f t="shared" si="13"/>
        <v>1</v>
      </c>
      <c r="AF34">
        <f t="shared" si="14"/>
        <v>21033.62801</v>
      </c>
      <c r="AG34">
        <f t="shared" si="15"/>
        <v>4206.7256020000004</v>
      </c>
      <c r="AH34">
        <f t="shared" si="16"/>
        <v>15584.189405995254</v>
      </c>
    </row>
    <row r="35" spans="1:34">
      <c r="A35" s="20" t="s">
        <v>23</v>
      </c>
      <c r="B35" s="21">
        <v>28</v>
      </c>
      <c r="C35" s="22"/>
      <c r="D35" s="23"/>
      <c r="E35" s="14">
        <f t="shared" si="0"/>
        <v>0</v>
      </c>
      <c r="F35" s="22"/>
      <c r="G35" s="24"/>
      <c r="H35" s="21">
        <f t="shared" si="17"/>
        <v>0</v>
      </c>
      <c r="I35" s="22"/>
      <c r="J35" s="24"/>
      <c r="K35" s="14">
        <f t="shared" si="2"/>
        <v>0</v>
      </c>
      <c r="L35" s="22"/>
      <c r="M35" s="24"/>
      <c r="N35" s="14">
        <f t="shared" si="3"/>
        <v>0</v>
      </c>
      <c r="O35" s="22"/>
      <c r="P35" s="24"/>
      <c r="Q35" s="14">
        <f t="shared" si="4"/>
        <v>0</v>
      </c>
      <c r="R35" s="22">
        <f>SUM('Plant Measurements'!P700:P719)</f>
        <v>949.85113147000015</v>
      </c>
      <c r="S35" s="24"/>
      <c r="T35" s="14">
        <f t="shared" si="5"/>
        <v>3799.4045258800006</v>
      </c>
      <c r="U35" s="22"/>
      <c r="V35" s="24"/>
      <c r="W35" s="14">
        <f t="shared" si="6"/>
        <v>0</v>
      </c>
      <c r="X35" s="21">
        <f t="shared" si="7"/>
        <v>3799.4045258800006</v>
      </c>
      <c r="Y35" s="25"/>
      <c r="Z35" s="19">
        <f t="shared" si="8"/>
        <v>0</v>
      </c>
      <c r="AA35" s="19">
        <f t="shared" si="9"/>
        <v>3799.4045258800006</v>
      </c>
      <c r="AB35">
        <f t="shared" si="10"/>
        <v>0</v>
      </c>
      <c r="AC35">
        <f t="shared" si="11"/>
        <v>0</v>
      </c>
      <c r="AD35">
        <f t="shared" si="12"/>
        <v>0</v>
      </c>
      <c r="AE35">
        <f t="shared" si="13"/>
        <v>1</v>
      </c>
      <c r="AF35">
        <f t="shared" si="14"/>
        <v>21033.62801</v>
      </c>
      <c r="AG35">
        <f t="shared" si="15"/>
        <v>4206.7256020000004</v>
      </c>
      <c r="AH35">
        <f t="shared" si="16"/>
        <v>15983.052291374073</v>
      </c>
    </row>
    <row r="36" spans="1:34">
      <c r="A36" s="20" t="s">
        <v>23</v>
      </c>
      <c r="B36" s="21">
        <v>21</v>
      </c>
      <c r="C36" s="22"/>
      <c r="D36" s="23"/>
      <c r="E36" s="14">
        <f t="shared" si="0"/>
        <v>0</v>
      </c>
      <c r="F36" s="22"/>
      <c r="G36" s="24"/>
      <c r="H36" s="21">
        <f t="shared" si="17"/>
        <v>0</v>
      </c>
      <c r="I36" s="22"/>
      <c r="J36" s="24"/>
      <c r="K36" s="14">
        <f t="shared" si="2"/>
        <v>0</v>
      </c>
      <c r="L36" s="22"/>
      <c r="M36" s="24"/>
      <c r="N36" s="14">
        <f t="shared" si="3"/>
        <v>0</v>
      </c>
      <c r="O36" s="22"/>
      <c r="P36" s="24"/>
      <c r="Q36" s="14">
        <f t="shared" si="4"/>
        <v>0</v>
      </c>
      <c r="R36" s="22">
        <f>SUM('Plant Measurements'!P720:P724)</f>
        <v>41.064033000000023</v>
      </c>
      <c r="S36" s="24"/>
      <c r="T36" s="14">
        <f t="shared" si="5"/>
        <v>164.25613200000009</v>
      </c>
      <c r="U36" s="22"/>
      <c r="V36" s="24"/>
      <c r="W36" s="14">
        <f t="shared" si="6"/>
        <v>0</v>
      </c>
      <c r="X36" s="21">
        <f t="shared" si="7"/>
        <v>164.25613200000009</v>
      </c>
      <c r="Y36" s="25"/>
      <c r="Z36" s="19">
        <f t="shared" si="8"/>
        <v>0</v>
      </c>
      <c r="AA36" s="19">
        <f t="shared" si="9"/>
        <v>164.25613200000009</v>
      </c>
      <c r="AB36">
        <f t="shared" si="10"/>
        <v>0</v>
      </c>
      <c r="AC36">
        <f t="shared" si="11"/>
        <v>0</v>
      </c>
      <c r="AD36">
        <f t="shared" si="12"/>
        <v>0</v>
      </c>
      <c r="AE36">
        <f t="shared" si="13"/>
        <v>1</v>
      </c>
      <c r="AF36">
        <f t="shared" si="14"/>
        <v>21033.62801</v>
      </c>
      <c r="AG36">
        <f t="shared" si="15"/>
        <v>4206.7256020000004</v>
      </c>
      <c r="AH36">
        <f t="shared" si="16"/>
        <v>690.980475769892</v>
      </c>
    </row>
    <row r="37" spans="1:34">
      <c r="A37" s="26" t="s">
        <v>23</v>
      </c>
      <c r="B37" s="27">
        <v>2</v>
      </c>
      <c r="C37" s="28">
        <f>SUM('Plant Measurements'!P725:P777)</f>
        <v>760.28774697165181</v>
      </c>
      <c r="D37" s="29"/>
      <c r="E37" s="14">
        <f t="shared" si="0"/>
        <v>3041.1509878866073</v>
      </c>
      <c r="F37" s="28"/>
      <c r="G37" s="30"/>
      <c r="H37" s="21">
        <f t="shared" si="17"/>
        <v>0</v>
      </c>
      <c r="I37" s="28"/>
      <c r="J37" s="30"/>
      <c r="K37" s="14">
        <f t="shared" si="2"/>
        <v>0</v>
      </c>
      <c r="L37" s="28"/>
      <c r="M37" s="30"/>
      <c r="N37" s="14">
        <f t="shared" si="3"/>
        <v>0</v>
      </c>
      <c r="O37" s="28"/>
      <c r="P37" s="30"/>
      <c r="Q37" s="14">
        <f t="shared" si="4"/>
        <v>0</v>
      </c>
      <c r="R37" s="28"/>
      <c r="S37" s="30"/>
      <c r="T37" s="14">
        <f t="shared" si="5"/>
        <v>0</v>
      </c>
      <c r="U37" s="28"/>
      <c r="V37" s="30"/>
      <c r="W37" s="14">
        <f t="shared" si="6"/>
        <v>0</v>
      </c>
      <c r="X37" s="27">
        <f t="shared" si="7"/>
        <v>3041.1509878866073</v>
      </c>
      <c r="Y37" s="31"/>
      <c r="Z37" s="19">
        <f t="shared" si="8"/>
        <v>3041.1509878866073</v>
      </c>
      <c r="AA37" s="19">
        <f t="shared" si="9"/>
        <v>0</v>
      </c>
      <c r="AB37">
        <f t="shared" si="10"/>
        <v>1</v>
      </c>
      <c r="AC37">
        <f t="shared" si="11"/>
        <v>0</v>
      </c>
      <c r="AD37">
        <f t="shared" si="12"/>
        <v>0</v>
      </c>
      <c r="AE37">
        <f t="shared" si="13"/>
        <v>0</v>
      </c>
      <c r="AF37">
        <f t="shared" si="14"/>
        <v>21033.62801</v>
      </c>
      <c r="AG37">
        <f t="shared" si="15"/>
        <v>4206.7256020000004</v>
      </c>
      <c r="AH37">
        <f t="shared" si="16"/>
        <v>12793.287720290184</v>
      </c>
    </row>
    <row r="38" spans="1:34">
      <c r="A38" s="13" t="s">
        <v>24</v>
      </c>
      <c r="B38" s="14">
        <v>38</v>
      </c>
      <c r="C38" s="15"/>
      <c r="D38" s="16"/>
      <c r="E38" s="14">
        <f t="shared" si="0"/>
        <v>0</v>
      </c>
      <c r="F38" s="15"/>
      <c r="G38" s="17"/>
      <c r="H38" s="21">
        <f t="shared" si="17"/>
        <v>0</v>
      </c>
      <c r="I38" s="15"/>
      <c r="J38" s="17"/>
      <c r="K38" s="14">
        <f t="shared" si="2"/>
        <v>0</v>
      </c>
      <c r="L38" s="15"/>
      <c r="M38" s="17"/>
      <c r="N38" s="14">
        <f t="shared" si="3"/>
        <v>0</v>
      </c>
      <c r="O38" s="15"/>
      <c r="P38" s="17"/>
      <c r="Q38" s="14">
        <f t="shared" si="4"/>
        <v>0</v>
      </c>
      <c r="R38" s="15">
        <f>SUM('Plant Measurements'!P778:P782)</f>
        <v>192.34421900000001</v>
      </c>
      <c r="S38" s="17"/>
      <c r="T38" s="14">
        <f t="shared" si="5"/>
        <v>769.37687600000004</v>
      </c>
      <c r="U38" s="15"/>
      <c r="V38" s="17"/>
      <c r="W38" s="14">
        <f t="shared" si="6"/>
        <v>0</v>
      </c>
      <c r="X38" s="14">
        <f t="shared" si="7"/>
        <v>769.37687600000004</v>
      </c>
      <c r="Y38" s="18">
        <f>AVERAGE(X38:X42)</f>
        <v>1578.7233939803498</v>
      </c>
      <c r="Z38" s="19">
        <f t="shared" si="8"/>
        <v>0</v>
      </c>
      <c r="AA38" s="19">
        <f t="shared" si="9"/>
        <v>769.37687600000004</v>
      </c>
      <c r="AB38">
        <f t="shared" si="10"/>
        <v>0</v>
      </c>
      <c r="AC38">
        <f t="shared" si="11"/>
        <v>0</v>
      </c>
      <c r="AD38">
        <f t="shared" si="12"/>
        <v>0</v>
      </c>
      <c r="AE38">
        <f t="shared" si="13"/>
        <v>1</v>
      </c>
      <c r="AF38">
        <f t="shared" si="14"/>
        <v>21033.62801</v>
      </c>
      <c r="AG38">
        <f t="shared" si="15"/>
        <v>4206.7256020000004</v>
      </c>
      <c r="AH38">
        <f t="shared" si="16"/>
        <v>3236.5574018559801</v>
      </c>
    </row>
    <row r="39" spans="1:34">
      <c r="A39" s="20" t="s">
        <v>24</v>
      </c>
      <c r="B39" s="21">
        <v>26</v>
      </c>
      <c r="C39" s="22"/>
      <c r="D39" s="23"/>
      <c r="E39" s="14">
        <f t="shared" si="0"/>
        <v>0</v>
      </c>
      <c r="F39" s="22"/>
      <c r="G39" s="24"/>
      <c r="H39" s="21">
        <f t="shared" si="17"/>
        <v>0</v>
      </c>
      <c r="I39" s="22"/>
      <c r="J39" s="24"/>
      <c r="K39" s="14">
        <f t="shared" si="2"/>
        <v>0</v>
      </c>
      <c r="L39" s="22"/>
      <c r="M39" s="24"/>
      <c r="N39" s="14">
        <f t="shared" si="3"/>
        <v>0</v>
      </c>
      <c r="O39" s="22"/>
      <c r="P39" s="24"/>
      <c r="Q39" s="14">
        <f t="shared" si="4"/>
        <v>0</v>
      </c>
      <c r="R39" s="22">
        <f>SUM('Plant Measurements'!P783:P802)</f>
        <v>823.00598200000024</v>
      </c>
      <c r="S39" s="24"/>
      <c r="T39" s="14">
        <f t="shared" si="5"/>
        <v>3292.023928000001</v>
      </c>
      <c r="U39" s="22"/>
      <c r="V39" s="24"/>
      <c r="W39" s="14">
        <f t="shared" si="6"/>
        <v>0</v>
      </c>
      <c r="X39" s="21">
        <f t="shared" si="7"/>
        <v>3292.023928000001</v>
      </c>
      <c r="Y39" s="25"/>
      <c r="Z39" s="19">
        <f t="shared" si="8"/>
        <v>0</v>
      </c>
      <c r="AA39" s="19">
        <f t="shared" si="9"/>
        <v>3292.023928000001</v>
      </c>
      <c r="AB39">
        <f t="shared" si="10"/>
        <v>0</v>
      </c>
      <c r="AC39">
        <f t="shared" si="11"/>
        <v>0</v>
      </c>
      <c r="AD39">
        <f t="shared" si="12"/>
        <v>0</v>
      </c>
      <c r="AE39">
        <f t="shared" si="13"/>
        <v>1</v>
      </c>
      <c r="AF39">
        <f t="shared" si="14"/>
        <v>21033.62801</v>
      </c>
      <c r="AG39">
        <f t="shared" si="15"/>
        <v>4206.7256020000004</v>
      </c>
      <c r="AH39">
        <f t="shared" si="16"/>
        <v>13848.641340314209</v>
      </c>
    </row>
    <row r="40" spans="1:34">
      <c r="A40" s="20" t="s">
        <v>24</v>
      </c>
      <c r="B40" s="21">
        <v>15</v>
      </c>
      <c r="C40" s="22"/>
      <c r="D40" s="23"/>
      <c r="E40" s="14">
        <f t="shared" si="0"/>
        <v>0</v>
      </c>
      <c r="F40" s="22"/>
      <c r="G40" s="24"/>
      <c r="H40" s="21">
        <f t="shared" si="17"/>
        <v>0</v>
      </c>
      <c r="I40" s="22">
        <f>SUM('Plant Measurements'!P803:P820)</f>
        <v>195.01147947543726</v>
      </c>
      <c r="J40" s="24"/>
      <c r="K40" s="14">
        <f t="shared" si="2"/>
        <v>780.04591790174902</v>
      </c>
      <c r="L40" s="22"/>
      <c r="M40" s="24"/>
      <c r="N40" s="14">
        <f t="shared" si="3"/>
        <v>0</v>
      </c>
      <c r="O40" s="22"/>
      <c r="P40" s="24"/>
      <c r="Q40" s="14">
        <f t="shared" si="4"/>
        <v>0</v>
      </c>
      <c r="R40" s="22"/>
      <c r="S40" s="24"/>
      <c r="T40" s="14">
        <f t="shared" si="5"/>
        <v>0</v>
      </c>
      <c r="U40" s="22"/>
      <c r="V40" s="24"/>
      <c r="W40" s="14">
        <f t="shared" si="6"/>
        <v>0</v>
      </c>
      <c r="X40" s="21">
        <f t="shared" si="7"/>
        <v>780.04591790174902</v>
      </c>
      <c r="Y40" s="25"/>
      <c r="Z40" s="19">
        <f t="shared" si="8"/>
        <v>0</v>
      </c>
      <c r="AA40" s="19">
        <f t="shared" si="9"/>
        <v>0</v>
      </c>
      <c r="AB40">
        <f t="shared" si="10"/>
        <v>0</v>
      </c>
      <c r="AC40">
        <f t="shared" si="11"/>
        <v>0</v>
      </c>
      <c r="AD40">
        <f t="shared" si="12"/>
        <v>1</v>
      </c>
      <c r="AE40">
        <f t="shared" si="13"/>
        <v>0</v>
      </c>
      <c r="AF40">
        <f t="shared" si="14"/>
        <v>21033.62801</v>
      </c>
      <c r="AG40">
        <f t="shared" si="15"/>
        <v>4206.7256020000004</v>
      </c>
      <c r="AH40">
        <f t="shared" si="16"/>
        <v>3281.4391335728778</v>
      </c>
    </row>
    <row r="41" spans="1:34">
      <c r="A41" s="20" t="s">
        <v>24</v>
      </c>
      <c r="B41" s="21">
        <v>6</v>
      </c>
      <c r="C41" s="22"/>
      <c r="D41" s="23"/>
      <c r="E41" s="14">
        <f t="shared" si="0"/>
        <v>0</v>
      </c>
      <c r="F41" s="22"/>
      <c r="G41" s="24"/>
      <c r="H41" s="21">
        <f t="shared" si="17"/>
        <v>0</v>
      </c>
      <c r="I41" s="22"/>
      <c r="J41" s="24"/>
      <c r="K41" s="14">
        <f t="shared" si="2"/>
        <v>0</v>
      </c>
      <c r="L41" s="22"/>
      <c r="M41" s="24"/>
      <c r="N41" s="14">
        <f t="shared" si="3"/>
        <v>0</v>
      </c>
      <c r="O41" s="22"/>
      <c r="P41" s="24"/>
      <c r="Q41" s="14">
        <f t="shared" si="4"/>
        <v>0</v>
      </c>
      <c r="R41" s="22">
        <f>SUM('Plant Measurements'!P821:P847)</f>
        <v>750.23929899999985</v>
      </c>
      <c r="S41" s="24"/>
      <c r="T41" s="14">
        <f t="shared" si="5"/>
        <v>3000.9571959999994</v>
      </c>
      <c r="U41" s="22"/>
      <c r="V41" s="24"/>
      <c r="W41" s="14">
        <f t="shared" si="6"/>
        <v>0</v>
      </c>
      <c r="X41" s="21">
        <f t="shared" si="7"/>
        <v>3000.9571959999994</v>
      </c>
      <c r="Y41" s="25"/>
      <c r="Z41" s="19">
        <f t="shared" si="8"/>
        <v>0</v>
      </c>
      <c r="AA41" s="19">
        <f t="shared" si="9"/>
        <v>3000.9571959999994</v>
      </c>
      <c r="AB41">
        <f t="shared" si="10"/>
        <v>0</v>
      </c>
      <c r="AC41">
        <f t="shared" si="11"/>
        <v>0</v>
      </c>
      <c r="AD41">
        <f t="shared" si="12"/>
        <v>0</v>
      </c>
      <c r="AE41">
        <f t="shared" si="13"/>
        <v>1</v>
      </c>
      <c r="AF41">
        <f t="shared" si="14"/>
        <v>21033.62801</v>
      </c>
      <c r="AG41">
        <f t="shared" si="15"/>
        <v>4206.7256020000004</v>
      </c>
      <c r="AH41">
        <f t="shared" si="16"/>
        <v>12624.203466919331</v>
      </c>
    </row>
    <row r="42" spans="1:34">
      <c r="A42" s="26" t="s">
        <v>24</v>
      </c>
      <c r="B42" s="27">
        <v>4</v>
      </c>
      <c r="C42" s="28"/>
      <c r="D42" s="29"/>
      <c r="E42" s="14">
        <f>C42*4</f>
        <v>0</v>
      </c>
      <c r="F42" s="28"/>
      <c r="G42" s="30"/>
      <c r="H42" s="21">
        <f t="shared" si="17"/>
        <v>0</v>
      </c>
      <c r="I42" s="28">
        <f>SUM('Plant Measurements'!P848:P851)</f>
        <v>0</v>
      </c>
      <c r="J42" s="30"/>
      <c r="K42" s="14">
        <f t="shared" si="2"/>
        <v>0</v>
      </c>
      <c r="L42" s="28"/>
      <c r="M42" s="30"/>
      <c r="N42" s="14">
        <f t="shared" si="3"/>
        <v>0</v>
      </c>
      <c r="O42" s="28"/>
      <c r="P42" s="30"/>
      <c r="Q42" s="14">
        <f t="shared" si="4"/>
        <v>0</v>
      </c>
      <c r="R42" s="28">
        <f>SUM('Plant Measurements'!P852:P853)</f>
        <v>12.803263000000008</v>
      </c>
      <c r="S42" s="30"/>
      <c r="T42" s="14">
        <f t="shared" si="5"/>
        <v>51.213052000000033</v>
      </c>
      <c r="U42" s="28"/>
      <c r="V42" s="30"/>
      <c r="W42" s="14">
        <f t="shared" si="6"/>
        <v>0</v>
      </c>
      <c r="X42" s="27">
        <f t="shared" si="7"/>
        <v>51.213052000000033</v>
      </c>
      <c r="Y42" s="31"/>
      <c r="Z42" s="19">
        <f t="shared" si="8"/>
        <v>0</v>
      </c>
      <c r="AA42" s="19">
        <f t="shared" si="9"/>
        <v>51.213052000000033</v>
      </c>
      <c r="AB42">
        <f t="shared" si="10"/>
        <v>0</v>
      </c>
      <c r="AC42">
        <f t="shared" si="11"/>
        <v>0</v>
      </c>
      <c r="AD42">
        <f t="shared" si="12"/>
        <v>0</v>
      </c>
      <c r="AE42">
        <f t="shared" si="13"/>
        <v>1</v>
      </c>
      <c r="AF42">
        <f t="shared" si="14"/>
        <v>21033.62801</v>
      </c>
      <c r="AG42">
        <f t="shared" si="15"/>
        <v>4206.7256020000004</v>
      </c>
      <c r="AH42">
        <f t="shared" si="16"/>
        <v>215.43925700495748</v>
      </c>
    </row>
    <row r="43" spans="1:34">
      <c r="A43" s="13" t="s">
        <v>57</v>
      </c>
      <c r="B43" s="14">
        <v>50</v>
      </c>
      <c r="C43" s="15"/>
      <c r="D43" s="36"/>
      <c r="E43" s="14">
        <f>C43*4</f>
        <v>0</v>
      </c>
      <c r="F43" s="15"/>
      <c r="G43" s="17"/>
      <c r="H43" s="21">
        <f t="shared" ref="H43:H52" si="18">F43*4</f>
        <v>0</v>
      </c>
      <c r="I43" s="15">
        <f>SUM('Plant Measurements'!P854:P892)</f>
        <v>982.61559381884354</v>
      </c>
      <c r="J43" s="17"/>
      <c r="K43" s="14">
        <f t="shared" si="2"/>
        <v>3930.4623752753741</v>
      </c>
      <c r="L43" s="15"/>
      <c r="M43" s="17"/>
      <c r="N43" s="14">
        <f t="shared" si="3"/>
        <v>0</v>
      </c>
      <c r="O43" s="15"/>
      <c r="P43" s="17"/>
      <c r="Q43" s="14">
        <f t="shared" si="4"/>
        <v>0</v>
      </c>
      <c r="R43" s="15"/>
      <c r="S43" s="17"/>
      <c r="T43" s="14">
        <f t="shared" si="5"/>
        <v>0</v>
      </c>
      <c r="U43" s="15"/>
      <c r="V43" s="16"/>
      <c r="W43" s="14">
        <f t="shared" si="6"/>
        <v>0</v>
      </c>
      <c r="X43" s="14">
        <f t="shared" si="7"/>
        <v>3930.4623752753741</v>
      </c>
      <c r="Y43" s="18">
        <f>AVERAGE(X43:X47)</f>
        <v>2364.0963839625047</v>
      </c>
      <c r="Z43" s="19">
        <f t="shared" si="8"/>
        <v>0</v>
      </c>
      <c r="AA43" s="19">
        <f t="shared" si="9"/>
        <v>0</v>
      </c>
      <c r="AB43">
        <f t="shared" si="10"/>
        <v>0</v>
      </c>
      <c r="AC43">
        <f t="shared" si="11"/>
        <v>0</v>
      </c>
      <c r="AD43">
        <f t="shared" si="12"/>
        <v>1</v>
      </c>
      <c r="AE43">
        <f t="shared" si="13"/>
        <v>0</v>
      </c>
      <c r="AF43">
        <f t="shared" si="14"/>
        <v>21033.62801</v>
      </c>
      <c r="AG43">
        <f t="shared" si="15"/>
        <v>4206.7256020000004</v>
      </c>
      <c r="AH43">
        <f t="shared" si="16"/>
        <v>16534.376701768651</v>
      </c>
    </row>
    <row r="44" spans="1:34">
      <c r="A44" s="20" t="s">
        <v>57</v>
      </c>
      <c r="B44" s="21">
        <v>31</v>
      </c>
      <c r="C44" s="22"/>
      <c r="D44" s="23"/>
      <c r="E44" s="14">
        <f>C44*4</f>
        <v>0</v>
      </c>
      <c r="F44" s="22"/>
      <c r="G44" s="24"/>
      <c r="H44" s="21">
        <f t="shared" si="18"/>
        <v>0</v>
      </c>
      <c r="I44" s="22"/>
      <c r="J44" s="24"/>
      <c r="K44" s="14">
        <f t="shared" si="2"/>
        <v>0</v>
      </c>
      <c r="L44" s="22"/>
      <c r="M44" s="24"/>
      <c r="N44" s="14">
        <f t="shared" si="3"/>
        <v>0</v>
      </c>
      <c r="O44" s="22"/>
      <c r="P44" s="24"/>
      <c r="Q44" s="14">
        <f t="shared" si="4"/>
        <v>0</v>
      </c>
      <c r="R44" s="22">
        <f>SUM('Plant Measurements'!P893:P907)</f>
        <v>279.3152717000001</v>
      </c>
      <c r="S44" s="24"/>
      <c r="T44" s="14">
        <f t="shared" si="5"/>
        <v>1117.2610868000004</v>
      </c>
      <c r="U44" s="22"/>
      <c r="V44" s="24"/>
      <c r="W44" s="14">
        <f t="shared" si="6"/>
        <v>0</v>
      </c>
      <c r="X44" s="21">
        <f t="shared" si="7"/>
        <v>1117.2610868000004</v>
      </c>
      <c r="Y44" s="25"/>
      <c r="Z44" s="19">
        <f t="shared" si="8"/>
        <v>0</v>
      </c>
      <c r="AA44" s="19">
        <f t="shared" si="9"/>
        <v>1117.2610868000004</v>
      </c>
      <c r="AB44">
        <f t="shared" si="10"/>
        <v>0</v>
      </c>
      <c r="AC44">
        <f t="shared" si="11"/>
        <v>0</v>
      </c>
      <c r="AD44">
        <f t="shared" si="12"/>
        <v>0</v>
      </c>
      <c r="AE44">
        <f t="shared" si="13"/>
        <v>1</v>
      </c>
      <c r="AF44">
        <f t="shared" si="14"/>
        <v>21033.62801</v>
      </c>
      <c r="AG44">
        <f t="shared" si="15"/>
        <v>4206.7256020000004</v>
      </c>
      <c r="AH44">
        <f t="shared" si="16"/>
        <v>4700.0108179599065</v>
      </c>
    </row>
    <row r="45" spans="1:34">
      <c r="A45" s="20" t="s">
        <v>57</v>
      </c>
      <c r="B45" s="21">
        <v>26</v>
      </c>
      <c r="C45" s="22">
        <f>SUM('Plant Measurements'!P908:P910)</f>
        <v>52.918970785658061</v>
      </c>
      <c r="D45" s="23"/>
      <c r="E45" s="14">
        <f>C45*4</f>
        <v>211.67588314263224</v>
      </c>
      <c r="F45" s="22"/>
      <c r="G45" s="24"/>
      <c r="H45" s="21">
        <f t="shared" si="18"/>
        <v>0</v>
      </c>
      <c r="I45" s="22"/>
      <c r="J45" s="24"/>
      <c r="K45" s="14">
        <f t="shared" si="2"/>
        <v>0</v>
      </c>
      <c r="L45" s="22"/>
      <c r="M45" s="24"/>
      <c r="N45" s="14">
        <f t="shared" si="3"/>
        <v>0</v>
      </c>
      <c r="O45" s="22"/>
      <c r="P45" s="24"/>
      <c r="Q45" s="14">
        <f t="shared" si="4"/>
        <v>0</v>
      </c>
      <c r="R45" s="22">
        <f>SUM('Plant Measurements'!P917:P918)</f>
        <v>108.58584790000003</v>
      </c>
      <c r="S45" s="24"/>
      <c r="T45" s="14">
        <f t="shared" si="5"/>
        <v>434.34339160000013</v>
      </c>
      <c r="U45" s="22">
        <f>SUM('Plant Measurements'!P911:P916)</f>
        <v>356.69732571000009</v>
      </c>
      <c r="V45" s="24"/>
      <c r="W45" s="14">
        <f t="shared" si="6"/>
        <v>1426.7893028400003</v>
      </c>
      <c r="X45" s="21">
        <f t="shared" si="7"/>
        <v>2072.8085775826326</v>
      </c>
      <c r="Y45" s="25"/>
      <c r="Z45" s="19">
        <f t="shared" si="8"/>
        <v>211.67588314263224</v>
      </c>
      <c r="AA45" s="19">
        <f t="shared" si="9"/>
        <v>1861.1326944400005</v>
      </c>
      <c r="AB45">
        <f t="shared" si="10"/>
        <v>0.10212032381180831</v>
      </c>
      <c r="AC45">
        <f t="shared" si="11"/>
        <v>0</v>
      </c>
      <c r="AD45">
        <f t="shared" si="12"/>
        <v>0</v>
      </c>
      <c r="AE45">
        <f t="shared" si="13"/>
        <v>0.89787967618819176</v>
      </c>
      <c r="AF45">
        <f t="shared" si="14"/>
        <v>21033.62801</v>
      </c>
      <c r="AG45">
        <f t="shared" si="15"/>
        <v>4206.7256020000004</v>
      </c>
      <c r="AH45">
        <f t="shared" si="16"/>
        <v>8719.7369113620643</v>
      </c>
    </row>
    <row r="46" spans="1:34">
      <c r="A46" s="20" t="s">
        <v>57</v>
      </c>
      <c r="B46" s="21">
        <v>20</v>
      </c>
      <c r="C46" s="22"/>
      <c r="D46" s="23"/>
      <c r="E46" s="14">
        <f>C46*4</f>
        <v>0</v>
      </c>
      <c r="F46" s="22"/>
      <c r="G46" s="24"/>
      <c r="H46" s="21">
        <f t="shared" si="18"/>
        <v>0</v>
      </c>
      <c r="I46" s="22"/>
      <c r="J46" s="24"/>
      <c r="K46" s="14">
        <f t="shared" si="2"/>
        <v>0</v>
      </c>
      <c r="L46" s="22"/>
      <c r="M46" s="24"/>
      <c r="N46" s="14">
        <f t="shared" si="3"/>
        <v>0</v>
      </c>
      <c r="O46" s="22"/>
      <c r="P46" s="24"/>
      <c r="Q46" s="14">
        <f t="shared" si="4"/>
        <v>0</v>
      </c>
      <c r="R46" s="22"/>
      <c r="S46" s="24"/>
      <c r="T46" s="14">
        <f t="shared" si="5"/>
        <v>0</v>
      </c>
      <c r="U46" s="22">
        <f>SUM('Plant Measurements'!P919:P924)</f>
        <v>378.27452100000016</v>
      </c>
      <c r="V46" s="24"/>
      <c r="W46" s="14">
        <f t="shared" si="6"/>
        <v>1513.0980840000007</v>
      </c>
      <c r="X46" s="21">
        <f t="shared" si="7"/>
        <v>1513.0980840000007</v>
      </c>
      <c r="Y46" s="25"/>
      <c r="Z46" s="19">
        <f t="shared" si="8"/>
        <v>0</v>
      </c>
      <c r="AA46" s="19">
        <f t="shared" si="9"/>
        <v>1513.0980840000007</v>
      </c>
      <c r="AB46">
        <f t="shared" si="10"/>
        <v>0</v>
      </c>
      <c r="AC46">
        <f t="shared" si="11"/>
        <v>0</v>
      </c>
      <c r="AD46">
        <f t="shared" si="12"/>
        <v>0</v>
      </c>
      <c r="AE46">
        <f t="shared" si="13"/>
        <v>1</v>
      </c>
      <c r="AF46">
        <f t="shared" si="14"/>
        <v>21033.62801</v>
      </c>
      <c r="AG46">
        <f t="shared" si="15"/>
        <v>4206.7256020000004</v>
      </c>
      <c r="AH46">
        <f t="shared" si="16"/>
        <v>6365.1884482999503</v>
      </c>
    </row>
    <row r="47" spans="1:34">
      <c r="A47" s="26" t="s">
        <v>57</v>
      </c>
      <c r="B47" s="27">
        <v>6</v>
      </c>
      <c r="C47" s="28"/>
      <c r="D47" s="29"/>
      <c r="E47" s="14">
        <f t="shared" si="0"/>
        <v>0</v>
      </c>
      <c r="F47" s="28"/>
      <c r="G47" s="30"/>
      <c r="H47" s="21">
        <f t="shared" si="18"/>
        <v>0</v>
      </c>
      <c r="I47" s="28">
        <f>SUM('Plant Measurements'!P925:P970)</f>
        <v>796.71294903862895</v>
      </c>
      <c r="J47" s="30"/>
      <c r="K47" s="14">
        <f t="shared" si="2"/>
        <v>3186.8517961545158</v>
      </c>
      <c r="L47" s="28"/>
      <c r="M47" s="30"/>
      <c r="N47" s="14">
        <f t="shared" si="3"/>
        <v>0</v>
      </c>
      <c r="O47" s="28"/>
      <c r="P47" s="30"/>
      <c r="Q47" s="14">
        <f t="shared" si="4"/>
        <v>0</v>
      </c>
      <c r="R47" s="28"/>
      <c r="S47" s="30"/>
      <c r="T47" s="14">
        <f t="shared" si="5"/>
        <v>0</v>
      </c>
      <c r="U47" s="28"/>
      <c r="V47" s="30"/>
      <c r="W47" s="14">
        <f t="shared" si="6"/>
        <v>0</v>
      </c>
      <c r="X47" s="27">
        <f t="shared" si="7"/>
        <v>3186.8517961545158</v>
      </c>
      <c r="Y47" s="31"/>
      <c r="Z47" s="19">
        <f t="shared" si="8"/>
        <v>0</v>
      </c>
      <c r="AA47" s="19">
        <f t="shared" si="9"/>
        <v>0</v>
      </c>
      <c r="AB47">
        <f t="shared" si="10"/>
        <v>0</v>
      </c>
      <c r="AC47">
        <f t="shared" si="11"/>
        <v>0</v>
      </c>
      <c r="AD47">
        <f t="shared" si="12"/>
        <v>1</v>
      </c>
      <c r="AE47">
        <f t="shared" si="13"/>
        <v>0</v>
      </c>
      <c r="AF47">
        <f t="shared" si="14"/>
        <v>21033.62801</v>
      </c>
      <c r="AG47">
        <f t="shared" si="15"/>
        <v>4206.7256020000004</v>
      </c>
      <c r="AH47">
        <f t="shared" si="16"/>
        <v>13406.211040662889</v>
      </c>
    </row>
    <row r="48" spans="1:34">
      <c r="A48" s="13" t="s">
        <v>25</v>
      </c>
      <c r="B48" s="14">
        <v>46</v>
      </c>
      <c r="C48" s="15"/>
      <c r="D48" s="16"/>
      <c r="E48" s="14">
        <f t="shared" si="0"/>
        <v>0</v>
      </c>
      <c r="F48" s="15"/>
      <c r="G48" s="17"/>
      <c r="H48" s="21">
        <f t="shared" si="18"/>
        <v>0</v>
      </c>
      <c r="I48" s="15"/>
      <c r="J48" s="17"/>
      <c r="K48" s="14">
        <f t="shared" si="2"/>
        <v>0</v>
      </c>
      <c r="L48" s="15"/>
      <c r="M48" s="17"/>
      <c r="N48" s="14">
        <f t="shared" si="3"/>
        <v>0</v>
      </c>
      <c r="O48" s="15"/>
      <c r="P48" s="17"/>
      <c r="Q48" s="14">
        <f t="shared" si="4"/>
        <v>0</v>
      </c>
      <c r="R48" s="15">
        <f>SUM('Plant Measurements'!P971:P975)</f>
        <v>34.428710000000009</v>
      </c>
      <c r="S48" s="17"/>
      <c r="T48" s="14">
        <f t="shared" si="5"/>
        <v>137.71484000000004</v>
      </c>
      <c r="U48" s="15"/>
      <c r="V48" s="17"/>
      <c r="W48" s="14">
        <f t="shared" si="6"/>
        <v>0</v>
      </c>
      <c r="X48" s="14">
        <f t="shared" si="7"/>
        <v>137.71484000000004</v>
      </c>
      <c r="Y48" s="18">
        <f>AVERAGE(X48:X52)</f>
        <v>319.35055607200002</v>
      </c>
      <c r="Z48" s="19">
        <f>E48+Q48</f>
        <v>0</v>
      </c>
      <c r="AA48" s="19">
        <f t="shared" si="9"/>
        <v>137.71484000000004</v>
      </c>
      <c r="AB48">
        <f t="shared" si="10"/>
        <v>0</v>
      </c>
      <c r="AC48">
        <f t="shared" si="11"/>
        <v>0</v>
      </c>
      <c r="AD48">
        <f t="shared" si="12"/>
        <v>0</v>
      </c>
      <c r="AE48">
        <f t="shared" si="13"/>
        <v>1</v>
      </c>
      <c r="AF48">
        <f t="shared" si="14"/>
        <v>21033.62801</v>
      </c>
      <c r="AG48">
        <f t="shared" si="15"/>
        <v>4206.7256020000004</v>
      </c>
      <c r="AH48">
        <f t="shared" si="16"/>
        <v>579.32854320333388</v>
      </c>
    </row>
    <row r="49" spans="1:34">
      <c r="A49" s="20" t="s">
        <v>25</v>
      </c>
      <c r="B49" s="21">
        <v>42</v>
      </c>
      <c r="C49" s="22"/>
      <c r="D49" s="23"/>
      <c r="E49" s="14">
        <f t="shared" si="0"/>
        <v>0</v>
      </c>
      <c r="F49" s="22"/>
      <c r="G49" s="24"/>
      <c r="H49" s="21">
        <f t="shared" si="18"/>
        <v>0</v>
      </c>
      <c r="I49" s="22"/>
      <c r="J49" s="24"/>
      <c r="K49" s="14">
        <f t="shared" si="2"/>
        <v>0</v>
      </c>
      <c r="L49" s="22"/>
      <c r="M49" s="24"/>
      <c r="N49" s="14">
        <f t="shared" si="3"/>
        <v>0</v>
      </c>
      <c r="O49" s="22"/>
      <c r="P49" s="24"/>
      <c r="Q49" s="14">
        <f t="shared" si="4"/>
        <v>0</v>
      </c>
      <c r="R49" s="22">
        <f>SUM('Plant Measurements'!P976:P981)</f>
        <v>85.419463000000007</v>
      </c>
      <c r="S49" s="24"/>
      <c r="T49" s="14">
        <f t="shared" si="5"/>
        <v>341.67785200000003</v>
      </c>
      <c r="U49" s="22"/>
      <c r="V49" s="24"/>
      <c r="W49" s="14">
        <f t="shared" si="6"/>
        <v>0</v>
      </c>
      <c r="X49" s="21">
        <f t="shared" si="7"/>
        <v>341.67785200000003</v>
      </c>
      <c r="Y49" s="25"/>
      <c r="Z49" s="19">
        <f t="shared" si="8"/>
        <v>0</v>
      </c>
      <c r="AA49" s="19">
        <f t="shared" si="9"/>
        <v>341.67785200000003</v>
      </c>
      <c r="AB49">
        <f t="shared" si="10"/>
        <v>0</v>
      </c>
      <c r="AC49">
        <f t="shared" si="11"/>
        <v>0</v>
      </c>
      <c r="AD49">
        <f t="shared" si="12"/>
        <v>0</v>
      </c>
      <c r="AE49">
        <f t="shared" si="13"/>
        <v>1</v>
      </c>
      <c r="AF49">
        <f t="shared" si="14"/>
        <v>21033.62801</v>
      </c>
      <c r="AG49">
        <f t="shared" si="15"/>
        <v>4206.7256020000004</v>
      </c>
      <c r="AH49">
        <f t="shared" si="16"/>
        <v>1437.3449676447672</v>
      </c>
    </row>
    <row r="50" spans="1:34">
      <c r="A50" s="20" t="s">
        <v>25</v>
      </c>
      <c r="B50" s="21">
        <v>23</v>
      </c>
      <c r="C50" s="22"/>
      <c r="D50" s="23"/>
      <c r="E50" s="14">
        <f t="shared" si="0"/>
        <v>0</v>
      </c>
      <c r="F50" s="22"/>
      <c r="G50" s="24"/>
      <c r="H50" s="21">
        <f t="shared" si="18"/>
        <v>0</v>
      </c>
      <c r="I50" s="22"/>
      <c r="J50" s="24"/>
      <c r="K50" s="14">
        <f t="shared" si="2"/>
        <v>0</v>
      </c>
      <c r="L50" s="22"/>
      <c r="M50" s="24"/>
      <c r="N50" s="14">
        <f t="shared" si="3"/>
        <v>0</v>
      </c>
      <c r="O50" s="22"/>
      <c r="P50" s="24"/>
      <c r="Q50" s="14">
        <f t="shared" si="4"/>
        <v>0</v>
      </c>
      <c r="R50" s="22">
        <f>SUM('Plant Measurements'!P982:P987)</f>
        <v>76.835600000000014</v>
      </c>
      <c r="S50" s="24"/>
      <c r="T50" s="14">
        <f t="shared" si="5"/>
        <v>307.34240000000005</v>
      </c>
      <c r="U50" s="22"/>
      <c r="V50" s="24"/>
      <c r="W50" s="14">
        <f t="shared" si="6"/>
        <v>0</v>
      </c>
      <c r="X50" s="21">
        <f t="shared" si="7"/>
        <v>307.34240000000005</v>
      </c>
      <c r="Y50" s="25"/>
      <c r="Z50" s="19">
        <f t="shared" si="8"/>
        <v>0</v>
      </c>
      <c r="AA50" s="19">
        <f t="shared" si="9"/>
        <v>307.34240000000005</v>
      </c>
      <c r="AB50">
        <f t="shared" si="10"/>
        <v>0</v>
      </c>
      <c r="AC50">
        <f t="shared" si="11"/>
        <v>0</v>
      </c>
      <c r="AD50">
        <f t="shared" si="12"/>
        <v>0</v>
      </c>
      <c r="AE50">
        <f t="shared" si="13"/>
        <v>1</v>
      </c>
      <c r="AF50">
        <f t="shared" si="14"/>
        <v>21033.62801</v>
      </c>
      <c r="AG50">
        <f t="shared" si="15"/>
        <v>4206.7256020000004</v>
      </c>
      <c r="AH50">
        <f t="shared" si="16"/>
        <v>1292.9051426601252</v>
      </c>
    </row>
    <row r="51" spans="1:34">
      <c r="A51" s="20" t="s">
        <v>25</v>
      </c>
      <c r="B51" s="21">
        <v>20</v>
      </c>
      <c r="C51" s="22"/>
      <c r="D51" s="23"/>
      <c r="E51" s="14">
        <f t="shared" si="0"/>
        <v>0</v>
      </c>
      <c r="F51" s="22"/>
      <c r="G51" s="24"/>
      <c r="H51" s="21">
        <f t="shared" si="18"/>
        <v>0</v>
      </c>
      <c r="I51" s="22"/>
      <c r="J51" s="24"/>
      <c r="K51" s="14">
        <f t="shared" si="2"/>
        <v>0</v>
      </c>
      <c r="L51" s="22"/>
      <c r="M51" s="24"/>
      <c r="N51" s="14">
        <f t="shared" si="3"/>
        <v>0</v>
      </c>
      <c r="O51" s="22"/>
      <c r="P51" s="24"/>
      <c r="Q51" s="14">
        <f t="shared" si="4"/>
        <v>0</v>
      </c>
      <c r="R51" s="22">
        <f>SUM('Plant Measurements'!P988:P994)</f>
        <v>202.50442209000002</v>
      </c>
      <c r="S51" s="24"/>
      <c r="T51" s="14">
        <f t="shared" si="5"/>
        <v>810.01768836000008</v>
      </c>
      <c r="U51" s="22"/>
      <c r="V51" s="24"/>
      <c r="W51" s="14">
        <f t="shared" si="6"/>
        <v>0</v>
      </c>
      <c r="X51" s="21">
        <f t="shared" si="7"/>
        <v>810.01768836000008</v>
      </c>
      <c r="Y51" s="25"/>
      <c r="Z51" s="19">
        <f t="shared" si="8"/>
        <v>0</v>
      </c>
      <c r="AA51" s="19">
        <f t="shared" si="9"/>
        <v>810.01768836000008</v>
      </c>
      <c r="AB51">
        <f t="shared" si="10"/>
        <v>0</v>
      </c>
      <c r="AC51">
        <f t="shared" si="11"/>
        <v>0</v>
      </c>
      <c r="AD51">
        <f t="shared" si="12"/>
        <v>0</v>
      </c>
      <c r="AE51">
        <f t="shared" si="13"/>
        <v>1</v>
      </c>
      <c r="AF51">
        <f t="shared" si="14"/>
        <v>21033.62801</v>
      </c>
      <c r="AG51">
        <f t="shared" si="15"/>
        <v>4206.7256020000004</v>
      </c>
      <c r="AH51">
        <f t="shared" si="16"/>
        <v>3407.52214769687</v>
      </c>
    </row>
    <row r="52" spans="1:34">
      <c r="A52" s="26" t="s">
        <v>25</v>
      </c>
      <c r="B52" s="27">
        <v>8</v>
      </c>
      <c r="C52" s="28"/>
      <c r="D52" s="29"/>
      <c r="E52" s="14">
        <f t="shared" si="0"/>
        <v>0</v>
      </c>
      <c r="F52" s="28"/>
      <c r="G52" s="30"/>
      <c r="H52" s="21">
        <f t="shared" si="18"/>
        <v>0</v>
      </c>
      <c r="I52" s="28"/>
      <c r="J52" s="30"/>
      <c r="K52" s="14">
        <f t="shared" si="2"/>
        <v>0</v>
      </c>
      <c r="L52" s="28"/>
      <c r="M52" s="30"/>
      <c r="N52" s="14">
        <f t="shared" si="3"/>
        <v>0</v>
      </c>
      <c r="O52" s="28"/>
      <c r="P52" s="30"/>
      <c r="Q52" s="14">
        <f t="shared" si="4"/>
        <v>0</v>
      </c>
      <c r="R52" s="28"/>
      <c r="S52" s="30"/>
      <c r="T52" s="14">
        <f t="shared" si="5"/>
        <v>0</v>
      </c>
      <c r="U52" s="28"/>
      <c r="V52" s="30"/>
      <c r="W52" s="14">
        <f t="shared" si="6"/>
        <v>0</v>
      </c>
      <c r="X52" s="27">
        <f t="shared" si="7"/>
        <v>0</v>
      </c>
      <c r="Y52" s="31"/>
      <c r="Z52" s="19">
        <f t="shared" si="8"/>
        <v>0</v>
      </c>
      <c r="AA52" s="19">
        <f t="shared" si="9"/>
        <v>0</v>
      </c>
      <c r="AB52" t="str">
        <f t="shared" si="10"/>
        <v xml:space="preserve"> </v>
      </c>
      <c r="AC52" t="str">
        <f t="shared" si="11"/>
        <v xml:space="preserve"> </v>
      </c>
      <c r="AD52" t="str">
        <f t="shared" si="12"/>
        <v xml:space="preserve"> </v>
      </c>
      <c r="AE52" t="str">
        <f t="shared" si="13"/>
        <v xml:space="preserve"> </v>
      </c>
      <c r="AF52">
        <f t="shared" si="14"/>
        <v>21033.62801</v>
      </c>
      <c r="AG52">
        <f t="shared" si="15"/>
        <v>4206.7256020000004</v>
      </c>
      <c r="AH52">
        <f t="shared" si="16"/>
        <v>0</v>
      </c>
    </row>
    <row r="53" spans="1:34">
      <c r="Y53" t="s">
        <v>58</v>
      </c>
      <c r="AB53">
        <f>AVERAGE(AB3:AB52)</f>
        <v>0.11776509489828778</v>
      </c>
      <c r="AC53">
        <f t="shared" ref="AC53:AE53" si="19">AVERAGE(AC3:AC52)</f>
        <v>0</v>
      </c>
      <c r="AD53">
        <f t="shared" si="19"/>
        <v>0.11159875620065704</v>
      </c>
      <c r="AE53">
        <f t="shared" si="19"/>
        <v>0.77063614890105514</v>
      </c>
      <c r="AG53" t="s">
        <v>59</v>
      </c>
      <c r="AH53">
        <f>SUM(AH3:AH52)</f>
        <v>297141.70548837713</v>
      </c>
    </row>
  </sheetData>
  <mergeCells count="1">
    <mergeCell ref="A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 Measurements</vt:lpstr>
      <vt:lpstr>Quadrat 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2015-06-18T17:11:46Z</dcterms:created>
  <dcterms:modified xsi:type="dcterms:W3CDTF">2017-05-15T17:58:44Z</dcterms:modified>
</cp:coreProperties>
</file>