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Plant Biomass/Plant Biomass Field Measurements/"/>
    </mc:Choice>
  </mc:AlternateContent>
  <bookViews>
    <workbookView xWindow="0" yWindow="460" windowWidth="38400" windowHeight="2346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O488" i="1"/>
  <c r="P488" i="1"/>
  <c r="U46" i="2"/>
  <c r="J484" i="1"/>
  <c r="O484" i="1"/>
  <c r="P484" i="1"/>
  <c r="J485" i="1"/>
  <c r="O485" i="1"/>
  <c r="P485" i="1"/>
  <c r="J486" i="1"/>
  <c r="O486" i="1"/>
  <c r="P486" i="1"/>
  <c r="J487" i="1"/>
  <c r="O487" i="1"/>
  <c r="P487" i="1"/>
  <c r="R46" i="2"/>
  <c r="J476" i="1"/>
  <c r="O476" i="1"/>
  <c r="P476" i="1"/>
  <c r="J477" i="1"/>
  <c r="O477" i="1"/>
  <c r="P477" i="1"/>
  <c r="J478" i="1"/>
  <c r="O478" i="1"/>
  <c r="P478" i="1"/>
  <c r="J479" i="1"/>
  <c r="O479" i="1"/>
  <c r="P479" i="1"/>
  <c r="R45" i="2"/>
  <c r="O480" i="1"/>
  <c r="P480" i="1"/>
  <c r="O481" i="1"/>
  <c r="P481" i="1"/>
  <c r="O482" i="1"/>
  <c r="P482" i="1"/>
  <c r="U45" i="2"/>
  <c r="O471" i="1"/>
  <c r="P471" i="1"/>
  <c r="O474" i="1"/>
  <c r="P474" i="1"/>
  <c r="O475" i="1"/>
  <c r="P475" i="1"/>
  <c r="U44" i="2"/>
  <c r="J470" i="1"/>
  <c r="O470" i="1"/>
  <c r="P470" i="1"/>
  <c r="J472" i="1"/>
  <c r="O472" i="1"/>
  <c r="P472" i="1"/>
  <c r="J473" i="1"/>
  <c r="O473" i="1"/>
  <c r="P473" i="1"/>
  <c r="R44" i="2"/>
  <c r="J463" i="1"/>
  <c r="O463" i="1"/>
  <c r="P463" i="1"/>
  <c r="J464" i="1"/>
  <c r="O464" i="1"/>
  <c r="P464" i="1"/>
  <c r="J465" i="1"/>
  <c r="O465" i="1"/>
  <c r="P465" i="1"/>
  <c r="J466" i="1"/>
  <c r="O466" i="1"/>
  <c r="P466" i="1"/>
  <c r="J467" i="1"/>
  <c r="O467" i="1"/>
  <c r="P467" i="1"/>
  <c r="J468" i="1"/>
  <c r="O468" i="1"/>
  <c r="P468" i="1"/>
  <c r="J469" i="1"/>
  <c r="O469" i="1"/>
  <c r="P469" i="1"/>
  <c r="R43" i="2"/>
  <c r="J451" i="1"/>
  <c r="O451" i="1"/>
  <c r="P451" i="1"/>
  <c r="J458" i="1"/>
  <c r="O458" i="1"/>
  <c r="P458" i="1"/>
  <c r="R32" i="2"/>
  <c r="O417" i="1"/>
  <c r="P417" i="1"/>
  <c r="O431" i="1"/>
  <c r="P43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3" i="1"/>
  <c r="P453" i="1"/>
  <c r="O456" i="1"/>
  <c r="P456" i="1"/>
  <c r="O455" i="1"/>
  <c r="P455" i="1"/>
  <c r="O460" i="1"/>
  <c r="P460" i="1"/>
  <c r="O461" i="1"/>
  <c r="P461" i="1"/>
  <c r="I32" i="2"/>
  <c r="O416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2" i="1"/>
  <c r="O433" i="1"/>
  <c r="O434" i="1"/>
  <c r="O435" i="1"/>
  <c r="O436" i="1"/>
  <c r="O437" i="1"/>
  <c r="O438" i="1"/>
  <c r="O439" i="1"/>
  <c r="O440" i="1"/>
  <c r="O441" i="1"/>
  <c r="O452" i="1"/>
  <c r="O454" i="1"/>
  <c r="O457" i="1"/>
  <c r="O459" i="1"/>
  <c r="O462" i="1"/>
  <c r="C32" i="2"/>
  <c r="J400" i="1"/>
  <c r="O400" i="1"/>
  <c r="P400" i="1"/>
  <c r="J402" i="1"/>
  <c r="O402" i="1"/>
  <c r="P402" i="1"/>
  <c r="J396" i="1"/>
  <c r="O396" i="1"/>
  <c r="P396" i="1"/>
  <c r="R31" i="2"/>
  <c r="O397" i="1"/>
  <c r="P397" i="1"/>
  <c r="O398" i="1"/>
  <c r="P398" i="1"/>
  <c r="O399" i="1"/>
  <c r="P399" i="1"/>
  <c r="O401" i="1"/>
  <c r="P401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I31" i="2"/>
  <c r="S32" i="1"/>
  <c r="S31" i="1"/>
  <c r="O32" i="1"/>
  <c r="P32" i="1"/>
  <c r="O31" i="1"/>
  <c r="P31" i="1"/>
  <c r="J483" i="1"/>
  <c r="O483" i="1"/>
  <c r="P483" i="1"/>
  <c r="J603" i="1"/>
  <c r="O603" i="1"/>
  <c r="P603" i="1"/>
  <c r="J604" i="1"/>
  <c r="O604" i="1"/>
  <c r="P604" i="1"/>
  <c r="J605" i="1"/>
  <c r="O605" i="1"/>
  <c r="P605" i="1"/>
  <c r="J606" i="1"/>
  <c r="O606" i="1"/>
  <c r="P606" i="1"/>
  <c r="J607" i="1"/>
  <c r="O607" i="1"/>
  <c r="P607" i="1"/>
  <c r="J608" i="1"/>
  <c r="O608" i="1"/>
  <c r="P608" i="1"/>
  <c r="J609" i="1"/>
  <c r="O609" i="1"/>
  <c r="P609" i="1"/>
  <c r="J610" i="1"/>
  <c r="O610" i="1"/>
  <c r="P610" i="1"/>
  <c r="R51" i="2"/>
  <c r="O593" i="1"/>
  <c r="P593" i="1"/>
  <c r="O595" i="1"/>
  <c r="P595" i="1"/>
  <c r="O597" i="1"/>
  <c r="P597" i="1"/>
  <c r="O598" i="1"/>
  <c r="P598" i="1"/>
  <c r="O601" i="1"/>
  <c r="P601" i="1"/>
  <c r="O602" i="1"/>
  <c r="P602" i="1"/>
  <c r="U50" i="2"/>
  <c r="J591" i="1"/>
  <c r="O591" i="1"/>
  <c r="P591" i="1"/>
  <c r="J592" i="1"/>
  <c r="O592" i="1"/>
  <c r="P592" i="1"/>
  <c r="J594" i="1"/>
  <c r="O594" i="1"/>
  <c r="P594" i="1"/>
  <c r="J596" i="1"/>
  <c r="O596" i="1"/>
  <c r="P596" i="1"/>
  <c r="J599" i="1"/>
  <c r="O599" i="1"/>
  <c r="P599" i="1"/>
  <c r="J600" i="1"/>
  <c r="O600" i="1"/>
  <c r="P600" i="1"/>
  <c r="R50" i="2"/>
  <c r="J583" i="1"/>
  <c r="O583" i="1"/>
  <c r="P583" i="1"/>
  <c r="J584" i="1"/>
  <c r="O584" i="1"/>
  <c r="P584" i="1"/>
  <c r="J585" i="1"/>
  <c r="O585" i="1"/>
  <c r="P585" i="1"/>
  <c r="J586" i="1"/>
  <c r="O586" i="1"/>
  <c r="P586" i="1"/>
  <c r="J587" i="1"/>
  <c r="O587" i="1"/>
  <c r="P587" i="1"/>
  <c r="J588" i="1"/>
  <c r="O588" i="1"/>
  <c r="P588" i="1"/>
  <c r="J589" i="1"/>
  <c r="O589" i="1"/>
  <c r="P589" i="1"/>
  <c r="J590" i="1"/>
  <c r="O590" i="1"/>
  <c r="P590" i="1"/>
  <c r="R49" i="2"/>
  <c r="J579" i="1"/>
  <c r="O579" i="1"/>
  <c r="P579" i="1"/>
  <c r="J580" i="1"/>
  <c r="O580" i="1"/>
  <c r="P580" i="1"/>
  <c r="J581" i="1"/>
  <c r="O581" i="1"/>
  <c r="P581" i="1"/>
  <c r="J582" i="1"/>
  <c r="O582" i="1"/>
  <c r="P582" i="1"/>
  <c r="R48" i="2"/>
  <c r="J572" i="1"/>
  <c r="O572" i="1"/>
  <c r="P572" i="1"/>
  <c r="J573" i="1"/>
  <c r="O573" i="1"/>
  <c r="P573" i="1"/>
  <c r="J574" i="1"/>
  <c r="O574" i="1"/>
  <c r="P574" i="1"/>
  <c r="J575" i="1"/>
  <c r="O575" i="1"/>
  <c r="P575" i="1"/>
  <c r="J576" i="1"/>
  <c r="O576" i="1"/>
  <c r="P576" i="1"/>
  <c r="J577" i="1"/>
  <c r="O577" i="1"/>
  <c r="P577" i="1"/>
  <c r="J578" i="1"/>
  <c r="O578" i="1"/>
  <c r="P578" i="1"/>
  <c r="R42" i="2"/>
  <c r="J558" i="1"/>
  <c r="O558" i="1"/>
  <c r="P558" i="1"/>
  <c r="J559" i="1"/>
  <c r="O559" i="1"/>
  <c r="P559" i="1"/>
  <c r="J560" i="1"/>
  <c r="O560" i="1"/>
  <c r="P560" i="1"/>
  <c r="J561" i="1"/>
  <c r="O561" i="1"/>
  <c r="P561" i="1"/>
  <c r="R40" i="2"/>
  <c r="J557" i="1"/>
  <c r="O557" i="1"/>
  <c r="P557" i="1"/>
  <c r="J562" i="1"/>
  <c r="O562" i="1"/>
  <c r="P562" i="1"/>
  <c r="J563" i="1"/>
  <c r="O563" i="1"/>
  <c r="P563" i="1"/>
  <c r="J564" i="1"/>
  <c r="O564" i="1"/>
  <c r="P564" i="1"/>
  <c r="J565" i="1"/>
  <c r="O565" i="1"/>
  <c r="P565" i="1"/>
  <c r="J566" i="1"/>
  <c r="O566" i="1"/>
  <c r="P566" i="1"/>
  <c r="J567" i="1"/>
  <c r="O567" i="1"/>
  <c r="P567" i="1"/>
  <c r="J568" i="1"/>
  <c r="O568" i="1"/>
  <c r="P568" i="1"/>
  <c r="J569" i="1"/>
  <c r="O569" i="1"/>
  <c r="P569" i="1"/>
  <c r="J570" i="1"/>
  <c r="O570" i="1"/>
  <c r="P570" i="1"/>
  <c r="U40" i="2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C39" i="2"/>
  <c r="O536" i="1"/>
  <c r="P536" i="1"/>
  <c r="O537" i="1"/>
  <c r="P537" i="1"/>
  <c r="O538" i="1"/>
  <c r="P538" i="1"/>
  <c r="U38" i="2"/>
  <c r="J532" i="1"/>
  <c r="O532" i="1"/>
  <c r="P532" i="1"/>
  <c r="O533" i="1"/>
  <c r="P533" i="1"/>
  <c r="J534" i="1"/>
  <c r="O534" i="1"/>
  <c r="P534" i="1"/>
  <c r="J535" i="1"/>
  <c r="O535" i="1"/>
  <c r="P535" i="1"/>
  <c r="R38" i="2"/>
  <c r="O526" i="1"/>
  <c r="P526" i="1"/>
  <c r="O527" i="1"/>
  <c r="P527" i="1"/>
  <c r="O528" i="1"/>
  <c r="P528" i="1"/>
  <c r="O529" i="1"/>
  <c r="P529" i="1"/>
  <c r="O530" i="1"/>
  <c r="P530" i="1"/>
  <c r="O531" i="1"/>
  <c r="P531" i="1"/>
  <c r="C38" i="2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C37" i="2"/>
  <c r="J503" i="1"/>
  <c r="O503" i="1"/>
  <c r="P503" i="1"/>
  <c r="J504" i="1"/>
  <c r="O504" i="1"/>
  <c r="P504" i="1"/>
  <c r="J509" i="1"/>
  <c r="O509" i="1"/>
  <c r="P509" i="1"/>
  <c r="J508" i="1"/>
  <c r="O508" i="1"/>
  <c r="P508" i="1"/>
  <c r="J507" i="1"/>
  <c r="O507" i="1"/>
  <c r="P507" i="1"/>
  <c r="J506" i="1"/>
  <c r="O506" i="1"/>
  <c r="P506" i="1"/>
  <c r="J505" i="1"/>
  <c r="O505" i="1"/>
  <c r="P505" i="1"/>
  <c r="R35" i="2"/>
  <c r="O497" i="1"/>
  <c r="P497" i="1"/>
  <c r="O498" i="1"/>
  <c r="P498" i="1"/>
  <c r="U34" i="2"/>
  <c r="J496" i="1"/>
  <c r="O496" i="1"/>
  <c r="P496" i="1"/>
  <c r="J499" i="1"/>
  <c r="O499" i="1"/>
  <c r="P499" i="1"/>
  <c r="J502" i="1"/>
  <c r="O502" i="1"/>
  <c r="P502" i="1"/>
  <c r="J501" i="1"/>
  <c r="O501" i="1"/>
  <c r="P501" i="1"/>
  <c r="J500" i="1"/>
  <c r="O500" i="1"/>
  <c r="P500" i="1"/>
  <c r="R34" i="2"/>
  <c r="O490" i="1"/>
  <c r="P490" i="1"/>
  <c r="U33" i="2"/>
  <c r="J491" i="1"/>
  <c r="O491" i="1"/>
  <c r="P491" i="1"/>
  <c r="J492" i="1"/>
  <c r="O492" i="1"/>
  <c r="P492" i="1"/>
  <c r="J495" i="1"/>
  <c r="O495" i="1"/>
  <c r="P495" i="1"/>
  <c r="J494" i="1"/>
  <c r="O494" i="1"/>
  <c r="P494" i="1"/>
  <c r="J493" i="1"/>
  <c r="O493" i="1"/>
  <c r="P493" i="1"/>
  <c r="R33" i="2"/>
  <c r="O71" i="1"/>
  <c r="P71" i="1"/>
  <c r="O78" i="1"/>
  <c r="P78" i="1"/>
  <c r="O79" i="1"/>
  <c r="P79" i="1"/>
  <c r="O80" i="1"/>
  <c r="P80" i="1"/>
  <c r="U22" i="2"/>
  <c r="J72" i="1"/>
  <c r="O72" i="1"/>
  <c r="P72" i="1"/>
  <c r="J73" i="1"/>
  <c r="O73" i="1"/>
  <c r="P73" i="1"/>
  <c r="J77" i="1"/>
  <c r="O77" i="1"/>
  <c r="P77" i="1"/>
  <c r="J76" i="1"/>
  <c r="O76" i="1"/>
  <c r="P76" i="1"/>
  <c r="J75" i="1"/>
  <c r="O75" i="1"/>
  <c r="P75" i="1"/>
  <c r="J74" i="1"/>
  <c r="O74" i="1"/>
  <c r="P74" i="1"/>
  <c r="J81" i="1"/>
  <c r="O81" i="1"/>
  <c r="P81" i="1"/>
  <c r="J84" i="1"/>
  <c r="O84" i="1"/>
  <c r="P84" i="1"/>
  <c r="O83" i="1"/>
  <c r="P83" i="1"/>
  <c r="J82" i="1"/>
  <c r="O82" i="1"/>
  <c r="P82" i="1"/>
  <c r="R22" i="2"/>
  <c r="O58" i="1"/>
  <c r="P58" i="1"/>
  <c r="O59" i="1"/>
  <c r="P59" i="1"/>
  <c r="O60" i="1"/>
  <c r="P60" i="1"/>
  <c r="O61" i="1"/>
  <c r="P61" i="1"/>
  <c r="O62" i="1"/>
  <c r="P62" i="1"/>
  <c r="O63" i="1"/>
  <c r="P63" i="1"/>
  <c r="O65" i="1"/>
  <c r="P65" i="1"/>
  <c r="O66" i="1"/>
  <c r="P66" i="1"/>
  <c r="C21" i="2"/>
  <c r="J57" i="1"/>
  <c r="O57" i="1"/>
  <c r="P57" i="1"/>
  <c r="O68" i="1"/>
  <c r="P68" i="1"/>
  <c r="O69" i="1"/>
  <c r="P69" i="1"/>
  <c r="U21" i="2"/>
  <c r="J56" i="1"/>
  <c r="O56" i="1"/>
  <c r="P56" i="1"/>
  <c r="J64" i="1"/>
  <c r="O64" i="1"/>
  <c r="P64" i="1"/>
  <c r="J67" i="1"/>
  <c r="O67" i="1"/>
  <c r="P67" i="1"/>
  <c r="J70" i="1"/>
  <c r="O70" i="1"/>
  <c r="P70" i="1"/>
  <c r="R21" i="2"/>
  <c r="O47" i="1"/>
  <c r="P47" i="1"/>
  <c r="O49" i="1"/>
  <c r="P49" i="1"/>
  <c r="O52" i="1"/>
  <c r="P52" i="1"/>
  <c r="U20" i="2"/>
  <c r="J48" i="1"/>
  <c r="O48" i="1"/>
  <c r="P48" i="1"/>
  <c r="J50" i="1"/>
  <c r="O50" i="1"/>
  <c r="P50" i="1"/>
  <c r="J51" i="1"/>
  <c r="O51" i="1"/>
  <c r="P51" i="1"/>
  <c r="J53" i="1"/>
  <c r="O53" i="1"/>
  <c r="P53" i="1"/>
  <c r="J54" i="1"/>
  <c r="O54" i="1"/>
  <c r="P54" i="1"/>
  <c r="J55" i="1"/>
  <c r="O55" i="1"/>
  <c r="P55" i="1"/>
  <c r="R20" i="2"/>
  <c r="J40" i="1"/>
  <c r="O40" i="1"/>
  <c r="P40" i="1"/>
  <c r="J41" i="1"/>
  <c r="O41" i="1"/>
  <c r="P41" i="1"/>
  <c r="J42" i="1"/>
  <c r="O42" i="1"/>
  <c r="P42" i="1"/>
  <c r="J43" i="1"/>
  <c r="O43" i="1"/>
  <c r="P43" i="1"/>
  <c r="J44" i="1"/>
  <c r="O44" i="1"/>
  <c r="P44" i="1"/>
  <c r="J45" i="1"/>
  <c r="O45" i="1"/>
  <c r="P45" i="1"/>
  <c r="J46" i="1"/>
  <c r="O46" i="1"/>
  <c r="P46" i="1"/>
  <c r="R19" i="2"/>
  <c r="J33" i="1"/>
  <c r="O33" i="1"/>
  <c r="P33" i="1"/>
  <c r="J39" i="1"/>
  <c r="O39" i="1"/>
  <c r="P39" i="1"/>
  <c r="J38" i="1"/>
  <c r="O38" i="1"/>
  <c r="P38" i="1"/>
  <c r="J37" i="1"/>
  <c r="O37" i="1"/>
  <c r="P37" i="1"/>
  <c r="J36" i="1"/>
  <c r="O36" i="1"/>
  <c r="P36" i="1"/>
  <c r="J35" i="1"/>
  <c r="O35" i="1"/>
  <c r="P35" i="1"/>
  <c r="J34" i="1"/>
  <c r="O34" i="1"/>
  <c r="P34" i="1"/>
  <c r="R18" i="2"/>
  <c r="J27" i="1"/>
  <c r="O27" i="1"/>
  <c r="P27" i="1"/>
  <c r="J28" i="1"/>
  <c r="O28" i="1"/>
  <c r="P28" i="1"/>
  <c r="J29" i="1"/>
  <c r="O29" i="1"/>
  <c r="P29" i="1"/>
  <c r="J30" i="1"/>
  <c r="O30" i="1"/>
  <c r="P30" i="1"/>
  <c r="R15" i="2"/>
  <c r="J17" i="1"/>
  <c r="O17" i="1"/>
  <c r="P17" i="1"/>
  <c r="J18" i="1"/>
  <c r="O18" i="1"/>
  <c r="P18" i="1"/>
  <c r="J19" i="1"/>
  <c r="O19" i="1"/>
  <c r="P19" i="1"/>
  <c r="J22" i="1"/>
  <c r="O22" i="1"/>
  <c r="P22" i="1"/>
  <c r="J25" i="1"/>
  <c r="O25" i="1"/>
  <c r="P25" i="1"/>
  <c r="J26" i="1"/>
  <c r="O26" i="1"/>
  <c r="P26" i="1"/>
  <c r="R14" i="2"/>
  <c r="O15" i="1"/>
  <c r="P15" i="1"/>
  <c r="O16" i="1"/>
  <c r="P16" i="1"/>
  <c r="O20" i="1"/>
  <c r="P20" i="1"/>
  <c r="O21" i="1"/>
  <c r="P21" i="1"/>
  <c r="J23" i="1"/>
  <c r="O23" i="1"/>
  <c r="P23" i="1"/>
  <c r="O24" i="1"/>
  <c r="P24" i="1"/>
  <c r="U14" i="2"/>
  <c r="J5" i="1"/>
  <c r="O5" i="1"/>
  <c r="P5" i="1"/>
  <c r="J9" i="1"/>
  <c r="O9" i="1"/>
  <c r="P9" i="1"/>
  <c r="J10" i="1"/>
  <c r="O10" i="1"/>
  <c r="P10" i="1"/>
  <c r="J11" i="1"/>
  <c r="O11" i="1"/>
  <c r="P11" i="1"/>
  <c r="U13" i="2"/>
  <c r="J4" i="1"/>
  <c r="O4" i="1"/>
  <c r="P4" i="1"/>
  <c r="J6" i="1"/>
  <c r="O6" i="1"/>
  <c r="P6" i="1"/>
  <c r="J7" i="1"/>
  <c r="O7" i="1"/>
  <c r="P7" i="1"/>
  <c r="J8" i="1"/>
  <c r="O8" i="1"/>
  <c r="P8" i="1"/>
  <c r="J12" i="1"/>
  <c r="O12" i="1"/>
  <c r="P12" i="1"/>
  <c r="J13" i="1"/>
  <c r="O13" i="1"/>
  <c r="P13" i="1"/>
  <c r="J14" i="1"/>
  <c r="O14" i="1"/>
  <c r="P14" i="1"/>
  <c r="R13" i="2"/>
  <c r="P416" i="1"/>
  <c r="P418" i="1"/>
  <c r="P419" i="1"/>
  <c r="P420" i="1"/>
  <c r="P421" i="1"/>
  <c r="P422" i="1"/>
  <c r="P423" i="1"/>
  <c r="P424" i="1"/>
  <c r="P425" i="1"/>
  <c r="P426" i="1"/>
  <c r="P430" i="1"/>
  <c r="P429" i="1"/>
  <c r="P428" i="1"/>
  <c r="P427" i="1"/>
  <c r="P432" i="1"/>
  <c r="P433" i="1"/>
  <c r="P434" i="1"/>
  <c r="P435" i="1"/>
  <c r="P441" i="1"/>
  <c r="P440" i="1"/>
  <c r="P439" i="1"/>
  <c r="P438" i="1"/>
  <c r="P437" i="1"/>
  <c r="P436" i="1"/>
  <c r="P452" i="1"/>
  <c r="P454" i="1"/>
  <c r="P457" i="1"/>
  <c r="P459" i="1"/>
  <c r="P462" i="1"/>
  <c r="J386" i="1"/>
  <c r="O386" i="1"/>
  <c r="P386" i="1"/>
  <c r="J387" i="1"/>
  <c r="O387" i="1"/>
  <c r="P387" i="1"/>
  <c r="J388" i="1"/>
  <c r="O388" i="1"/>
  <c r="P388" i="1"/>
  <c r="J389" i="1"/>
  <c r="O389" i="1"/>
  <c r="P389" i="1"/>
  <c r="J390" i="1"/>
  <c r="O390" i="1"/>
  <c r="P390" i="1"/>
  <c r="J391" i="1"/>
  <c r="O391" i="1"/>
  <c r="P391" i="1"/>
  <c r="J392" i="1"/>
  <c r="O392" i="1"/>
  <c r="P392" i="1"/>
  <c r="J393" i="1"/>
  <c r="O393" i="1"/>
  <c r="P393" i="1"/>
  <c r="J394" i="1"/>
  <c r="O394" i="1"/>
  <c r="P394" i="1"/>
  <c r="J395" i="1"/>
  <c r="O395" i="1"/>
  <c r="P395" i="1"/>
  <c r="R30" i="2"/>
  <c r="J376" i="1"/>
  <c r="O376" i="1"/>
  <c r="P376" i="1"/>
  <c r="J377" i="1"/>
  <c r="O377" i="1"/>
  <c r="P377" i="1"/>
  <c r="J378" i="1"/>
  <c r="O378" i="1"/>
  <c r="P378" i="1"/>
  <c r="J379" i="1"/>
  <c r="O379" i="1"/>
  <c r="P379" i="1"/>
  <c r="J380" i="1"/>
  <c r="O380" i="1"/>
  <c r="P380" i="1"/>
  <c r="J381" i="1"/>
  <c r="O381" i="1"/>
  <c r="P381" i="1"/>
  <c r="J382" i="1"/>
  <c r="O382" i="1"/>
  <c r="P382" i="1"/>
  <c r="J383" i="1"/>
  <c r="O383" i="1"/>
  <c r="P383" i="1"/>
  <c r="J384" i="1"/>
  <c r="O384" i="1"/>
  <c r="P384" i="1"/>
  <c r="J385" i="1"/>
  <c r="O385" i="1"/>
  <c r="P385" i="1"/>
  <c r="R29" i="2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I28" i="2"/>
  <c r="J282" i="1"/>
  <c r="O282" i="1"/>
  <c r="P282" i="1"/>
  <c r="J283" i="1"/>
  <c r="O283" i="1"/>
  <c r="P283" i="1"/>
  <c r="J284" i="1"/>
  <c r="O284" i="1"/>
  <c r="P284" i="1"/>
  <c r="J285" i="1"/>
  <c r="O285" i="1"/>
  <c r="P285" i="1"/>
  <c r="R12" i="2"/>
  <c r="O281" i="1"/>
  <c r="P281" i="1"/>
  <c r="U11" i="2"/>
  <c r="J271" i="1"/>
  <c r="O271" i="1"/>
  <c r="P271" i="1"/>
  <c r="J272" i="1"/>
  <c r="O272" i="1"/>
  <c r="P272" i="1"/>
  <c r="J273" i="1"/>
  <c r="O273" i="1"/>
  <c r="P273" i="1"/>
  <c r="J274" i="1"/>
  <c r="O274" i="1"/>
  <c r="P274" i="1"/>
  <c r="J275" i="1"/>
  <c r="O275" i="1"/>
  <c r="P275" i="1"/>
  <c r="J276" i="1"/>
  <c r="O276" i="1"/>
  <c r="P276" i="1"/>
  <c r="J277" i="1"/>
  <c r="O277" i="1"/>
  <c r="P277" i="1"/>
  <c r="J278" i="1"/>
  <c r="O278" i="1"/>
  <c r="P278" i="1"/>
  <c r="J279" i="1"/>
  <c r="O279" i="1"/>
  <c r="P279" i="1"/>
  <c r="J280" i="1"/>
  <c r="O280" i="1"/>
  <c r="P280" i="1"/>
  <c r="R11" i="2"/>
  <c r="O267" i="1"/>
  <c r="P267" i="1"/>
  <c r="U10" i="2"/>
  <c r="J258" i="1"/>
  <c r="O258" i="1"/>
  <c r="P258" i="1"/>
  <c r="J259" i="1"/>
  <c r="O259" i="1"/>
  <c r="P259" i="1"/>
  <c r="J260" i="1"/>
  <c r="O260" i="1"/>
  <c r="P260" i="1"/>
  <c r="J261" i="1"/>
  <c r="O261" i="1"/>
  <c r="P261" i="1"/>
  <c r="J262" i="1"/>
  <c r="O262" i="1"/>
  <c r="P262" i="1"/>
  <c r="J263" i="1"/>
  <c r="O263" i="1"/>
  <c r="P263" i="1"/>
  <c r="J264" i="1"/>
  <c r="O264" i="1"/>
  <c r="P264" i="1"/>
  <c r="J265" i="1"/>
  <c r="O265" i="1"/>
  <c r="P265" i="1"/>
  <c r="J266" i="1"/>
  <c r="O266" i="1"/>
  <c r="P266" i="1"/>
  <c r="J268" i="1"/>
  <c r="O268" i="1"/>
  <c r="P268" i="1"/>
  <c r="J269" i="1"/>
  <c r="O269" i="1"/>
  <c r="P269" i="1"/>
  <c r="J270" i="1"/>
  <c r="O270" i="1"/>
  <c r="P270" i="1"/>
  <c r="R10" i="2"/>
  <c r="O253" i="1"/>
  <c r="P253" i="1"/>
  <c r="O255" i="1"/>
  <c r="P255" i="1"/>
  <c r="U9" i="2"/>
  <c r="J252" i="1"/>
  <c r="O252" i="1"/>
  <c r="P252" i="1"/>
  <c r="J254" i="1"/>
  <c r="O254" i="1"/>
  <c r="P254" i="1"/>
  <c r="J256" i="1"/>
  <c r="O256" i="1"/>
  <c r="P256" i="1"/>
  <c r="J257" i="1"/>
  <c r="O257" i="1"/>
  <c r="P257" i="1"/>
  <c r="R9" i="2"/>
  <c r="O248" i="1"/>
  <c r="P248" i="1"/>
  <c r="U8" i="2"/>
  <c r="J245" i="1"/>
  <c r="O245" i="1"/>
  <c r="P245" i="1"/>
  <c r="J246" i="1"/>
  <c r="O246" i="1"/>
  <c r="P246" i="1"/>
  <c r="J247" i="1"/>
  <c r="O247" i="1"/>
  <c r="P247" i="1"/>
  <c r="J249" i="1"/>
  <c r="O249" i="1"/>
  <c r="P249" i="1"/>
  <c r="J250" i="1"/>
  <c r="O250" i="1"/>
  <c r="P250" i="1"/>
  <c r="J251" i="1"/>
  <c r="O251" i="1"/>
  <c r="P251" i="1"/>
  <c r="R8" i="2"/>
  <c r="J231" i="1"/>
  <c r="O231" i="1"/>
  <c r="P231" i="1"/>
  <c r="J236" i="1"/>
  <c r="O236" i="1"/>
  <c r="P236" i="1"/>
  <c r="J240" i="1"/>
  <c r="O240" i="1"/>
  <c r="P240" i="1"/>
  <c r="J243" i="1"/>
  <c r="O243" i="1"/>
  <c r="P243" i="1"/>
  <c r="J244" i="1"/>
  <c r="O244" i="1"/>
  <c r="P244" i="1"/>
  <c r="R27" i="2"/>
  <c r="O226" i="1"/>
  <c r="P226" i="1"/>
  <c r="O227" i="1"/>
  <c r="P227" i="1"/>
  <c r="O228" i="1"/>
  <c r="P228" i="1"/>
  <c r="O229" i="1"/>
  <c r="P229" i="1"/>
  <c r="O230" i="1"/>
  <c r="P230" i="1"/>
  <c r="O232" i="1"/>
  <c r="P232" i="1"/>
  <c r="O233" i="1"/>
  <c r="P233" i="1"/>
  <c r="O234" i="1"/>
  <c r="P234" i="1"/>
  <c r="O235" i="1"/>
  <c r="P235" i="1"/>
  <c r="O237" i="1"/>
  <c r="P237" i="1"/>
  <c r="O238" i="1"/>
  <c r="P238" i="1"/>
  <c r="O239" i="1"/>
  <c r="P239" i="1"/>
  <c r="O241" i="1"/>
  <c r="P241" i="1"/>
  <c r="O242" i="1"/>
  <c r="P242" i="1"/>
  <c r="I27" i="2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C26" i="2"/>
  <c r="O166" i="1"/>
  <c r="P166" i="1"/>
  <c r="U25" i="2"/>
  <c r="J158" i="1"/>
  <c r="O158" i="1"/>
  <c r="P158" i="1"/>
  <c r="J159" i="1"/>
  <c r="O159" i="1"/>
  <c r="P159" i="1"/>
  <c r="J160" i="1"/>
  <c r="O160" i="1"/>
  <c r="P160" i="1"/>
  <c r="J161" i="1"/>
  <c r="O161" i="1"/>
  <c r="P161" i="1"/>
  <c r="J162" i="1"/>
  <c r="O162" i="1"/>
  <c r="P162" i="1"/>
  <c r="J163" i="1"/>
  <c r="O163" i="1"/>
  <c r="P163" i="1"/>
  <c r="J164" i="1"/>
  <c r="O164" i="1"/>
  <c r="P164" i="1"/>
  <c r="J165" i="1"/>
  <c r="O165" i="1"/>
  <c r="P165" i="1"/>
  <c r="R25" i="2"/>
  <c r="J129" i="1"/>
  <c r="O129" i="1"/>
  <c r="P129" i="1"/>
  <c r="J130" i="1"/>
  <c r="O130" i="1"/>
  <c r="P130" i="1"/>
  <c r="J132" i="1"/>
  <c r="O132" i="1"/>
  <c r="P132" i="1"/>
  <c r="J136" i="1"/>
  <c r="O136" i="1"/>
  <c r="P136" i="1"/>
  <c r="R24" i="2"/>
  <c r="O131" i="1"/>
  <c r="P131" i="1"/>
  <c r="O133" i="1"/>
  <c r="P133" i="1"/>
  <c r="O134" i="1"/>
  <c r="P134" i="1"/>
  <c r="O135" i="1"/>
  <c r="P135" i="1"/>
  <c r="I24" i="2"/>
  <c r="O151" i="1"/>
  <c r="P151" i="1"/>
  <c r="U23" i="2"/>
  <c r="O137" i="1"/>
  <c r="P137" i="1"/>
  <c r="O138" i="1"/>
  <c r="P138" i="1"/>
  <c r="O139" i="1"/>
  <c r="P139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50" i="1"/>
  <c r="P150" i="1"/>
  <c r="O152" i="1"/>
  <c r="P152" i="1"/>
  <c r="O153" i="1"/>
  <c r="P153" i="1"/>
  <c r="O155" i="1"/>
  <c r="P155" i="1"/>
  <c r="O156" i="1"/>
  <c r="P156" i="1"/>
  <c r="I23" i="2"/>
  <c r="J140" i="1"/>
  <c r="O140" i="1"/>
  <c r="P140" i="1"/>
  <c r="J149" i="1"/>
  <c r="O149" i="1"/>
  <c r="P149" i="1"/>
  <c r="J154" i="1"/>
  <c r="O154" i="1"/>
  <c r="P154" i="1"/>
  <c r="J157" i="1"/>
  <c r="O157" i="1"/>
  <c r="P157" i="1"/>
  <c r="R23" i="2"/>
  <c r="J123" i="1"/>
  <c r="O123" i="1"/>
  <c r="P123" i="1"/>
  <c r="J124" i="1"/>
  <c r="O124" i="1"/>
  <c r="P124" i="1"/>
  <c r="J125" i="1"/>
  <c r="O125" i="1"/>
  <c r="P125" i="1"/>
  <c r="J126" i="1"/>
  <c r="O126" i="1"/>
  <c r="P126" i="1"/>
  <c r="J127" i="1"/>
  <c r="O127" i="1"/>
  <c r="P127" i="1"/>
  <c r="J128" i="1"/>
  <c r="O128" i="1"/>
  <c r="P128" i="1"/>
  <c r="R7" i="2"/>
  <c r="J106" i="1"/>
  <c r="O106" i="1"/>
  <c r="P106" i="1"/>
  <c r="J107" i="1"/>
  <c r="O107" i="1"/>
  <c r="P107" i="1"/>
  <c r="J108" i="1"/>
  <c r="O108" i="1"/>
  <c r="P108" i="1"/>
  <c r="J111" i="1"/>
  <c r="O111" i="1"/>
  <c r="P111" i="1"/>
  <c r="J112" i="1"/>
  <c r="O112" i="1"/>
  <c r="P112" i="1"/>
  <c r="J113" i="1"/>
  <c r="O113" i="1"/>
  <c r="P113" i="1"/>
  <c r="J114" i="1"/>
  <c r="O114" i="1"/>
  <c r="P114" i="1"/>
  <c r="J115" i="1"/>
  <c r="O115" i="1"/>
  <c r="P115" i="1"/>
  <c r="J116" i="1"/>
  <c r="O116" i="1"/>
  <c r="P116" i="1"/>
  <c r="R5" i="2"/>
  <c r="O103" i="1"/>
  <c r="P103" i="1"/>
  <c r="O104" i="1"/>
  <c r="P104" i="1"/>
  <c r="O105" i="1"/>
  <c r="P105" i="1"/>
  <c r="J109" i="1"/>
  <c r="O109" i="1"/>
  <c r="P109" i="1"/>
  <c r="O110" i="1"/>
  <c r="P110" i="1"/>
  <c r="O117" i="1"/>
  <c r="P117" i="1"/>
  <c r="O118" i="1"/>
  <c r="P118" i="1"/>
  <c r="J119" i="1"/>
  <c r="O119" i="1"/>
  <c r="P119" i="1"/>
  <c r="J120" i="1"/>
  <c r="O120" i="1"/>
  <c r="P120" i="1"/>
  <c r="J121" i="1"/>
  <c r="O121" i="1"/>
  <c r="P121" i="1"/>
  <c r="U5" i="2"/>
  <c r="J94" i="1"/>
  <c r="O94" i="1"/>
  <c r="P94" i="1"/>
  <c r="J101" i="1"/>
  <c r="O101" i="1"/>
  <c r="P101" i="1"/>
  <c r="O102" i="1"/>
  <c r="P102" i="1"/>
  <c r="R4" i="2"/>
  <c r="O95" i="1"/>
  <c r="P95" i="1"/>
  <c r="O96" i="1"/>
  <c r="P96" i="1"/>
  <c r="O97" i="1"/>
  <c r="P97" i="1"/>
  <c r="O98" i="1"/>
  <c r="P98" i="1"/>
  <c r="C4" i="2"/>
  <c r="O93" i="1"/>
  <c r="P93" i="1"/>
  <c r="O99" i="1"/>
  <c r="P99" i="1"/>
  <c r="O100" i="1"/>
  <c r="P100" i="1"/>
  <c r="U4" i="2"/>
  <c r="J85" i="1"/>
  <c r="O85" i="1"/>
  <c r="P85" i="1"/>
  <c r="J86" i="1"/>
  <c r="O86" i="1"/>
  <c r="P86" i="1"/>
  <c r="J87" i="1"/>
  <c r="O87" i="1"/>
  <c r="P87" i="1"/>
  <c r="J88" i="1"/>
  <c r="O88" i="1"/>
  <c r="P88" i="1"/>
  <c r="J89" i="1"/>
  <c r="O89" i="1"/>
  <c r="P89" i="1"/>
  <c r="J90" i="1"/>
  <c r="O90" i="1"/>
  <c r="P90" i="1"/>
  <c r="J91" i="1"/>
  <c r="O91" i="1"/>
  <c r="P91" i="1"/>
  <c r="J92" i="1"/>
  <c r="O92" i="1"/>
  <c r="P92" i="1"/>
  <c r="R3" i="2"/>
  <c r="O571" i="1"/>
  <c r="P571" i="1"/>
  <c r="S570" i="1"/>
  <c r="S569" i="1"/>
  <c r="S568" i="1"/>
  <c r="S567" i="1"/>
  <c r="S553" i="1"/>
  <c r="S552" i="1"/>
  <c r="S551" i="1"/>
  <c r="S550" i="1"/>
  <c r="S549" i="1"/>
  <c r="S548" i="1"/>
  <c r="S560" i="1"/>
  <c r="S559" i="1"/>
  <c r="S558" i="1"/>
  <c r="S557" i="1"/>
  <c r="S556" i="1"/>
  <c r="S555" i="1"/>
  <c r="S554" i="1"/>
  <c r="S566" i="1"/>
  <c r="S565" i="1"/>
  <c r="S564" i="1"/>
  <c r="S563" i="1"/>
  <c r="S562" i="1"/>
  <c r="S561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41" i="1"/>
  <c r="S440" i="1"/>
  <c r="S439" i="1"/>
  <c r="S438" i="1"/>
  <c r="S437" i="1"/>
  <c r="S436" i="1"/>
  <c r="S435" i="1"/>
  <c r="S434" i="1"/>
  <c r="S442" i="1"/>
  <c r="S433" i="1"/>
  <c r="S431" i="1"/>
  <c r="S426" i="1"/>
  <c r="S430" i="1"/>
  <c r="S429" i="1"/>
  <c r="S425" i="1"/>
  <c r="S424" i="1"/>
  <c r="S423" i="1"/>
  <c r="S422" i="1"/>
  <c r="S428" i="1"/>
  <c r="S421" i="1"/>
  <c r="S432" i="1"/>
  <c r="S427" i="1"/>
  <c r="S420" i="1"/>
  <c r="S406" i="1"/>
  <c r="S405" i="1"/>
  <c r="S404" i="1"/>
  <c r="S403" i="1"/>
  <c r="S402" i="1"/>
  <c r="S401" i="1"/>
  <c r="S400" i="1"/>
  <c r="S399" i="1"/>
  <c r="S398" i="1"/>
  <c r="S394" i="1"/>
  <c r="S393" i="1"/>
  <c r="S392" i="1"/>
  <c r="S391" i="1"/>
  <c r="S390" i="1"/>
  <c r="S389" i="1"/>
  <c r="S388" i="1"/>
  <c r="S465" i="1"/>
  <c r="S464" i="1"/>
  <c r="S463" i="1"/>
  <c r="S462" i="1"/>
  <c r="S450" i="1"/>
  <c r="S461" i="1"/>
  <c r="S449" i="1"/>
  <c r="S448" i="1"/>
  <c r="S447" i="1"/>
  <c r="S446" i="1"/>
  <c r="S445" i="1"/>
  <c r="O510" i="1"/>
  <c r="P510" i="1"/>
  <c r="O489" i="1"/>
  <c r="P489" i="1"/>
  <c r="O122" i="1"/>
  <c r="P122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545" i="1"/>
  <c r="S544" i="1"/>
  <c r="S547" i="1"/>
  <c r="S546" i="1"/>
  <c r="S543" i="1"/>
  <c r="S542" i="1"/>
  <c r="S541" i="1"/>
  <c r="S540" i="1"/>
  <c r="S534" i="1"/>
  <c r="S539" i="1"/>
  <c r="S533" i="1"/>
  <c r="S532" i="1"/>
  <c r="S531" i="1"/>
  <c r="S538" i="1"/>
  <c r="S537" i="1"/>
  <c r="S530" i="1"/>
  <c r="S529" i="1"/>
  <c r="S536" i="1"/>
  <c r="S535" i="1"/>
  <c r="S453" i="1"/>
  <c r="S452" i="1"/>
  <c r="S451" i="1"/>
  <c r="S466" i="1"/>
  <c r="S444" i="1"/>
  <c r="S443" i="1"/>
  <c r="S460" i="1"/>
  <c r="S459" i="1"/>
  <c r="S458" i="1"/>
  <c r="S457" i="1"/>
  <c r="S456" i="1"/>
  <c r="S455" i="1"/>
  <c r="S454" i="1"/>
  <c r="S419" i="1"/>
  <c r="S410" i="1"/>
  <c r="S409" i="1"/>
  <c r="S418" i="1"/>
  <c r="S408" i="1"/>
  <c r="S417" i="1"/>
  <c r="S416" i="1"/>
  <c r="S415" i="1"/>
  <c r="S407" i="1"/>
  <c r="S414" i="1"/>
  <c r="S413" i="1"/>
  <c r="S412" i="1"/>
  <c r="S411" i="1"/>
  <c r="S397" i="1"/>
  <c r="S396" i="1"/>
  <c r="S395" i="1"/>
  <c r="S387" i="1"/>
  <c r="S386" i="1"/>
  <c r="S385" i="1"/>
  <c r="S384" i="1"/>
  <c r="S383" i="1"/>
  <c r="S382" i="1"/>
  <c r="S381" i="1"/>
  <c r="S380" i="1"/>
  <c r="S379" i="1"/>
  <c r="S378" i="1"/>
  <c r="S377" i="1"/>
  <c r="S508" i="1"/>
  <c r="S507" i="1"/>
  <c r="S506" i="1"/>
  <c r="S505" i="1"/>
  <c r="S504" i="1"/>
  <c r="S503" i="1"/>
  <c r="S502" i="1"/>
  <c r="S500" i="1"/>
  <c r="S499" i="1"/>
  <c r="S498" i="1"/>
  <c r="S497" i="1"/>
  <c r="S501" i="1"/>
  <c r="S496" i="1"/>
  <c r="S495" i="1"/>
  <c r="S494" i="1"/>
  <c r="S493" i="1"/>
  <c r="S492" i="1"/>
  <c r="S491" i="1"/>
  <c r="S490" i="1"/>
  <c r="S48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376" i="1"/>
  <c r="S375" i="1"/>
  <c r="S374" i="1"/>
  <c r="S373" i="1"/>
  <c r="S372" i="1"/>
  <c r="S371" i="1"/>
  <c r="S370" i="1"/>
  <c r="S369" i="1"/>
  <c r="S364" i="1"/>
  <c r="S368" i="1"/>
  <c r="S367" i="1"/>
  <c r="S366" i="1"/>
  <c r="S365" i="1"/>
  <c r="S363" i="1"/>
  <c r="S352" i="1"/>
  <c r="S362" i="1"/>
  <c r="S361" i="1"/>
  <c r="S360" i="1"/>
  <c r="S351" i="1"/>
  <c r="S359" i="1"/>
  <c r="S350" i="1"/>
  <c r="S358" i="1"/>
  <c r="S357" i="1"/>
  <c r="S349" i="1"/>
  <c r="S356" i="1"/>
  <c r="S355" i="1"/>
  <c r="S354" i="1"/>
  <c r="S353" i="1"/>
  <c r="S348" i="1"/>
  <c r="S347" i="1"/>
  <c r="S346" i="1"/>
  <c r="S345" i="1"/>
  <c r="S344" i="1"/>
  <c r="S343" i="1"/>
  <c r="S338" i="1"/>
  <c r="S342" i="1"/>
  <c r="S341" i="1"/>
  <c r="S340" i="1"/>
  <c r="S339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104" i="1"/>
  <c r="S105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6" i="1"/>
  <c r="S89" i="1"/>
  <c r="S88" i="1"/>
  <c r="S87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4" i="1"/>
  <c r="S63" i="1"/>
  <c r="S62" i="1"/>
  <c r="S61" i="1"/>
  <c r="S67" i="1"/>
  <c r="S60" i="1"/>
  <c r="S59" i="1"/>
  <c r="S58" i="1"/>
  <c r="S66" i="1"/>
  <c r="S65" i="1"/>
  <c r="S303" i="1"/>
  <c r="S296" i="1"/>
  <c r="S295" i="1"/>
  <c r="S294" i="1"/>
  <c r="S293" i="1"/>
  <c r="S292" i="1"/>
  <c r="S291" i="1"/>
  <c r="S290" i="1"/>
  <c r="S289" i="1"/>
  <c r="S288" i="1"/>
  <c r="S301" i="1"/>
  <c r="S300" i="1"/>
  <c r="S302" i="1"/>
  <c r="S287" i="1"/>
  <c r="S286" i="1"/>
  <c r="S285" i="1"/>
  <c r="S299" i="1"/>
  <c r="S284" i="1"/>
  <c r="S283" i="1"/>
  <c r="S282" i="1"/>
  <c r="S298" i="1"/>
  <c r="S281" i="1"/>
  <c r="S297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6" i="1"/>
  <c r="S195" i="1"/>
  <c r="S194" i="1"/>
  <c r="S193" i="1"/>
  <c r="S199" i="1"/>
  <c r="S198" i="1"/>
  <c r="S192" i="1"/>
  <c r="S197" i="1"/>
  <c r="S191" i="1"/>
  <c r="S190" i="1"/>
  <c r="S189" i="1"/>
  <c r="S188" i="1"/>
  <c r="S187" i="1"/>
  <c r="S186" i="1"/>
  <c r="S185" i="1"/>
  <c r="S184" i="1"/>
  <c r="S182" i="1"/>
  <c r="S181" i="1"/>
  <c r="S180" i="1"/>
  <c r="S179" i="1"/>
  <c r="S183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29" i="1"/>
  <c r="S36" i="1"/>
  <c r="S35" i="1"/>
  <c r="S28" i="1"/>
  <c r="S34" i="1"/>
  <c r="S27" i="1"/>
  <c r="S33" i="1"/>
  <c r="S30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6" i="1"/>
  <c r="S4" i="1"/>
  <c r="S8" i="1"/>
  <c r="S7" i="1"/>
  <c r="S6" i="1"/>
  <c r="S5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4" i="1"/>
  <c r="S163" i="1"/>
  <c r="S162" i="1"/>
  <c r="S161" i="1"/>
  <c r="S165" i="1"/>
  <c r="S160" i="1"/>
  <c r="S159" i="1"/>
  <c r="S155" i="1"/>
  <c r="S154" i="1"/>
  <c r="S158" i="1"/>
  <c r="S153" i="1"/>
  <c r="S157" i="1"/>
  <c r="S156" i="1"/>
  <c r="S152" i="1"/>
  <c r="S151" i="1"/>
  <c r="S150" i="1"/>
  <c r="S149" i="1"/>
  <c r="S148" i="1"/>
  <c r="S147" i="1"/>
  <c r="S146" i="1"/>
  <c r="S145" i="1"/>
  <c r="S144" i="1"/>
  <c r="S140" i="1"/>
  <c r="S139" i="1"/>
  <c r="S143" i="1"/>
  <c r="S142" i="1"/>
  <c r="S138" i="1"/>
  <c r="S137" i="1"/>
  <c r="S141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</calcChain>
</file>

<file path=xl/sharedStrings.xml><?xml version="1.0" encoding="utf-8"?>
<sst xmlns="http://schemas.openxmlformats.org/spreadsheetml/2006/main" count="1322" uniqueCount="78">
  <si>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</si>
  <si>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</si>
  <si>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</si>
  <si>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</si>
  <si>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</si>
  <si>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</si>
  <si>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</si>
  <si>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</si>
  <si>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</si>
  <si>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</si>
  <si>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</si>
  <si>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</si>
  <si>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</si>
  <si>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</si>
  <si>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</si>
  <si>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</si>
  <si>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</si>
  <si>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</si>
  <si>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</si>
  <si>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</si>
  <si>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</si>
  <si>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</si>
  <si>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</si>
  <si>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</si>
  <si>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</si>
  <si>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</si>
  <si>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</si>
  <si>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</si>
  <si>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</si>
  <si>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</si>
  <si>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</si>
  <si>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</si>
  <si>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</si>
  <si>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</si>
  <si>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</si>
  <si>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</si>
  <si>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</si>
  <si>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</si>
  <si>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</si>
  <si>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</si>
  <si>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</si>
  <si>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</si>
  <si>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</si>
  <si>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</si>
  <si>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</si>
  <si>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</si>
  <si>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</si>
  <si>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</si>
  <si>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</si>
  <si>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</si>
  <si>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</si>
  <si>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</si>
  <si>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</si>
  <si>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</si>
  <si>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</si>
  <si>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</si>
  <si>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</si>
  <si>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</si>
  <si>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</si>
  <si>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</si>
  <si>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Clean biomass (g) (only values)</t>
  </si>
  <si>
    <t>T. latifolia</t>
  </si>
  <si>
    <t>T. domingensis</t>
  </si>
  <si>
    <t>THATCHED</t>
  </si>
  <si>
    <t>S. acutus</t>
  </si>
  <si>
    <t>Thatched</t>
  </si>
  <si>
    <t>S. californicus</t>
  </si>
  <si>
    <t>AIRBOAT TRAIL</t>
  </si>
  <si>
    <t>m1e</t>
  </si>
  <si>
    <t>m1w</t>
  </si>
  <si>
    <t>c1</t>
  </si>
  <si>
    <t>m2</t>
  </si>
  <si>
    <t>c2</t>
  </si>
  <si>
    <t>m3</t>
  </si>
  <si>
    <t>m4s</t>
  </si>
  <si>
    <t>m4c</t>
  </si>
  <si>
    <t>m4n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</si>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</sst>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0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10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0"/>
  <sheetViews>
    <sheetView tabSelected="1" zoomScale="125" zoomScaleNormal="125" zoomScalePageLayoutView="125" workbookViewId="0">
      <selection activeCell="O253" sqref="O253"/>
    </sheetView>
  </sheetViews>
  <sheetFormatPr baseColWidth="10" defaultRowHeight="16" x14ac:dyDescent="0.2"/>
  <sheetData>
    <row r="1" spans="1:19" x14ac:dyDescent="0.2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10"/>
      <c r="Q1" s="1"/>
      <c r="R1" s="1"/>
    </row>
    <row r="2" spans="1:19" x14ac:dyDescent="0.2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11"/>
      <c r="Q2" s="2"/>
      <c r="R2" s="2"/>
    </row>
    <row r="3" spans="1:19" ht="64" x14ac:dyDescent="0.2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60</v>
      </c>
      <c r="Q3" s="5" t="s">
        <v>17</v>
      </c>
      <c r="R3" s="5" t="s">
        <v>18</v>
      </c>
      <c r="S3" s="5" t="s">
        <v>26</v>
      </c>
    </row>
    <row r="4" spans="1:19" x14ac:dyDescent="0.2">
      <c r="A4" s="9">
        <v>42676</v>
      </c>
      <c r="B4" s="8" t="s">
        <v>68</v>
      </c>
      <c r="C4" s="8">
        <v>43</v>
      </c>
      <c r="D4" s="8" t="s">
        <v>61</v>
      </c>
      <c r="F4" s="8">
        <v>2.69</v>
      </c>
      <c r="J4">
        <f>65+32+25+110+152+190+227</f>
        <v>801</v>
      </c>
      <c r="K4">
        <v>7</v>
      </c>
      <c r="L4">
        <v>227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americanus",F4*[1]Sheet1!$C$6+E4*[1]Sheet1!$D$6+[1]Sheet1!$L$6,IF(AND(OR(D4="T.Domingensis",D4="T. latifolia"),E4&gt;0),F4*[1]Sheet1!$C$4+E4*[1]Sheet1!$D$4+H4*[1]Sheet1!$J$4+I4*[1]Sheet1!$K$4+[1]Sheet1!$L$4,IF(AND(OR(D4="T. domingensis",D4="T. latifolia"),J4&gt;0),J4*[1]Sheet1!$G$5+K4*[1]Sheet1!$H$5+L4*[1]Sheet1!$I$5+[1]Sheet1!$L$5,0)))))))</f>
        <v>-9.4043469999999942</v>
      </c>
      <c r="P4" t="str">
        <f t="shared" ref="P4:P69" si="0">IF(O4&lt;0," ",O4)</f>
        <v xml:space="preserve"> </v>
      </c>
      <c r="S4">
        <f t="shared" ref="S4:S69" si="1">3.14159*((F4/2)^2)</f>
        <v>5.6832148497499997</v>
      </c>
    </row>
    <row r="5" spans="1:19" x14ac:dyDescent="0.2">
      <c r="A5" s="9">
        <v>42676</v>
      </c>
      <c r="B5" s="8" t="s">
        <v>68</v>
      </c>
      <c r="C5" s="8">
        <v>43</v>
      </c>
      <c r="D5" s="8" t="s">
        <v>62</v>
      </c>
      <c r="F5" s="8">
        <v>2.67</v>
      </c>
      <c r="J5">
        <f>363+394+398+408+412</f>
        <v>1975</v>
      </c>
      <c r="K5">
        <v>5</v>
      </c>
      <c r="L5">
        <v>412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58.978404000000033</v>
      </c>
      <c r="P5">
        <f t="shared" si="0"/>
        <v>58.978404000000033</v>
      </c>
      <c r="S5">
        <f t="shared" si="1"/>
        <v>5.5990202377499996</v>
      </c>
    </row>
    <row r="6" spans="1:19" x14ac:dyDescent="0.2">
      <c r="A6" s="9">
        <v>42676</v>
      </c>
      <c r="B6" s="8" t="s">
        <v>68</v>
      </c>
      <c r="C6" s="8">
        <v>43</v>
      </c>
      <c r="D6" s="8" t="s">
        <v>61</v>
      </c>
      <c r="F6" s="8">
        <v>2.8</v>
      </c>
      <c r="J6">
        <f>60+119+169+304+333</f>
        <v>985</v>
      </c>
      <c r="K6">
        <v>5</v>
      </c>
      <c r="L6">
        <v>333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-10.040690999999995</v>
      </c>
      <c r="P6" t="str">
        <f t="shared" si="0"/>
        <v xml:space="preserve"> </v>
      </c>
      <c r="S6">
        <f t="shared" si="1"/>
        <v>6.1575163999999987</v>
      </c>
    </row>
    <row r="7" spans="1:19" x14ac:dyDescent="0.2">
      <c r="A7" s="9">
        <v>42676</v>
      </c>
      <c r="B7" s="8" t="s">
        <v>68</v>
      </c>
      <c r="C7" s="8">
        <v>43</v>
      </c>
      <c r="D7" s="8" t="s">
        <v>61</v>
      </c>
      <c r="F7" s="8">
        <v>1.84</v>
      </c>
      <c r="J7">
        <f>320+359+396+375+413</f>
        <v>1863</v>
      </c>
      <c r="K7">
        <v>5</v>
      </c>
      <c r="L7">
        <v>396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53.297764000000022</v>
      </c>
      <c r="P7">
        <f t="shared" si="0"/>
        <v>53.297764000000022</v>
      </c>
      <c r="S7">
        <f t="shared" si="1"/>
        <v>2.659041776</v>
      </c>
    </row>
    <row r="8" spans="1:19" x14ac:dyDescent="0.2">
      <c r="A8" s="9">
        <v>42676</v>
      </c>
      <c r="B8" s="8" t="s">
        <v>68</v>
      </c>
      <c r="C8" s="8">
        <v>43</v>
      </c>
      <c r="D8" s="8" t="s">
        <v>61</v>
      </c>
      <c r="F8" s="8">
        <v>2.14</v>
      </c>
      <c r="J8">
        <f>42+90+91+128+149+154</f>
        <v>654</v>
      </c>
      <c r="K8">
        <v>6</v>
      </c>
      <c r="L8">
        <v>154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5.826906000000001</v>
      </c>
      <c r="P8">
        <f t="shared" si="0"/>
        <v>5.826906000000001</v>
      </c>
      <c r="S8">
        <f t="shared" si="1"/>
        <v>3.5968063909999999</v>
      </c>
    </row>
    <row r="9" spans="1:19" x14ac:dyDescent="0.2">
      <c r="A9" s="9">
        <v>42676</v>
      </c>
      <c r="B9" s="8" t="s">
        <v>68</v>
      </c>
      <c r="C9" s="8">
        <v>43</v>
      </c>
      <c r="D9" s="8" t="s">
        <v>62</v>
      </c>
      <c r="F9" s="8">
        <v>2.09</v>
      </c>
      <c r="H9" s="8"/>
      <c r="J9">
        <f>369+370+372+372+372+372+375</f>
        <v>2602</v>
      </c>
      <c r="K9">
        <v>7</v>
      </c>
      <c r="L9">
        <v>375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114.864148</v>
      </c>
      <c r="P9">
        <f t="shared" si="0"/>
        <v>114.864148</v>
      </c>
      <c r="S9">
        <f t="shared" si="1"/>
        <v>3.4306948197499993</v>
      </c>
    </row>
    <row r="10" spans="1:19" x14ac:dyDescent="0.2">
      <c r="A10" s="9">
        <v>42676</v>
      </c>
      <c r="B10" s="8" t="s">
        <v>68</v>
      </c>
      <c r="C10" s="8">
        <v>43</v>
      </c>
      <c r="D10" s="8" t="s">
        <v>62</v>
      </c>
      <c r="F10" s="8">
        <v>2.5</v>
      </c>
      <c r="J10">
        <f>389+404</f>
        <v>793</v>
      </c>
      <c r="K10">
        <v>2</v>
      </c>
      <c r="L10">
        <v>404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-28.36298699999999</v>
      </c>
      <c r="P10" t="str">
        <f t="shared" si="0"/>
        <v xml:space="preserve"> </v>
      </c>
      <c r="S10">
        <f t="shared" si="1"/>
        <v>4.9087343749999999</v>
      </c>
    </row>
    <row r="11" spans="1:19" x14ac:dyDescent="0.2">
      <c r="A11" s="9">
        <v>42676</v>
      </c>
      <c r="B11" s="8" t="s">
        <v>68</v>
      </c>
      <c r="C11" s="8">
        <v>43</v>
      </c>
      <c r="D11" s="8" t="s">
        <v>62</v>
      </c>
      <c r="F11" s="8">
        <v>2.06</v>
      </c>
      <c r="J11">
        <f>317+344+356+377+384</f>
        <v>1778</v>
      </c>
      <c r="K11">
        <v>5</v>
      </c>
      <c r="L11">
        <v>384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48.943529000000019</v>
      </c>
      <c r="P11">
        <f t="shared" si="0"/>
        <v>48.943529000000019</v>
      </c>
      <c r="S11">
        <f t="shared" si="1"/>
        <v>3.3329128309999998</v>
      </c>
    </row>
    <row r="12" spans="1:19" x14ac:dyDescent="0.2">
      <c r="A12" s="9">
        <v>42676</v>
      </c>
      <c r="B12" s="8" t="s">
        <v>68</v>
      </c>
      <c r="C12" s="8">
        <v>43</v>
      </c>
      <c r="D12" s="8" t="s">
        <v>61</v>
      </c>
      <c r="F12" s="8">
        <v>1.03</v>
      </c>
      <c r="J12">
        <f>77+99+168+142+214</f>
        <v>700</v>
      </c>
      <c r="K12">
        <v>5</v>
      </c>
      <c r="L12">
        <v>214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-0.9127110000000016</v>
      </c>
      <c r="P12" t="str">
        <f t="shared" si="0"/>
        <v xml:space="preserve"> </v>
      </c>
      <c r="S12">
        <f t="shared" si="1"/>
        <v>0.83322820774999995</v>
      </c>
    </row>
    <row r="13" spans="1:19" x14ac:dyDescent="0.2">
      <c r="A13" s="9">
        <v>42676</v>
      </c>
      <c r="B13" s="8" t="s">
        <v>68</v>
      </c>
      <c r="C13" s="8">
        <v>43</v>
      </c>
      <c r="D13" s="8" t="s">
        <v>61</v>
      </c>
      <c r="F13" s="8">
        <v>1.94</v>
      </c>
      <c r="J13">
        <f>329+339</f>
        <v>668</v>
      </c>
      <c r="K13">
        <v>2</v>
      </c>
      <c r="L13">
        <v>339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-20.501436999999989</v>
      </c>
      <c r="P13" t="str">
        <f t="shared" si="0"/>
        <v xml:space="preserve"> </v>
      </c>
      <c r="S13">
        <f t="shared" si="1"/>
        <v>2.9559220309999996</v>
      </c>
    </row>
    <row r="14" spans="1:19" x14ac:dyDescent="0.2">
      <c r="A14" s="9">
        <v>42676</v>
      </c>
      <c r="B14" s="8" t="s">
        <v>68</v>
      </c>
      <c r="C14" s="8">
        <v>43</v>
      </c>
      <c r="D14" s="8" t="s">
        <v>61</v>
      </c>
      <c r="F14" s="8">
        <v>1.39</v>
      </c>
      <c r="J14">
        <f>110+164+208+220</f>
        <v>702</v>
      </c>
      <c r="K14">
        <v>4</v>
      </c>
      <c r="L14">
        <v>220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4.4896820000000091</v>
      </c>
      <c r="P14">
        <f t="shared" si="0"/>
        <v>4.4896820000000091</v>
      </c>
      <c r="S14">
        <f t="shared" si="1"/>
        <v>1.5174665097499997</v>
      </c>
    </row>
    <row r="15" spans="1:19" x14ac:dyDescent="0.2">
      <c r="A15" s="9">
        <v>42676</v>
      </c>
      <c r="B15" s="8" t="s">
        <v>68</v>
      </c>
      <c r="C15" s="8">
        <v>30</v>
      </c>
      <c r="D15" s="8" t="s">
        <v>62</v>
      </c>
      <c r="E15">
        <v>253</v>
      </c>
      <c r="F15" s="8">
        <v>2.57</v>
      </c>
      <c r="H15">
        <v>21</v>
      </c>
      <c r="I15">
        <v>2.42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90.025803849999988</v>
      </c>
      <c r="P15">
        <f t="shared" si="0"/>
        <v>90.025803849999988</v>
      </c>
      <c r="S15">
        <f t="shared" si="1"/>
        <v>5.1874719477499989</v>
      </c>
    </row>
    <row r="16" spans="1:19" x14ac:dyDescent="0.2">
      <c r="A16" s="9">
        <v>42676</v>
      </c>
      <c r="B16" s="8" t="s">
        <v>68</v>
      </c>
      <c r="C16" s="8">
        <v>30</v>
      </c>
      <c r="D16" s="8" t="s">
        <v>62</v>
      </c>
      <c r="E16">
        <v>371</v>
      </c>
      <c r="F16" s="8">
        <v>2.4900000000000002</v>
      </c>
      <c r="H16">
        <v>60</v>
      </c>
      <c r="I16">
        <v>2.25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157.65091053</v>
      </c>
      <c r="P16">
        <f t="shared" si="0"/>
        <v>157.65091053</v>
      </c>
      <c r="S16">
        <f t="shared" si="1"/>
        <v>4.8695430397500008</v>
      </c>
    </row>
    <row r="17" spans="1:19" x14ac:dyDescent="0.2">
      <c r="A17" s="9">
        <v>42676</v>
      </c>
      <c r="B17" s="8" t="s">
        <v>68</v>
      </c>
      <c r="C17" s="8">
        <v>30</v>
      </c>
      <c r="D17" s="8" t="s">
        <v>61</v>
      </c>
      <c r="F17" s="8">
        <v>1.9</v>
      </c>
      <c r="J17">
        <f>138+135+165+178</f>
        <v>616</v>
      </c>
      <c r="K17">
        <v>4</v>
      </c>
      <c r="L17">
        <v>178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9.0790420000000047</v>
      </c>
      <c r="P17">
        <f t="shared" si="0"/>
        <v>9.0790420000000047</v>
      </c>
      <c r="S17">
        <f t="shared" si="1"/>
        <v>2.835284975</v>
      </c>
    </row>
    <row r="18" spans="1:19" x14ac:dyDescent="0.2">
      <c r="A18" s="9">
        <v>42676</v>
      </c>
      <c r="B18" s="8" t="s">
        <v>68</v>
      </c>
      <c r="C18" s="8">
        <v>30</v>
      </c>
      <c r="D18" s="8" t="s">
        <v>61</v>
      </c>
      <c r="F18" s="8">
        <v>1.86</v>
      </c>
      <c r="J18">
        <f>151+260+288</f>
        <v>699</v>
      </c>
      <c r="K18">
        <v>3</v>
      </c>
      <c r="L18">
        <v>288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-9.2538899999999913</v>
      </c>
      <c r="P18" t="str">
        <f t="shared" si="0"/>
        <v xml:space="preserve"> </v>
      </c>
      <c r="S18">
        <f t="shared" si="1"/>
        <v>2.7171611910000002</v>
      </c>
    </row>
    <row r="19" spans="1:19" x14ac:dyDescent="0.2">
      <c r="A19" s="9">
        <v>42676</v>
      </c>
      <c r="B19" s="8" t="s">
        <v>68</v>
      </c>
      <c r="C19" s="8">
        <v>30</v>
      </c>
      <c r="D19" s="8" t="s">
        <v>61</v>
      </c>
      <c r="F19" s="8">
        <v>1.6</v>
      </c>
      <c r="J19">
        <f>219+249+254+283+293</f>
        <v>1298</v>
      </c>
      <c r="K19">
        <v>5</v>
      </c>
      <c r="L19">
        <v>293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31.354424000000002</v>
      </c>
      <c r="P19">
        <f t="shared" si="0"/>
        <v>31.354424000000002</v>
      </c>
      <c r="S19">
        <f t="shared" si="1"/>
        <v>2.0106176000000002</v>
      </c>
    </row>
    <row r="20" spans="1:19" x14ac:dyDescent="0.2">
      <c r="A20" s="9">
        <v>42676</v>
      </c>
      <c r="B20" s="8" t="s">
        <v>68</v>
      </c>
      <c r="C20" s="8">
        <v>30</v>
      </c>
      <c r="D20" s="8" t="s">
        <v>62</v>
      </c>
      <c r="E20">
        <v>386</v>
      </c>
      <c r="F20" s="8">
        <v>3.06</v>
      </c>
      <c r="H20">
        <v>25</v>
      </c>
      <c r="I20">
        <v>2.44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143.95168174</v>
      </c>
      <c r="P20">
        <f t="shared" si="0"/>
        <v>143.95168174</v>
      </c>
      <c r="S20">
        <f t="shared" si="1"/>
        <v>7.3541480309999994</v>
      </c>
    </row>
    <row r="21" spans="1:19" x14ac:dyDescent="0.2">
      <c r="A21" s="9">
        <v>42676</v>
      </c>
      <c r="B21" s="8" t="s">
        <v>68</v>
      </c>
      <c r="C21" s="8">
        <v>30</v>
      </c>
      <c r="D21" s="8" t="s">
        <v>62</v>
      </c>
      <c r="E21">
        <v>367</v>
      </c>
      <c r="F21" s="8">
        <v>3.05</v>
      </c>
      <c r="H21">
        <v>33</v>
      </c>
      <c r="I21">
        <v>2.8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151.71824825000002</v>
      </c>
      <c r="P21">
        <f t="shared" si="0"/>
        <v>151.71824825000002</v>
      </c>
      <c r="S21">
        <f t="shared" si="1"/>
        <v>7.3061602437499982</v>
      </c>
    </row>
    <row r="22" spans="1:19" x14ac:dyDescent="0.2">
      <c r="A22" s="9">
        <v>42676</v>
      </c>
      <c r="B22" s="8" t="s">
        <v>68</v>
      </c>
      <c r="C22" s="8">
        <v>30</v>
      </c>
      <c r="D22" s="8" t="s">
        <v>61</v>
      </c>
      <c r="F22" s="8">
        <v>3.95</v>
      </c>
      <c r="J22">
        <f>223+308</f>
        <v>531</v>
      </c>
      <c r="K22">
        <v>2</v>
      </c>
      <c r="L22">
        <v>308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-24.007276999999988</v>
      </c>
      <c r="P22" t="str">
        <f t="shared" si="0"/>
        <v xml:space="preserve"> </v>
      </c>
      <c r="S22">
        <f t="shared" si="1"/>
        <v>12.25416449375</v>
      </c>
    </row>
    <row r="23" spans="1:19" x14ac:dyDescent="0.2">
      <c r="A23" s="9">
        <v>42676</v>
      </c>
      <c r="B23" s="8" t="s">
        <v>68</v>
      </c>
      <c r="C23" s="8">
        <v>30</v>
      </c>
      <c r="D23" s="8" t="s">
        <v>62</v>
      </c>
      <c r="F23" s="8">
        <v>2.67</v>
      </c>
      <c r="J23">
        <f>370+340+360+342</f>
        <v>1412</v>
      </c>
      <c r="K23">
        <v>4</v>
      </c>
      <c r="L23">
        <v>370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25.868981999999995</v>
      </c>
      <c r="P23">
        <f t="shared" si="0"/>
        <v>25.868981999999995</v>
      </c>
      <c r="S23">
        <f t="shared" si="1"/>
        <v>5.5990202377499996</v>
      </c>
    </row>
    <row r="24" spans="1:19" x14ac:dyDescent="0.2">
      <c r="A24" s="9">
        <v>42676</v>
      </c>
      <c r="B24" s="8" t="s">
        <v>68</v>
      </c>
      <c r="C24" s="8">
        <v>30</v>
      </c>
      <c r="D24" s="8" t="s">
        <v>62</v>
      </c>
      <c r="E24">
        <v>298</v>
      </c>
      <c r="F24" s="8">
        <v>5.0599999999999996</v>
      </c>
      <c r="H24">
        <v>20</v>
      </c>
      <c r="I24">
        <v>2.82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157.72552618</v>
      </c>
      <c r="P24">
        <f t="shared" si="0"/>
        <v>157.72552618</v>
      </c>
      <c r="S24">
        <f t="shared" si="1"/>
        <v>20.109003430999998</v>
      </c>
    </row>
    <row r="25" spans="1:19" x14ac:dyDescent="0.2">
      <c r="A25" s="9">
        <v>42676</v>
      </c>
      <c r="B25" s="8" t="s">
        <v>68</v>
      </c>
      <c r="C25" s="8">
        <v>30</v>
      </c>
      <c r="D25" s="8" t="s">
        <v>61</v>
      </c>
      <c r="F25" s="8">
        <v>1.37</v>
      </c>
      <c r="J25">
        <f>135+196+232+265</f>
        <v>828</v>
      </c>
      <c r="K25">
        <v>4</v>
      </c>
      <c r="L25">
        <v>265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2.7467870000000048</v>
      </c>
      <c r="P25">
        <f t="shared" si="0"/>
        <v>2.7467870000000048</v>
      </c>
      <c r="S25">
        <f t="shared" si="1"/>
        <v>1.4741125677500002</v>
      </c>
    </row>
    <row r="26" spans="1:19" x14ac:dyDescent="0.2">
      <c r="A26" s="9">
        <v>42676</v>
      </c>
      <c r="B26" s="8" t="s">
        <v>68</v>
      </c>
      <c r="C26" s="8">
        <v>30</v>
      </c>
      <c r="D26" s="8" t="s">
        <v>61</v>
      </c>
      <c r="F26" s="8">
        <v>4.1100000000000003</v>
      </c>
      <c r="J26">
        <f>348+340+368+370+400</f>
        <v>1826</v>
      </c>
      <c r="K26">
        <v>5</v>
      </c>
      <c r="L26">
        <v>400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48.623849000000014</v>
      </c>
      <c r="P26">
        <f t="shared" si="0"/>
        <v>48.623849000000014</v>
      </c>
      <c r="S26">
        <f t="shared" si="1"/>
        <v>13.267013109750001</v>
      </c>
    </row>
    <row r="27" spans="1:19" x14ac:dyDescent="0.2">
      <c r="A27" s="9">
        <v>42676</v>
      </c>
      <c r="B27" s="8" t="s">
        <v>68</v>
      </c>
      <c r="C27" s="8">
        <v>28</v>
      </c>
      <c r="D27" s="8" t="s">
        <v>61</v>
      </c>
      <c r="F27" s="8">
        <v>3.82</v>
      </c>
      <c r="J27">
        <f>229+262+281+287+321+324+326</f>
        <v>2030</v>
      </c>
      <c r="K27">
        <v>7</v>
      </c>
      <c r="L27">
        <v>326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75.997293000000013</v>
      </c>
      <c r="P27">
        <f t="shared" si="0"/>
        <v>75.997293000000013</v>
      </c>
      <c r="S27">
        <f t="shared" si="1"/>
        <v>11.460834478999999</v>
      </c>
    </row>
    <row r="28" spans="1:19" x14ac:dyDescent="0.2">
      <c r="A28" s="9">
        <v>42676</v>
      </c>
      <c r="B28" s="8" t="s">
        <v>68</v>
      </c>
      <c r="C28" s="8">
        <v>28</v>
      </c>
      <c r="D28" s="8" t="s">
        <v>61</v>
      </c>
      <c r="F28" s="8">
        <v>2.3199999999999998</v>
      </c>
      <c r="J28">
        <f>122+353+367+393+410</f>
        <v>1645</v>
      </c>
      <c r="K28">
        <v>5</v>
      </c>
      <c r="L28">
        <v>410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28.641744000000024</v>
      </c>
      <c r="P28">
        <f t="shared" si="0"/>
        <v>28.641744000000024</v>
      </c>
      <c r="S28">
        <f t="shared" si="1"/>
        <v>4.2273235039999992</v>
      </c>
    </row>
    <row r="29" spans="1:19" x14ac:dyDescent="0.2">
      <c r="A29" s="9">
        <v>42676</v>
      </c>
      <c r="B29" s="8" t="s">
        <v>68</v>
      </c>
      <c r="C29" s="8">
        <v>28</v>
      </c>
      <c r="D29" s="8" t="s">
        <v>61</v>
      </c>
      <c r="F29" s="8">
        <v>2.74</v>
      </c>
      <c r="J29">
        <f>88+80+193+240+257+284+321</f>
        <v>1463</v>
      </c>
      <c r="K29">
        <v>7</v>
      </c>
      <c r="L29">
        <v>321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24.344433000000016</v>
      </c>
      <c r="P29">
        <f t="shared" si="0"/>
        <v>24.344433000000016</v>
      </c>
      <c r="S29">
        <f t="shared" si="1"/>
        <v>5.8964502710000009</v>
      </c>
    </row>
    <row r="30" spans="1:19" x14ac:dyDescent="0.2">
      <c r="A30" s="9">
        <v>42676</v>
      </c>
      <c r="B30" s="8" t="s">
        <v>68</v>
      </c>
      <c r="C30" s="8">
        <v>28</v>
      </c>
      <c r="D30" s="8" t="s">
        <v>61</v>
      </c>
      <c r="F30" s="8">
        <v>1.89</v>
      </c>
      <c r="J30">
        <f>45+91+169+169+200</f>
        <v>674</v>
      </c>
      <c r="K30">
        <v>5</v>
      </c>
      <c r="L30">
        <v>200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0.8670890000000071</v>
      </c>
      <c r="P30">
        <f t="shared" si="0"/>
        <v>0.8670890000000071</v>
      </c>
      <c r="S30">
        <f t="shared" si="1"/>
        <v>2.8055184097499999</v>
      </c>
    </row>
    <row r="31" spans="1:19" x14ac:dyDescent="0.2">
      <c r="A31" s="9">
        <v>42676</v>
      </c>
      <c r="B31" s="8" t="s">
        <v>68</v>
      </c>
      <c r="C31" s="8">
        <v>7</v>
      </c>
      <c r="D31" s="8"/>
      <c r="F31" s="8"/>
      <c r="N31" t="s">
        <v>67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0</v>
      </c>
      <c r="P31">
        <f t="shared" ref="P31:P32" si="2">IF(O31&lt;0," ",O31)</f>
        <v>0</v>
      </c>
      <c r="S31">
        <f t="shared" si="1"/>
        <v>0</v>
      </c>
    </row>
    <row r="32" spans="1:19" x14ac:dyDescent="0.2">
      <c r="A32" s="9">
        <v>42676</v>
      </c>
      <c r="B32" s="8" t="s">
        <v>68</v>
      </c>
      <c r="C32" s="8">
        <v>6</v>
      </c>
      <c r="D32" s="8"/>
      <c r="F32" s="8"/>
      <c r="N32" t="s">
        <v>67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0</v>
      </c>
      <c r="P32">
        <f t="shared" si="2"/>
        <v>0</v>
      </c>
      <c r="S32">
        <f t="shared" si="1"/>
        <v>0</v>
      </c>
    </row>
    <row r="33" spans="1:19" x14ac:dyDescent="0.2">
      <c r="A33" s="9">
        <v>42676</v>
      </c>
      <c r="B33" s="8" t="s">
        <v>69</v>
      </c>
      <c r="C33" s="8">
        <v>43</v>
      </c>
      <c r="D33" s="8" t="s">
        <v>61</v>
      </c>
      <c r="F33" s="8">
        <v>2.5499999999999998</v>
      </c>
      <c r="J33">
        <f>296+360+436</f>
        <v>1092</v>
      </c>
      <c r="K33">
        <v>3</v>
      </c>
      <c r="L33">
        <v>436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-16.992434999999993</v>
      </c>
      <c r="P33" t="str">
        <f t="shared" si="0"/>
        <v xml:space="preserve"> </v>
      </c>
      <c r="S33">
        <f t="shared" si="1"/>
        <v>5.1070472437499994</v>
      </c>
    </row>
    <row r="34" spans="1:19" x14ac:dyDescent="0.2">
      <c r="A34" s="9">
        <v>42676</v>
      </c>
      <c r="B34" s="8" t="s">
        <v>69</v>
      </c>
      <c r="C34" s="8">
        <v>43</v>
      </c>
      <c r="D34" s="8" t="s">
        <v>61</v>
      </c>
      <c r="F34" s="8">
        <v>2.0499999999999998</v>
      </c>
      <c r="J34">
        <f>123+169+178+232+238+246+258+260+290+334</f>
        <v>2328</v>
      </c>
      <c r="K34">
        <v>10</v>
      </c>
      <c r="L34">
        <v>334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80.459264000000019</v>
      </c>
      <c r="P34">
        <f t="shared" si="0"/>
        <v>80.459264000000019</v>
      </c>
      <c r="S34">
        <f t="shared" si="1"/>
        <v>3.3006329937499994</v>
      </c>
    </row>
    <row r="35" spans="1:19" x14ac:dyDescent="0.2">
      <c r="A35" s="9">
        <v>42676</v>
      </c>
      <c r="B35" s="8" t="s">
        <v>69</v>
      </c>
      <c r="C35" s="8">
        <v>43</v>
      </c>
      <c r="D35" s="8" t="s">
        <v>61</v>
      </c>
      <c r="F35" s="8">
        <v>2.19</v>
      </c>
      <c r="J35">
        <f>245+234+300+369+385+393</f>
        <v>1926</v>
      </c>
      <c r="K35">
        <v>6</v>
      </c>
      <c r="L35">
        <v>393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53.085711000000011</v>
      </c>
      <c r="P35">
        <f t="shared" si="0"/>
        <v>53.085711000000011</v>
      </c>
      <c r="S35">
        <f t="shared" si="1"/>
        <v>3.7668449497499998</v>
      </c>
    </row>
    <row r="36" spans="1:19" x14ac:dyDescent="0.2">
      <c r="A36" s="9">
        <v>42676</v>
      </c>
      <c r="B36" s="8" t="s">
        <v>69</v>
      </c>
      <c r="C36" s="8">
        <v>43</v>
      </c>
      <c r="D36" s="8" t="s">
        <v>61</v>
      </c>
      <c r="F36" s="8">
        <v>3.17</v>
      </c>
      <c r="J36">
        <f>197+241+243+258+302+314+312</f>
        <v>1867</v>
      </c>
      <c r="K36">
        <v>7</v>
      </c>
      <c r="L36">
        <v>314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64.330168000000015</v>
      </c>
      <c r="P36">
        <f t="shared" si="0"/>
        <v>64.330168000000015</v>
      </c>
      <c r="S36">
        <f t="shared" si="1"/>
        <v>7.8923809377499996</v>
      </c>
    </row>
    <row r="37" spans="1:19" x14ac:dyDescent="0.2">
      <c r="A37" s="9">
        <v>42676</v>
      </c>
      <c r="B37" s="8" t="s">
        <v>69</v>
      </c>
      <c r="C37" s="8">
        <v>43</v>
      </c>
      <c r="D37" s="8" t="s">
        <v>61</v>
      </c>
      <c r="F37" s="8">
        <v>2.5299999999999998</v>
      </c>
      <c r="J37">
        <f>354+415+435+446+458+447</f>
        <v>2555</v>
      </c>
      <c r="K37">
        <v>6</v>
      </c>
      <c r="L37">
        <v>458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92.476681000000013</v>
      </c>
      <c r="P37">
        <f t="shared" si="0"/>
        <v>92.476681000000013</v>
      </c>
      <c r="S37">
        <f t="shared" si="1"/>
        <v>5.0272508577499995</v>
      </c>
    </row>
    <row r="38" spans="1:19" x14ac:dyDescent="0.2">
      <c r="A38" s="9">
        <v>42676</v>
      </c>
      <c r="B38" s="8" t="s">
        <v>69</v>
      </c>
      <c r="C38" s="8">
        <v>43</v>
      </c>
      <c r="D38" s="8" t="s">
        <v>61</v>
      </c>
      <c r="F38" s="8">
        <v>2.29</v>
      </c>
      <c r="J38">
        <f>219+247+254+275+286+288</f>
        <v>1569</v>
      </c>
      <c r="K38">
        <v>6</v>
      </c>
      <c r="L38">
        <v>288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51.245901000000011</v>
      </c>
      <c r="P38">
        <f t="shared" si="0"/>
        <v>51.245901000000011</v>
      </c>
      <c r="S38">
        <f t="shared" si="1"/>
        <v>4.1187030297499998</v>
      </c>
    </row>
    <row r="39" spans="1:19" x14ac:dyDescent="0.2">
      <c r="A39" s="9">
        <v>42676</v>
      </c>
      <c r="B39" s="8" t="s">
        <v>69</v>
      </c>
      <c r="C39" s="8">
        <v>43</v>
      </c>
      <c r="D39" s="8" t="s">
        <v>61</v>
      </c>
      <c r="F39" s="8">
        <v>2.94</v>
      </c>
      <c r="J39">
        <f>135+319+331+359+360+363+369+385+404+439</f>
        <v>3464</v>
      </c>
      <c r="K39">
        <v>10</v>
      </c>
      <c r="L39">
        <v>439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155.33421900000005</v>
      </c>
      <c r="P39">
        <f t="shared" si="0"/>
        <v>155.33421900000005</v>
      </c>
      <c r="S39">
        <f t="shared" si="1"/>
        <v>6.7886618309999989</v>
      </c>
    </row>
    <row r="40" spans="1:19" x14ac:dyDescent="0.2">
      <c r="A40" s="9">
        <v>42676</v>
      </c>
      <c r="B40" s="8" t="s">
        <v>69</v>
      </c>
      <c r="C40" s="8">
        <v>42</v>
      </c>
      <c r="D40" s="8" t="s">
        <v>61</v>
      </c>
      <c r="F40" s="8">
        <v>2.59</v>
      </c>
      <c r="J40">
        <f>310+334+345+346+350+353</f>
        <v>2038</v>
      </c>
      <c r="K40">
        <v>6</v>
      </c>
      <c r="L40">
        <v>353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75.636071000000015</v>
      </c>
      <c r="P40">
        <f t="shared" si="0"/>
        <v>75.636071000000015</v>
      </c>
      <c r="S40">
        <f t="shared" si="1"/>
        <v>5.2685249697499987</v>
      </c>
    </row>
    <row r="41" spans="1:19" x14ac:dyDescent="0.2">
      <c r="A41" s="9">
        <v>42676</v>
      </c>
      <c r="B41" s="8" t="s">
        <v>69</v>
      </c>
      <c r="C41" s="8">
        <v>42</v>
      </c>
      <c r="D41" s="8" t="s">
        <v>61</v>
      </c>
      <c r="F41" s="8">
        <v>0.93</v>
      </c>
      <c r="J41">
        <f>59</f>
        <v>59</v>
      </c>
      <c r="K41">
        <v>1</v>
      </c>
      <c r="L41">
        <v>59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13.772720999999997</v>
      </c>
      <c r="P41">
        <f t="shared" si="0"/>
        <v>13.772720999999997</v>
      </c>
      <c r="S41">
        <f t="shared" si="1"/>
        <v>0.67929029775000005</v>
      </c>
    </row>
    <row r="42" spans="1:19" x14ac:dyDescent="0.2">
      <c r="A42" s="9">
        <v>42676</v>
      </c>
      <c r="B42" s="8" t="s">
        <v>69</v>
      </c>
      <c r="C42" s="8">
        <v>42</v>
      </c>
      <c r="D42" s="8" t="s">
        <v>61</v>
      </c>
      <c r="F42" s="8">
        <v>2.19</v>
      </c>
      <c r="J42">
        <f>300+432+458+459+441+289</f>
        <v>2379</v>
      </c>
      <c r="K42">
        <v>6</v>
      </c>
      <c r="L42">
        <v>459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75.674555999999995</v>
      </c>
      <c r="P42">
        <f t="shared" si="0"/>
        <v>75.674555999999995</v>
      </c>
      <c r="S42">
        <f t="shared" si="1"/>
        <v>3.7668449497499998</v>
      </c>
    </row>
    <row r="43" spans="1:19" x14ac:dyDescent="0.2">
      <c r="A43" s="9">
        <v>42676</v>
      </c>
      <c r="B43" s="8" t="s">
        <v>69</v>
      </c>
      <c r="C43" s="8">
        <v>42</v>
      </c>
      <c r="D43" s="8" t="s">
        <v>61</v>
      </c>
      <c r="F43" s="8">
        <v>3.89</v>
      </c>
      <c r="J43">
        <f>338+392+432+425+430+429</f>
        <v>2446</v>
      </c>
      <c r="K43">
        <v>6</v>
      </c>
      <c r="L43">
        <v>430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90.692246000000011</v>
      </c>
      <c r="P43">
        <f t="shared" si="0"/>
        <v>90.692246000000011</v>
      </c>
      <c r="S43">
        <f t="shared" si="1"/>
        <v>11.88471350975</v>
      </c>
    </row>
    <row r="44" spans="1:19" x14ac:dyDescent="0.2">
      <c r="A44" s="9">
        <v>42676</v>
      </c>
      <c r="B44" s="8" t="s">
        <v>69</v>
      </c>
      <c r="C44" s="8">
        <v>42</v>
      </c>
      <c r="D44" s="8" t="s">
        <v>61</v>
      </c>
      <c r="F44" s="8">
        <v>4.8899999999999997</v>
      </c>
      <c r="J44">
        <f>276+276+277+284+243+251+252</f>
        <v>1859</v>
      </c>
      <c r="K44">
        <v>7</v>
      </c>
      <c r="L44">
        <v>284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72.617478000000006</v>
      </c>
      <c r="P44">
        <f t="shared" si="0"/>
        <v>72.617478000000006</v>
      </c>
      <c r="S44">
        <f t="shared" si="1"/>
        <v>18.780503559749995</v>
      </c>
    </row>
    <row r="45" spans="1:19" x14ac:dyDescent="0.2">
      <c r="A45" s="9">
        <v>42676</v>
      </c>
      <c r="B45" s="8" t="s">
        <v>69</v>
      </c>
      <c r="C45" s="8">
        <v>42</v>
      </c>
      <c r="D45" s="8" t="s">
        <v>61</v>
      </c>
      <c r="F45" s="8">
        <v>4.71</v>
      </c>
      <c r="J45">
        <f>200+286+278+291+319+321+328</f>
        <v>2023</v>
      </c>
      <c r="K45">
        <v>7</v>
      </c>
      <c r="L45">
        <v>328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74.738518000000028</v>
      </c>
      <c r="P45">
        <f t="shared" si="0"/>
        <v>74.738518000000028</v>
      </c>
      <c r="S45">
        <f t="shared" si="1"/>
        <v>17.423336679750001</v>
      </c>
    </row>
    <row r="46" spans="1:19" x14ac:dyDescent="0.2">
      <c r="A46" s="9">
        <v>42676</v>
      </c>
      <c r="B46" s="8" t="s">
        <v>69</v>
      </c>
      <c r="C46" s="8">
        <v>42</v>
      </c>
      <c r="D46" s="8" t="s">
        <v>61</v>
      </c>
      <c r="F46" s="8">
        <v>3.48</v>
      </c>
      <c r="J46">
        <f>154+222+246+253+278</f>
        <v>1153</v>
      </c>
      <c r="K46">
        <v>5</v>
      </c>
      <c r="L46">
        <v>278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22.278624000000001</v>
      </c>
      <c r="P46">
        <f t="shared" si="0"/>
        <v>22.278624000000001</v>
      </c>
      <c r="S46">
        <f t="shared" si="1"/>
        <v>9.5114778839999996</v>
      </c>
    </row>
    <row r="47" spans="1:19" x14ac:dyDescent="0.2">
      <c r="A47" s="9">
        <v>42676</v>
      </c>
      <c r="B47" s="8" t="s">
        <v>69</v>
      </c>
      <c r="C47" s="8">
        <v>36</v>
      </c>
      <c r="D47" s="8" t="s">
        <v>62</v>
      </c>
      <c r="E47">
        <v>410</v>
      </c>
      <c r="F47" s="8">
        <v>1.87</v>
      </c>
      <c r="H47" s="8">
        <v>33</v>
      </c>
      <c r="I47">
        <v>2.1800000000000002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131.22003183000001</v>
      </c>
      <c r="P47">
        <f t="shared" si="0"/>
        <v>131.22003183000001</v>
      </c>
      <c r="S47">
        <f t="shared" si="1"/>
        <v>2.7464565177500004</v>
      </c>
    </row>
    <row r="48" spans="1:19" x14ac:dyDescent="0.2">
      <c r="A48" s="9">
        <v>42676</v>
      </c>
      <c r="B48" s="8" t="s">
        <v>69</v>
      </c>
      <c r="C48" s="8">
        <v>36</v>
      </c>
      <c r="D48" s="8" t="s">
        <v>61</v>
      </c>
      <c r="F48" s="8">
        <v>2.83</v>
      </c>
      <c r="G48" s="8"/>
      <c r="J48">
        <f>251+287+316+313+321</f>
        <v>1488</v>
      </c>
      <c r="K48">
        <v>5</v>
      </c>
      <c r="L48">
        <v>321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40.733014000000018</v>
      </c>
      <c r="P48">
        <f t="shared" si="0"/>
        <v>40.733014000000018</v>
      </c>
      <c r="S48">
        <f t="shared" si="1"/>
        <v>6.2901700377500003</v>
      </c>
    </row>
    <row r="49" spans="1:19" x14ac:dyDescent="0.2">
      <c r="A49" s="9">
        <v>42676</v>
      </c>
      <c r="B49" s="8" t="s">
        <v>69</v>
      </c>
      <c r="C49" s="8">
        <v>36</v>
      </c>
      <c r="D49" s="8" t="s">
        <v>62</v>
      </c>
      <c r="E49">
        <v>387</v>
      </c>
      <c r="F49" s="8">
        <v>2.2799999999999998</v>
      </c>
      <c r="G49" s="8"/>
      <c r="H49">
        <v>45</v>
      </c>
      <c r="I49" s="8">
        <v>2.2200000000000002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143.99022292000001</v>
      </c>
      <c r="P49">
        <f t="shared" si="0"/>
        <v>143.99022292000001</v>
      </c>
      <c r="S49">
        <f t="shared" si="1"/>
        <v>4.0828103639999993</v>
      </c>
    </row>
    <row r="50" spans="1:19" x14ac:dyDescent="0.2">
      <c r="A50" s="9">
        <v>42676</v>
      </c>
      <c r="B50" s="8" t="s">
        <v>69</v>
      </c>
      <c r="C50" s="8">
        <v>36</v>
      </c>
      <c r="D50" s="8" t="s">
        <v>61</v>
      </c>
      <c r="F50" s="8">
        <v>3.33</v>
      </c>
      <c r="G50" s="8"/>
      <c r="J50">
        <f>238+260+298+317+320+335</f>
        <v>1768</v>
      </c>
      <c r="K50">
        <v>6</v>
      </c>
      <c r="L50">
        <v>335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55.74463100000002</v>
      </c>
      <c r="P50">
        <f t="shared" si="0"/>
        <v>55.74463100000002</v>
      </c>
      <c r="S50">
        <f t="shared" si="1"/>
        <v>8.7091943377500005</v>
      </c>
    </row>
    <row r="51" spans="1:19" x14ac:dyDescent="0.2">
      <c r="A51" s="9">
        <v>42676</v>
      </c>
      <c r="B51" s="8" t="s">
        <v>69</v>
      </c>
      <c r="C51" s="8">
        <v>36</v>
      </c>
      <c r="D51" s="8" t="s">
        <v>61</v>
      </c>
      <c r="F51" s="8">
        <v>1.38</v>
      </c>
      <c r="G51" s="8"/>
      <c r="I51" s="8"/>
      <c r="J51">
        <f>153+252+259</f>
        <v>664</v>
      </c>
      <c r="K51">
        <v>3</v>
      </c>
      <c r="L51">
        <v>259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-3.7992099999999951</v>
      </c>
      <c r="P51" t="str">
        <f t="shared" si="0"/>
        <v xml:space="preserve"> </v>
      </c>
      <c r="S51">
        <f t="shared" si="1"/>
        <v>1.4957109989999997</v>
      </c>
    </row>
    <row r="52" spans="1:19" x14ac:dyDescent="0.2">
      <c r="A52" s="9">
        <v>42676</v>
      </c>
      <c r="B52" s="8" t="s">
        <v>69</v>
      </c>
      <c r="C52" s="8">
        <v>36</v>
      </c>
      <c r="D52" s="8" t="s">
        <v>62</v>
      </c>
      <c r="E52">
        <v>300</v>
      </c>
      <c r="F52" s="8">
        <v>3.06</v>
      </c>
      <c r="H52">
        <v>35</v>
      </c>
      <c r="I52">
        <v>2.23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123.44998486000003</v>
      </c>
      <c r="P52">
        <f t="shared" si="0"/>
        <v>123.44998486000003</v>
      </c>
      <c r="S52">
        <f t="shared" si="1"/>
        <v>7.3541480309999994</v>
      </c>
    </row>
    <row r="53" spans="1:19" x14ac:dyDescent="0.2">
      <c r="A53" s="9">
        <v>42676</v>
      </c>
      <c r="B53" s="8" t="s">
        <v>69</v>
      </c>
      <c r="C53" s="8">
        <v>36</v>
      </c>
      <c r="D53" s="8" t="s">
        <v>61</v>
      </c>
      <c r="F53" s="8">
        <v>8.48</v>
      </c>
      <c r="G53" s="8"/>
      <c r="I53" s="8"/>
      <c r="J53">
        <f>283+311+339+361+364+381+388+389</f>
        <v>2816</v>
      </c>
      <c r="K53">
        <v>8</v>
      </c>
      <c r="L53">
        <v>389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123.68793500000004</v>
      </c>
      <c r="P53">
        <f t="shared" si="0"/>
        <v>123.68793500000004</v>
      </c>
      <c r="S53">
        <f t="shared" si="1"/>
        <v>56.478248384000004</v>
      </c>
    </row>
    <row r="54" spans="1:19" x14ac:dyDescent="0.2">
      <c r="A54" s="9">
        <v>42676</v>
      </c>
      <c r="B54" s="8" t="s">
        <v>69</v>
      </c>
      <c r="C54" s="8">
        <v>36</v>
      </c>
      <c r="D54" s="8" t="s">
        <v>61</v>
      </c>
      <c r="F54" s="8">
        <v>1.9</v>
      </c>
      <c r="G54" s="8"/>
      <c r="I54" s="8"/>
      <c r="J54">
        <f>379+336+396+405</f>
        <v>1516</v>
      </c>
      <c r="K54">
        <v>4</v>
      </c>
      <c r="L54">
        <v>405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25.075927000000028</v>
      </c>
      <c r="P54">
        <f t="shared" si="0"/>
        <v>25.075927000000028</v>
      </c>
      <c r="S54">
        <f t="shared" si="1"/>
        <v>2.835284975</v>
      </c>
    </row>
    <row r="55" spans="1:19" x14ac:dyDescent="0.2">
      <c r="A55" s="9">
        <v>42676</v>
      </c>
      <c r="B55" s="8" t="s">
        <v>69</v>
      </c>
      <c r="C55" s="8">
        <v>36</v>
      </c>
      <c r="D55" s="8" t="s">
        <v>61</v>
      </c>
      <c r="F55" s="8">
        <v>2.72</v>
      </c>
      <c r="J55">
        <f>79+127+129+165</f>
        <v>500</v>
      </c>
      <c r="K55">
        <v>4</v>
      </c>
      <c r="L55">
        <v>165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2.1196470000000041</v>
      </c>
      <c r="P55">
        <f t="shared" si="0"/>
        <v>2.1196470000000041</v>
      </c>
      <c r="S55">
        <f t="shared" si="1"/>
        <v>5.8106848640000006</v>
      </c>
    </row>
    <row r="56" spans="1:19" x14ac:dyDescent="0.2">
      <c r="A56" s="9">
        <v>42676</v>
      </c>
      <c r="B56" s="8" t="s">
        <v>69</v>
      </c>
      <c r="C56" s="8">
        <v>30</v>
      </c>
      <c r="D56" s="8" t="s">
        <v>61</v>
      </c>
      <c r="F56" s="8">
        <v>1.74</v>
      </c>
      <c r="G56" s="8"/>
      <c r="I56" s="8"/>
      <c r="J56" s="8">
        <f>35+36+162</f>
        <v>233</v>
      </c>
      <c r="K56">
        <v>3</v>
      </c>
      <c r="L56">
        <v>162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-14.986850000000004</v>
      </c>
      <c r="P56" t="str">
        <f t="shared" si="0"/>
        <v xml:space="preserve"> </v>
      </c>
      <c r="S56">
        <f t="shared" si="1"/>
        <v>2.3778694709999999</v>
      </c>
    </row>
    <row r="57" spans="1:19" x14ac:dyDescent="0.2">
      <c r="A57" s="9">
        <v>42676</v>
      </c>
      <c r="B57" s="8" t="s">
        <v>69</v>
      </c>
      <c r="C57" s="8">
        <v>30</v>
      </c>
      <c r="D57" s="8" t="s">
        <v>62</v>
      </c>
      <c r="F57" s="8">
        <v>1.83</v>
      </c>
      <c r="G57" s="8"/>
      <c r="J57">
        <f>231+230+221+225+264</f>
        <v>1171</v>
      </c>
      <c r="K57">
        <v>5</v>
      </c>
      <c r="L57">
        <v>264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28.183644000000008</v>
      </c>
      <c r="P57">
        <f t="shared" si="0"/>
        <v>28.183644000000008</v>
      </c>
      <c r="S57">
        <f t="shared" si="1"/>
        <v>2.6302176877500001</v>
      </c>
    </row>
    <row r="58" spans="1:19" x14ac:dyDescent="0.2">
      <c r="A58" s="9">
        <v>42676</v>
      </c>
      <c r="B58" s="8" t="s">
        <v>69</v>
      </c>
      <c r="C58" s="8">
        <v>30</v>
      </c>
      <c r="D58" s="8" t="s">
        <v>64</v>
      </c>
      <c r="E58">
        <v>114</v>
      </c>
      <c r="F58" s="8">
        <v>0.99</v>
      </c>
      <c r="H58" s="8"/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3.4013730000000004</v>
      </c>
      <c r="P58">
        <f t="shared" si="0"/>
        <v>3.4013730000000004</v>
      </c>
      <c r="S58">
        <f t="shared" si="1"/>
        <v>0.76976808975</v>
      </c>
    </row>
    <row r="59" spans="1:19" x14ac:dyDescent="0.2">
      <c r="A59" s="9">
        <v>42676</v>
      </c>
      <c r="B59" s="8" t="s">
        <v>69</v>
      </c>
      <c r="C59" s="8">
        <v>30</v>
      </c>
      <c r="D59" s="8" t="s">
        <v>64</v>
      </c>
      <c r="E59">
        <v>321</v>
      </c>
      <c r="F59" s="8">
        <v>1.38</v>
      </c>
      <c r="G59">
        <v>5</v>
      </c>
      <c r="H59" s="8"/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12.3607791</v>
      </c>
      <c r="P59">
        <f t="shared" si="0"/>
        <v>12.3607791</v>
      </c>
      <c r="S59">
        <f t="shared" si="1"/>
        <v>1.4957109989999997</v>
      </c>
    </row>
    <row r="60" spans="1:19" x14ac:dyDescent="0.2">
      <c r="A60" s="9">
        <v>42676</v>
      </c>
      <c r="B60" s="8" t="s">
        <v>69</v>
      </c>
      <c r="C60" s="8">
        <v>30</v>
      </c>
      <c r="D60" s="8" t="s">
        <v>64</v>
      </c>
      <c r="E60">
        <v>183</v>
      </c>
      <c r="F60" s="8">
        <v>1.45</v>
      </c>
      <c r="H60" s="8"/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8.2386179999999989</v>
      </c>
      <c r="P60">
        <f t="shared" si="0"/>
        <v>8.2386179999999989</v>
      </c>
      <c r="S60">
        <f t="shared" si="1"/>
        <v>1.6512982437499999</v>
      </c>
    </row>
    <row r="61" spans="1:19" x14ac:dyDescent="0.2">
      <c r="A61" s="9">
        <v>42676</v>
      </c>
      <c r="B61" s="8" t="s">
        <v>69</v>
      </c>
      <c r="C61" s="8">
        <v>30</v>
      </c>
      <c r="D61" s="8" t="s">
        <v>64</v>
      </c>
      <c r="E61">
        <v>119</v>
      </c>
      <c r="F61" s="8">
        <v>1.28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3.7518979999999997</v>
      </c>
      <c r="P61">
        <f t="shared" si="0"/>
        <v>3.7518979999999997</v>
      </c>
      <c r="S61">
        <f t="shared" si="1"/>
        <v>1.286795264</v>
      </c>
    </row>
    <row r="62" spans="1:19" x14ac:dyDescent="0.2">
      <c r="A62" s="9">
        <v>42676</v>
      </c>
      <c r="B62" s="8" t="s">
        <v>69</v>
      </c>
      <c r="C62" s="8">
        <v>30</v>
      </c>
      <c r="D62" s="8" t="s">
        <v>64</v>
      </c>
      <c r="E62">
        <v>157</v>
      </c>
      <c r="F62" s="8">
        <v>1.1200000000000001</v>
      </c>
      <c r="G62">
        <v>1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6.0456147000000007</v>
      </c>
      <c r="P62">
        <f t="shared" si="0"/>
        <v>6.0456147000000007</v>
      </c>
      <c r="S62">
        <f t="shared" si="1"/>
        <v>0.98520262400000014</v>
      </c>
    </row>
    <row r="63" spans="1:19" x14ac:dyDescent="0.2">
      <c r="A63" s="9">
        <v>42676</v>
      </c>
      <c r="B63" s="8" t="s">
        <v>69</v>
      </c>
      <c r="C63" s="8">
        <v>30</v>
      </c>
      <c r="D63" s="8" t="s">
        <v>64</v>
      </c>
      <c r="E63">
        <v>114</v>
      </c>
      <c r="F63" s="8">
        <v>0.7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3.4013730000000004</v>
      </c>
      <c r="P63">
        <f t="shared" si="0"/>
        <v>3.4013730000000004</v>
      </c>
      <c r="S63">
        <f t="shared" si="1"/>
        <v>0.38484477499999992</v>
      </c>
    </row>
    <row r="64" spans="1:19" x14ac:dyDescent="0.2">
      <c r="A64" s="9">
        <v>42676</v>
      </c>
      <c r="B64" s="8" t="s">
        <v>69</v>
      </c>
      <c r="C64" s="8">
        <v>30</v>
      </c>
      <c r="D64" s="8" t="s">
        <v>61</v>
      </c>
      <c r="F64" s="8">
        <v>1.1599999999999999</v>
      </c>
      <c r="J64">
        <f>59+63</f>
        <v>122</v>
      </c>
      <c r="K64">
        <v>2</v>
      </c>
      <c r="L64">
        <v>63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11.451953</v>
      </c>
      <c r="P64">
        <f t="shared" si="0"/>
        <v>11.451953</v>
      </c>
      <c r="S64">
        <f t="shared" si="1"/>
        <v>1.0568308759999998</v>
      </c>
    </row>
    <row r="65" spans="1:19" x14ac:dyDescent="0.2">
      <c r="A65" s="9">
        <v>42676</v>
      </c>
      <c r="B65" s="8" t="s">
        <v>69</v>
      </c>
      <c r="C65" s="8">
        <v>30</v>
      </c>
      <c r="D65" s="8" t="s">
        <v>64</v>
      </c>
      <c r="E65">
        <v>123</v>
      </c>
      <c r="F65" s="8">
        <v>1.44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4.032318000000001</v>
      </c>
      <c r="P65">
        <f t="shared" si="0"/>
        <v>4.032318000000001</v>
      </c>
      <c r="S65">
        <f t="shared" si="1"/>
        <v>1.6286002559999999</v>
      </c>
    </row>
    <row r="66" spans="1:19" x14ac:dyDescent="0.2">
      <c r="A66" s="9">
        <v>42676</v>
      </c>
      <c r="B66" s="8" t="s">
        <v>69</v>
      </c>
      <c r="C66" s="8">
        <v>30</v>
      </c>
      <c r="D66" s="8" t="s">
        <v>64</v>
      </c>
      <c r="E66">
        <v>19</v>
      </c>
      <c r="F66" s="8">
        <v>0.51</v>
      </c>
      <c r="H66" s="8"/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-3.2586019999999998</v>
      </c>
      <c r="P66" t="str">
        <f t="shared" si="0"/>
        <v xml:space="preserve"> </v>
      </c>
      <c r="S66">
        <f t="shared" si="1"/>
        <v>0.20428188975</v>
      </c>
    </row>
    <row r="67" spans="1:19" x14ac:dyDescent="0.2">
      <c r="A67" s="9">
        <v>42676</v>
      </c>
      <c r="B67" s="8" t="s">
        <v>69</v>
      </c>
      <c r="C67" s="8">
        <v>30</v>
      </c>
      <c r="D67" s="8" t="s">
        <v>61</v>
      </c>
      <c r="F67" s="8">
        <v>4.45</v>
      </c>
      <c r="H67" s="8"/>
      <c r="J67">
        <f>361+392+405+425+441+434</f>
        <v>2458</v>
      </c>
      <c r="K67">
        <v>6</v>
      </c>
      <c r="L67">
        <v>441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88.503611000000006</v>
      </c>
      <c r="P67">
        <f t="shared" si="0"/>
        <v>88.503611000000006</v>
      </c>
      <c r="S67">
        <f t="shared" si="1"/>
        <v>15.552833993750001</v>
      </c>
    </row>
    <row r="68" spans="1:19" x14ac:dyDescent="0.2">
      <c r="A68" s="9">
        <v>42676</v>
      </c>
      <c r="B68" s="8" t="s">
        <v>69</v>
      </c>
      <c r="C68" s="8">
        <v>30</v>
      </c>
      <c r="D68" s="8" t="s">
        <v>62</v>
      </c>
      <c r="E68">
        <v>276</v>
      </c>
      <c r="F68" s="8">
        <v>2.5099999999999998</v>
      </c>
      <c r="H68">
        <v>21</v>
      </c>
      <c r="I68">
        <v>2.78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102.15057831000001</v>
      </c>
      <c r="P68">
        <f t="shared" si="0"/>
        <v>102.15057831000001</v>
      </c>
      <c r="S68">
        <f t="shared" si="1"/>
        <v>4.948082789749999</v>
      </c>
    </row>
    <row r="69" spans="1:19" x14ac:dyDescent="0.2">
      <c r="A69" s="9">
        <v>42676</v>
      </c>
      <c r="B69" s="8" t="s">
        <v>69</v>
      </c>
      <c r="C69" s="8">
        <v>30</v>
      </c>
      <c r="D69" s="8" t="s">
        <v>62</v>
      </c>
      <c r="E69">
        <v>274</v>
      </c>
      <c r="F69" s="8">
        <v>2.73</v>
      </c>
      <c r="H69" s="8">
        <v>32</v>
      </c>
      <c r="I69">
        <v>2.9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118.11019081000001</v>
      </c>
      <c r="P69">
        <f t="shared" si="0"/>
        <v>118.11019081000001</v>
      </c>
      <c r="S69">
        <f t="shared" si="1"/>
        <v>5.8534890277499994</v>
      </c>
    </row>
    <row r="70" spans="1:19" x14ac:dyDescent="0.2">
      <c r="A70" s="9">
        <v>42676</v>
      </c>
      <c r="B70" s="8" t="s">
        <v>69</v>
      </c>
      <c r="C70" s="8">
        <v>30</v>
      </c>
      <c r="D70" s="8" t="s">
        <v>61</v>
      </c>
      <c r="F70" s="8">
        <v>3.1</v>
      </c>
      <c r="J70">
        <f>362+364+397+420+431</f>
        <v>1974</v>
      </c>
      <c r="K70">
        <v>5</v>
      </c>
      <c r="L70">
        <v>431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53.160994000000024</v>
      </c>
      <c r="P70">
        <f t="shared" ref="P70:P133" si="3">IF(O70&lt;0," ",O70)</f>
        <v>53.160994000000024</v>
      </c>
      <c r="S70">
        <f t="shared" ref="S70:S133" si="4">3.14159*((F70/2)^2)</f>
        <v>7.5476699750000007</v>
      </c>
    </row>
    <row r="71" spans="1:19" x14ac:dyDescent="0.2">
      <c r="A71" s="9">
        <v>42676</v>
      </c>
      <c r="B71" s="8" t="s">
        <v>69</v>
      </c>
      <c r="C71" s="8">
        <v>15</v>
      </c>
      <c r="D71" s="8" t="s">
        <v>62</v>
      </c>
      <c r="E71">
        <v>344</v>
      </c>
      <c r="F71" s="8">
        <v>2.95</v>
      </c>
      <c r="H71" s="8">
        <v>25</v>
      </c>
      <c r="I71">
        <v>2.1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123.12790675000002</v>
      </c>
      <c r="P71">
        <f t="shared" si="3"/>
        <v>123.12790675000002</v>
      </c>
      <c r="S71">
        <f t="shared" si="4"/>
        <v>6.8349217437499998</v>
      </c>
    </row>
    <row r="72" spans="1:19" x14ac:dyDescent="0.2">
      <c r="A72" s="9">
        <v>42676</v>
      </c>
      <c r="B72" s="8" t="s">
        <v>69</v>
      </c>
      <c r="C72" s="8">
        <v>15</v>
      </c>
      <c r="D72" s="8" t="s">
        <v>61</v>
      </c>
      <c r="F72" s="8">
        <v>1.1000000000000001</v>
      </c>
      <c r="J72">
        <f>50+81</f>
        <v>131</v>
      </c>
      <c r="K72">
        <v>2</v>
      </c>
      <c r="L72">
        <v>81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6.8733379999999968</v>
      </c>
      <c r="P72">
        <f t="shared" si="3"/>
        <v>6.8733379999999968</v>
      </c>
      <c r="S72">
        <f t="shared" si="4"/>
        <v>0.95033097500000008</v>
      </c>
    </row>
    <row r="73" spans="1:19" x14ac:dyDescent="0.2">
      <c r="A73" s="9">
        <v>42676</v>
      </c>
      <c r="B73" s="8" t="s">
        <v>69</v>
      </c>
      <c r="C73" s="8">
        <v>15</v>
      </c>
      <c r="D73" s="8" t="s">
        <v>61</v>
      </c>
      <c r="F73" s="8">
        <v>1.08</v>
      </c>
      <c r="H73" s="8"/>
      <c r="J73">
        <f>45+45+71+73+94</f>
        <v>328</v>
      </c>
      <c r="K73">
        <v>5</v>
      </c>
      <c r="L73">
        <v>94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0.35982899999999773</v>
      </c>
      <c r="P73">
        <f t="shared" si="3"/>
        <v>0.35982899999999773</v>
      </c>
      <c r="S73">
        <f t="shared" si="4"/>
        <v>0.91608764400000009</v>
      </c>
    </row>
    <row r="74" spans="1:19" x14ac:dyDescent="0.2">
      <c r="A74" s="9">
        <v>42676</v>
      </c>
      <c r="B74" s="8" t="s">
        <v>69</v>
      </c>
      <c r="C74" s="8">
        <v>15</v>
      </c>
      <c r="D74" s="8" t="s">
        <v>61</v>
      </c>
      <c r="F74" s="8">
        <v>2.0699999999999998</v>
      </c>
      <c r="J74">
        <f>54+76+132+107+148</f>
        <v>517</v>
      </c>
      <c r="K74">
        <v>5</v>
      </c>
      <c r="L74">
        <v>148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1.8122940000000014</v>
      </c>
      <c r="P74">
        <f t="shared" si="3"/>
        <v>1.8122940000000014</v>
      </c>
      <c r="S74">
        <f t="shared" si="4"/>
        <v>3.3653497477499994</v>
      </c>
    </row>
    <row r="75" spans="1:19" x14ac:dyDescent="0.2">
      <c r="A75" s="9">
        <v>42676</v>
      </c>
      <c r="B75" s="8" t="s">
        <v>69</v>
      </c>
      <c r="C75" s="8">
        <v>15</v>
      </c>
      <c r="D75" s="8" t="s">
        <v>61</v>
      </c>
      <c r="F75" s="8">
        <v>3.48</v>
      </c>
      <c r="H75" s="8"/>
      <c r="J75">
        <f>218+260+243</f>
        <v>721</v>
      </c>
      <c r="K75">
        <v>3</v>
      </c>
      <c r="L75">
        <v>260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1.2435800000000015</v>
      </c>
      <c r="P75">
        <f t="shared" si="3"/>
        <v>1.2435800000000015</v>
      </c>
      <c r="S75">
        <f t="shared" si="4"/>
        <v>9.5114778839999996</v>
      </c>
    </row>
    <row r="76" spans="1:19" x14ac:dyDescent="0.2">
      <c r="A76" s="9">
        <v>42676</v>
      </c>
      <c r="B76" s="8" t="s">
        <v>69</v>
      </c>
      <c r="C76" s="8">
        <v>15</v>
      </c>
      <c r="D76" s="8" t="s">
        <v>61</v>
      </c>
      <c r="F76" s="8">
        <v>0.95</v>
      </c>
      <c r="H76" s="8"/>
      <c r="J76">
        <f>58+68</f>
        <v>126</v>
      </c>
      <c r="K76">
        <v>2</v>
      </c>
      <c r="L76">
        <v>68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10.320748000000002</v>
      </c>
      <c r="P76">
        <f t="shared" si="3"/>
        <v>10.320748000000002</v>
      </c>
      <c r="S76">
        <f t="shared" si="4"/>
        <v>0.70882124375</v>
      </c>
    </row>
    <row r="77" spans="1:19" x14ac:dyDescent="0.2">
      <c r="A77" s="9">
        <v>42676</v>
      </c>
      <c r="B77" s="8" t="s">
        <v>69</v>
      </c>
      <c r="C77" s="8">
        <v>15</v>
      </c>
      <c r="D77" s="8" t="s">
        <v>61</v>
      </c>
      <c r="F77" s="8">
        <v>2.5</v>
      </c>
      <c r="J77">
        <f>81+118+180+141+182</f>
        <v>702</v>
      </c>
      <c r="K77">
        <v>5</v>
      </c>
      <c r="L77">
        <v>182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8.9146390000000082</v>
      </c>
      <c r="P77">
        <f t="shared" si="3"/>
        <v>8.9146390000000082</v>
      </c>
      <c r="S77">
        <f t="shared" si="4"/>
        <v>4.9087343749999999</v>
      </c>
    </row>
    <row r="78" spans="1:19" x14ac:dyDescent="0.2">
      <c r="A78" s="9">
        <v>42676</v>
      </c>
      <c r="B78" s="8" t="s">
        <v>69</v>
      </c>
      <c r="C78" s="8">
        <v>15</v>
      </c>
      <c r="D78" s="8" t="s">
        <v>62</v>
      </c>
      <c r="E78">
        <v>259</v>
      </c>
      <c r="F78" s="8">
        <v>2.41</v>
      </c>
      <c r="H78">
        <v>28</v>
      </c>
      <c r="I78">
        <v>2.2400000000000002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92.132972289999998</v>
      </c>
      <c r="P78">
        <f t="shared" si="3"/>
        <v>92.132972289999998</v>
      </c>
      <c r="S78">
        <f t="shared" si="4"/>
        <v>4.5616672197500003</v>
      </c>
    </row>
    <row r="79" spans="1:19" x14ac:dyDescent="0.2">
      <c r="A79" s="9">
        <v>42676</v>
      </c>
      <c r="B79" s="8" t="s">
        <v>69</v>
      </c>
      <c r="C79" s="8">
        <v>15</v>
      </c>
      <c r="D79" s="8" t="s">
        <v>62</v>
      </c>
      <c r="E79">
        <v>265</v>
      </c>
      <c r="F79" s="8">
        <v>1.68</v>
      </c>
      <c r="H79">
        <v>32</v>
      </c>
      <c r="I79">
        <v>2.2000000000000002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82.916139560000033</v>
      </c>
      <c r="P79">
        <f t="shared" si="3"/>
        <v>82.916139560000033</v>
      </c>
      <c r="S79">
        <f t="shared" si="4"/>
        <v>2.2167059039999994</v>
      </c>
    </row>
    <row r="80" spans="1:19" x14ac:dyDescent="0.2">
      <c r="A80" s="9">
        <v>42676</v>
      </c>
      <c r="B80" s="8" t="s">
        <v>69</v>
      </c>
      <c r="C80" s="8">
        <v>15</v>
      </c>
      <c r="D80" s="8" t="s">
        <v>62</v>
      </c>
      <c r="E80">
        <v>260</v>
      </c>
      <c r="F80" s="8">
        <v>2.7</v>
      </c>
      <c r="H80">
        <v>34</v>
      </c>
      <c r="I80">
        <v>3.3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122.12860910000001</v>
      </c>
      <c r="P80">
        <f t="shared" si="3"/>
        <v>122.12860910000001</v>
      </c>
      <c r="S80">
        <f t="shared" si="4"/>
        <v>5.7255477750000008</v>
      </c>
    </row>
    <row r="81" spans="1:19" x14ac:dyDescent="0.2">
      <c r="A81" s="9">
        <v>42676</v>
      </c>
      <c r="B81" s="8" t="s">
        <v>69</v>
      </c>
      <c r="C81" s="8">
        <v>15</v>
      </c>
      <c r="D81" s="8" t="s">
        <v>61</v>
      </c>
      <c r="F81" s="8">
        <v>1.18</v>
      </c>
      <c r="J81">
        <f>56+69+80</f>
        <v>205</v>
      </c>
      <c r="K81">
        <v>3</v>
      </c>
      <c r="L81">
        <v>80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7.0900999999999996</v>
      </c>
      <c r="P81">
        <f t="shared" si="3"/>
        <v>7.0900999999999996</v>
      </c>
      <c r="S81">
        <f t="shared" si="4"/>
        <v>1.0935874789999998</v>
      </c>
    </row>
    <row r="82" spans="1:19" x14ac:dyDescent="0.2">
      <c r="A82" s="9">
        <v>42676</v>
      </c>
      <c r="B82" s="8" t="s">
        <v>69</v>
      </c>
      <c r="C82" s="8">
        <v>15</v>
      </c>
      <c r="D82" s="8" t="s">
        <v>61</v>
      </c>
      <c r="F82" s="8">
        <v>3.07</v>
      </c>
      <c r="J82">
        <f>258+259+262+282+307+308+337</f>
        <v>2013</v>
      </c>
      <c r="K82">
        <v>7</v>
      </c>
      <c r="L82">
        <v>337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71.089762999999977</v>
      </c>
      <c r="P82">
        <f t="shared" si="3"/>
        <v>71.089762999999977</v>
      </c>
      <c r="S82">
        <f t="shared" si="4"/>
        <v>7.4022928977499989</v>
      </c>
    </row>
    <row r="83" spans="1:19" x14ac:dyDescent="0.2">
      <c r="A83" s="9">
        <v>42676</v>
      </c>
      <c r="B83" s="8" t="s">
        <v>69</v>
      </c>
      <c r="C83" s="8">
        <v>15</v>
      </c>
      <c r="D83" s="8" t="s">
        <v>61</v>
      </c>
      <c r="E83">
        <v>371</v>
      </c>
      <c r="F83" s="8">
        <v>2.5</v>
      </c>
      <c r="G83" s="8"/>
      <c r="H83">
        <v>33</v>
      </c>
      <c r="I83" s="8">
        <v>2.13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130.63046833999999</v>
      </c>
      <c r="P83">
        <f t="shared" si="3"/>
        <v>130.63046833999999</v>
      </c>
      <c r="S83">
        <f t="shared" si="4"/>
        <v>4.9087343749999999</v>
      </c>
    </row>
    <row r="84" spans="1:19" x14ac:dyDescent="0.2">
      <c r="A84" s="9">
        <v>42676</v>
      </c>
      <c r="B84" s="8" t="s">
        <v>69</v>
      </c>
      <c r="C84" s="8">
        <v>15</v>
      </c>
      <c r="D84" s="8" t="s">
        <v>61</v>
      </c>
      <c r="F84" s="8">
        <v>3.1</v>
      </c>
      <c r="G84" s="8"/>
      <c r="J84">
        <f>83+143+164+181+219+238+262</f>
        <v>1290</v>
      </c>
      <c r="K84">
        <v>7</v>
      </c>
      <c r="L84">
        <v>262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25.89827300000001</v>
      </c>
      <c r="P84">
        <f t="shared" si="3"/>
        <v>25.89827300000001</v>
      </c>
      <c r="S84">
        <f t="shared" si="4"/>
        <v>7.5476699750000007</v>
      </c>
    </row>
    <row r="85" spans="1:19" x14ac:dyDescent="0.2">
      <c r="A85" s="9">
        <v>42676</v>
      </c>
      <c r="B85" s="8" t="s">
        <v>70</v>
      </c>
      <c r="C85" s="8">
        <v>50</v>
      </c>
      <c r="D85" s="8" t="s">
        <v>61</v>
      </c>
      <c r="F85" s="8">
        <v>5.49</v>
      </c>
      <c r="G85" s="8"/>
      <c r="J85">
        <f>179+140+192+219+271</f>
        <v>1001</v>
      </c>
      <c r="K85">
        <v>5</v>
      </c>
      <c r="L85">
        <v>271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10.136579000000012</v>
      </c>
      <c r="P85">
        <f t="shared" si="3"/>
        <v>10.136579000000012</v>
      </c>
      <c r="S85">
        <f t="shared" si="4"/>
        <v>23.671959189750002</v>
      </c>
    </row>
    <row r="86" spans="1:19" x14ac:dyDescent="0.2">
      <c r="A86" s="9">
        <v>42676</v>
      </c>
      <c r="B86" s="8" t="s">
        <v>70</v>
      </c>
      <c r="C86" s="8">
        <v>50</v>
      </c>
      <c r="D86" s="8" t="s">
        <v>61</v>
      </c>
      <c r="F86" s="8">
        <v>4.0199999999999996</v>
      </c>
      <c r="J86">
        <f>156+224+286+289+307+311+368</f>
        <v>1941</v>
      </c>
      <c r="K86">
        <v>7</v>
      </c>
      <c r="L86">
        <v>368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55.000807999999985</v>
      </c>
      <c r="P86">
        <f t="shared" si="3"/>
        <v>55.000807999999985</v>
      </c>
      <c r="S86">
        <f t="shared" si="4"/>
        <v>12.692337758999996</v>
      </c>
    </row>
    <row r="87" spans="1:19" x14ac:dyDescent="0.2">
      <c r="A87" s="9">
        <v>42676</v>
      </c>
      <c r="B87" s="8" t="s">
        <v>70</v>
      </c>
      <c r="C87" s="8">
        <v>50</v>
      </c>
      <c r="D87" s="8" t="s">
        <v>61</v>
      </c>
      <c r="F87" s="8">
        <v>5.51</v>
      </c>
      <c r="J87">
        <f>194+226+241+312+343+351</f>
        <v>1667</v>
      </c>
      <c r="K87">
        <v>6</v>
      </c>
      <c r="L87">
        <v>351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41.455456000000019</v>
      </c>
      <c r="P87">
        <f t="shared" si="3"/>
        <v>41.455456000000019</v>
      </c>
      <c r="S87">
        <f t="shared" si="4"/>
        <v>23.844746639749999</v>
      </c>
    </row>
    <row r="88" spans="1:19" x14ac:dyDescent="0.2">
      <c r="A88" s="9">
        <v>42676</v>
      </c>
      <c r="B88" s="8" t="s">
        <v>70</v>
      </c>
      <c r="C88" s="8">
        <v>50</v>
      </c>
      <c r="D88" s="8" t="s">
        <v>61</v>
      </c>
      <c r="F88" s="8">
        <v>2</v>
      </c>
      <c r="G88" s="8"/>
      <c r="J88">
        <f>159+215+290+279+270</f>
        <v>1213</v>
      </c>
      <c r="K88">
        <v>5</v>
      </c>
      <c r="L88">
        <v>290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24.288984000000021</v>
      </c>
      <c r="P88">
        <f t="shared" si="3"/>
        <v>24.288984000000021</v>
      </c>
      <c r="S88">
        <f t="shared" si="4"/>
        <v>3.1415899999999999</v>
      </c>
    </row>
    <row r="89" spans="1:19" x14ac:dyDescent="0.2">
      <c r="A89" s="9">
        <v>42676</v>
      </c>
      <c r="B89" s="8" t="s">
        <v>70</v>
      </c>
      <c r="C89" s="8">
        <v>50</v>
      </c>
      <c r="D89" s="8" t="s">
        <v>61</v>
      </c>
      <c r="F89" s="8">
        <v>2.89</v>
      </c>
      <c r="G89" s="8"/>
      <c r="J89">
        <f>51+56+115+131+179+175</f>
        <v>707</v>
      </c>
      <c r="K89">
        <v>6</v>
      </c>
      <c r="L89">
        <v>179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3.2647959999999969</v>
      </c>
      <c r="P89">
        <f t="shared" si="3"/>
        <v>3.2647959999999969</v>
      </c>
      <c r="S89">
        <f t="shared" si="4"/>
        <v>6.55971845975</v>
      </c>
    </row>
    <row r="90" spans="1:19" x14ac:dyDescent="0.2">
      <c r="A90" s="9">
        <v>42676</v>
      </c>
      <c r="B90" s="8" t="s">
        <v>70</v>
      </c>
      <c r="C90" s="8">
        <v>50</v>
      </c>
      <c r="D90" s="8" t="s">
        <v>61</v>
      </c>
      <c r="F90" s="8">
        <v>2.86</v>
      </c>
      <c r="G90" s="8"/>
      <c r="J90">
        <f>159+268+373+312+314</f>
        <v>1426</v>
      </c>
      <c r="K90">
        <v>5</v>
      </c>
      <c r="L90">
        <v>314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37.028919000000023</v>
      </c>
      <c r="P90">
        <f t="shared" si="3"/>
        <v>37.028919000000023</v>
      </c>
      <c r="S90">
        <f t="shared" si="4"/>
        <v>6.4242373909999992</v>
      </c>
    </row>
    <row r="91" spans="1:19" x14ac:dyDescent="0.2">
      <c r="A91" s="9">
        <v>42676</v>
      </c>
      <c r="B91" s="8" t="s">
        <v>70</v>
      </c>
      <c r="C91" s="8">
        <v>50</v>
      </c>
      <c r="D91" s="8" t="s">
        <v>61</v>
      </c>
      <c r="F91" s="8">
        <v>4.43</v>
      </c>
      <c r="J91">
        <f>129+193+252+284+298+329</f>
        <v>1485</v>
      </c>
      <c r="K91">
        <v>6</v>
      </c>
      <c r="L91">
        <v>329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31.019436000000006</v>
      </c>
      <c r="P91">
        <f t="shared" si="3"/>
        <v>31.019436000000006</v>
      </c>
      <c r="S91">
        <f t="shared" si="4"/>
        <v>15.413347397749996</v>
      </c>
    </row>
    <row r="92" spans="1:19" x14ac:dyDescent="0.2">
      <c r="A92" s="9">
        <v>42676</v>
      </c>
      <c r="B92" s="8" t="s">
        <v>70</v>
      </c>
      <c r="C92" s="8">
        <v>50</v>
      </c>
      <c r="D92" s="8" t="s">
        <v>61</v>
      </c>
      <c r="F92" s="8">
        <v>2.98</v>
      </c>
      <c r="G92" s="8"/>
      <c r="J92">
        <f>176+263+308+342+349</f>
        <v>1438</v>
      </c>
      <c r="K92">
        <v>5</v>
      </c>
      <c r="L92">
        <v>349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27.610404000000024</v>
      </c>
      <c r="P92">
        <f t="shared" si="3"/>
        <v>27.610404000000024</v>
      </c>
      <c r="S92">
        <f t="shared" si="4"/>
        <v>6.9746439589999998</v>
      </c>
    </row>
    <row r="93" spans="1:19" x14ac:dyDescent="0.2">
      <c r="A93" s="9">
        <v>42676</v>
      </c>
      <c r="B93" s="8" t="s">
        <v>70</v>
      </c>
      <c r="C93" s="8">
        <v>15</v>
      </c>
      <c r="D93" s="8" t="s">
        <v>62</v>
      </c>
      <c r="E93">
        <v>267</v>
      </c>
      <c r="F93" s="8">
        <v>2.15</v>
      </c>
      <c r="G93" s="8"/>
      <c r="H93" s="8">
        <v>22.3</v>
      </c>
      <c r="I93" s="8">
        <v>2.1</v>
      </c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81.806809810000004</v>
      </c>
      <c r="P93">
        <f t="shared" si="3"/>
        <v>81.806809810000004</v>
      </c>
      <c r="S93">
        <f t="shared" si="4"/>
        <v>3.6304999437499994</v>
      </c>
    </row>
    <row r="94" spans="1:19" x14ac:dyDescent="0.2">
      <c r="A94" s="9">
        <v>42676</v>
      </c>
      <c r="B94" s="8" t="s">
        <v>70</v>
      </c>
      <c r="C94" s="8">
        <v>15</v>
      </c>
      <c r="D94" s="8" t="s">
        <v>61</v>
      </c>
      <c r="F94" s="8">
        <v>2.61</v>
      </c>
      <c r="G94" s="8"/>
      <c r="J94">
        <f>75+135+142+187+201+212</f>
        <v>952</v>
      </c>
      <c r="K94">
        <v>6</v>
      </c>
      <c r="L94">
        <v>212</v>
      </c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16.293686000000001</v>
      </c>
      <c r="P94">
        <f t="shared" si="3"/>
        <v>16.293686000000001</v>
      </c>
      <c r="S94">
        <f t="shared" si="4"/>
        <v>5.350206309749999</v>
      </c>
    </row>
    <row r="95" spans="1:19" x14ac:dyDescent="0.2">
      <c r="A95" s="9">
        <v>42676</v>
      </c>
      <c r="B95" s="8" t="s">
        <v>70</v>
      </c>
      <c r="C95" s="8">
        <v>15</v>
      </c>
      <c r="D95" s="8" t="s">
        <v>64</v>
      </c>
      <c r="E95">
        <v>205</v>
      </c>
      <c r="F95" s="8">
        <v>0.44</v>
      </c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9.7809279999999994</v>
      </c>
      <c r="P95">
        <f t="shared" si="3"/>
        <v>9.7809279999999994</v>
      </c>
      <c r="S95">
        <f t="shared" si="4"/>
        <v>0.15205295599999999</v>
      </c>
    </row>
    <row r="96" spans="1:19" x14ac:dyDescent="0.2">
      <c r="A96" s="9">
        <v>42676</v>
      </c>
      <c r="B96" s="8" t="s">
        <v>70</v>
      </c>
      <c r="C96" s="8">
        <v>15</v>
      </c>
      <c r="D96" s="8" t="s">
        <v>64</v>
      </c>
      <c r="E96">
        <v>213</v>
      </c>
      <c r="F96" s="8">
        <v>0.7</v>
      </c>
      <c r="G96" s="8"/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10.341768000000002</v>
      </c>
      <c r="P96">
        <f t="shared" si="3"/>
        <v>10.341768000000002</v>
      </c>
      <c r="S96">
        <f t="shared" si="4"/>
        <v>0.38484477499999992</v>
      </c>
    </row>
    <row r="97" spans="1:19" x14ac:dyDescent="0.2">
      <c r="A97" s="9">
        <v>42676</v>
      </c>
      <c r="B97" s="8" t="s">
        <v>70</v>
      </c>
      <c r="C97" s="8">
        <v>15</v>
      </c>
      <c r="D97" s="8" t="s">
        <v>64</v>
      </c>
      <c r="E97">
        <v>73</v>
      </c>
      <c r="F97" s="8">
        <v>0.64</v>
      </c>
      <c r="G97" s="8"/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0.52706799999999987</v>
      </c>
      <c r="P97">
        <f t="shared" si="3"/>
        <v>0.52706799999999987</v>
      </c>
      <c r="S97">
        <f t="shared" si="4"/>
        <v>0.321698816</v>
      </c>
    </row>
    <row r="98" spans="1:19" x14ac:dyDescent="0.2">
      <c r="A98" s="9">
        <v>42676</v>
      </c>
      <c r="B98" s="8" t="s">
        <v>70</v>
      </c>
      <c r="C98" s="8">
        <v>15</v>
      </c>
      <c r="D98" s="8" t="s">
        <v>64</v>
      </c>
      <c r="E98">
        <v>151</v>
      </c>
      <c r="F98" s="8">
        <v>0.49</v>
      </c>
      <c r="G98" s="8"/>
      <c r="I98" s="8"/>
      <c r="J98" s="8"/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5.9952580000000006</v>
      </c>
      <c r="P98">
        <f t="shared" si="3"/>
        <v>5.9952580000000006</v>
      </c>
      <c r="S98">
        <f t="shared" si="4"/>
        <v>0.18857393974999997</v>
      </c>
    </row>
    <row r="99" spans="1:19" x14ac:dyDescent="0.2">
      <c r="A99" s="9">
        <v>42676</v>
      </c>
      <c r="B99" s="8" t="s">
        <v>70</v>
      </c>
      <c r="C99" s="8">
        <v>15</v>
      </c>
      <c r="D99" s="8" t="s">
        <v>62</v>
      </c>
      <c r="E99">
        <v>280</v>
      </c>
      <c r="F99" s="8">
        <v>2.65</v>
      </c>
      <c r="G99" s="8"/>
      <c r="H99">
        <v>19</v>
      </c>
      <c r="I99" s="8">
        <v>2</v>
      </c>
      <c r="J99" s="8"/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90.571518850000018</v>
      </c>
      <c r="P99">
        <f t="shared" si="3"/>
        <v>90.571518850000018</v>
      </c>
      <c r="S99">
        <f t="shared" si="4"/>
        <v>5.5154539437499999</v>
      </c>
    </row>
    <row r="100" spans="1:19" x14ac:dyDescent="0.2">
      <c r="A100" s="9">
        <v>42676</v>
      </c>
      <c r="B100" s="8" t="s">
        <v>70</v>
      </c>
      <c r="C100" s="8">
        <v>15</v>
      </c>
      <c r="D100" s="8" t="s">
        <v>62</v>
      </c>
      <c r="E100">
        <v>289</v>
      </c>
      <c r="F100" s="8">
        <v>2.38</v>
      </c>
      <c r="G100" s="8"/>
      <c r="H100">
        <v>18</v>
      </c>
      <c r="I100" s="8">
        <v>2</v>
      </c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87.175239859999976</v>
      </c>
      <c r="P100">
        <f t="shared" si="3"/>
        <v>87.175239859999976</v>
      </c>
      <c r="S100">
        <f t="shared" si="4"/>
        <v>4.4488055989999999</v>
      </c>
    </row>
    <row r="101" spans="1:19" x14ac:dyDescent="0.2">
      <c r="A101" s="9">
        <v>42676</v>
      </c>
      <c r="B101" s="8" t="s">
        <v>70</v>
      </c>
      <c r="C101" s="8">
        <v>15</v>
      </c>
      <c r="D101" s="8" t="s">
        <v>61</v>
      </c>
      <c r="F101" s="8">
        <v>5.49</v>
      </c>
      <c r="G101" s="8"/>
      <c r="J101">
        <f>70+79+130+143+158+191+220+230+273</f>
        <v>1494</v>
      </c>
      <c r="K101">
        <v>9</v>
      </c>
      <c r="L101">
        <v>273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27.665892000000007</v>
      </c>
      <c r="P101">
        <f t="shared" si="3"/>
        <v>27.665892000000007</v>
      </c>
      <c r="S101">
        <f t="shared" si="4"/>
        <v>23.671959189750002</v>
      </c>
    </row>
    <row r="102" spans="1:19" x14ac:dyDescent="0.2">
      <c r="A102" s="9">
        <v>42676</v>
      </c>
      <c r="B102" s="8" t="s">
        <v>70</v>
      </c>
      <c r="C102" s="8">
        <v>15</v>
      </c>
      <c r="D102" s="8" t="s">
        <v>61</v>
      </c>
      <c r="E102">
        <v>313</v>
      </c>
      <c r="F102" s="8">
        <v>2.3199999999999998</v>
      </c>
      <c r="G102" s="8"/>
      <c r="H102">
        <v>24</v>
      </c>
      <c r="I102" s="8">
        <v>2</v>
      </c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98.894012840000016</v>
      </c>
      <c r="P102">
        <f t="shared" si="3"/>
        <v>98.894012840000016</v>
      </c>
      <c r="S102">
        <f t="shared" si="4"/>
        <v>4.2273235039999992</v>
      </c>
    </row>
    <row r="103" spans="1:19" x14ac:dyDescent="0.2">
      <c r="A103" s="9">
        <v>42676</v>
      </c>
      <c r="B103" s="8" t="s">
        <v>70</v>
      </c>
      <c r="C103" s="8">
        <v>6</v>
      </c>
      <c r="D103" s="8" t="s">
        <v>62</v>
      </c>
      <c r="E103">
        <v>257</v>
      </c>
      <c r="F103" s="8">
        <v>1.71</v>
      </c>
      <c r="G103" s="8"/>
      <c r="H103" s="8">
        <v>31</v>
      </c>
      <c r="I103" s="8">
        <v>2.2000000000000002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80.132734270000014</v>
      </c>
      <c r="P103">
        <f t="shared" si="3"/>
        <v>80.132734270000014</v>
      </c>
      <c r="S103">
        <f t="shared" si="4"/>
        <v>2.2965808297499999</v>
      </c>
    </row>
    <row r="104" spans="1:19" x14ac:dyDescent="0.2">
      <c r="A104" s="9">
        <v>42676</v>
      </c>
      <c r="B104" s="8" t="s">
        <v>70</v>
      </c>
      <c r="C104" s="8">
        <v>6</v>
      </c>
      <c r="D104" s="8" t="s">
        <v>62</v>
      </c>
      <c r="E104">
        <v>270</v>
      </c>
      <c r="F104" s="8">
        <v>1.87</v>
      </c>
      <c r="G104" s="8"/>
      <c r="H104">
        <v>30</v>
      </c>
      <c r="I104" s="8">
        <v>2.2999999999999998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87.982650189999987</v>
      </c>
      <c r="P104">
        <f t="shared" si="3"/>
        <v>87.982650189999987</v>
      </c>
      <c r="S104">
        <f t="shared" si="4"/>
        <v>2.7464565177500004</v>
      </c>
    </row>
    <row r="105" spans="1:19" x14ac:dyDescent="0.2">
      <c r="A105" s="9">
        <v>42676</v>
      </c>
      <c r="B105" s="8" t="s">
        <v>70</v>
      </c>
      <c r="C105" s="8">
        <v>6</v>
      </c>
      <c r="D105" s="8" t="s">
        <v>62</v>
      </c>
      <c r="E105">
        <v>263</v>
      </c>
      <c r="F105" s="8">
        <v>1.68</v>
      </c>
      <c r="H105">
        <v>29</v>
      </c>
      <c r="I105" s="8">
        <v>1.9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74.275022159999992</v>
      </c>
      <c r="P105">
        <f t="shared" si="3"/>
        <v>74.275022159999992</v>
      </c>
      <c r="S105">
        <f t="shared" si="4"/>
        <v>2.2167059039999994</v>
      </c>
    </row>
    <row r="106" spans="1:19" x14ac:dyDescent="0.2">
      <c r="A106" s="9">
        <v>42676</v>
      </c>
      <c r="B106" s="8" t="s">
        <v>70</v>
      </c>
      <c r="C106" s="8">
        <v>6</v>
      </c>
      <c r="D106" s="8" t="s">
        <v>61</v>
      </c>
      <c r="F106" s="8">
        <v>11.1</v>
      </c>
      <c r="J106">
        <f>141+224+225+233+238+239+243+246+251</f>
        <v>2040</v>
      </c>
      <c r="K106">
        <v>9</v>
      </c>
      <c r="L106">
        <v>251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85.48351199999999</v>
      </c>
      <c r="P106">
        <f t="shared" si="3"/>
        <v>85.48351199999999</v>
      </c>
      <c r="S106">
        <f t="shared" si="4"/>
        <v>96.768825974999984</v>
      </c>
    </row>
    <row r="107" spans="1:19" x14ac:dyDescent="0.2">
      <c r="A107" s="9">
        <v>42676</v>
      </c>
      <c r="B107" s="8" t="s">
        <v>70</v>
      </c>
      <c r="C107" s="8">
        <v>6</v>
      </c>
      <c r="D107" s="8" t="s">
        <v>61</v>
      </c>
      <c r="F107" s="8">
        <v>6.34</v>
      </c>
      <c r="J107">
        <f>189+209+215+219+240+251+252+263+279</f>
        <v>2117</v>
      </c>
      <c r="K107">
        <v>9</v>
      </c>
      <c r="L107">
        <v>279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84.267787000000027</v>
      </c>
      <c r="P107">
        <f t="shared" si="3"/>
        <v>84.267787000000027</v>
      </c>
      <c r="S107">
        <f t="shared" si="4"/>
        <v>31.569523750999998</v>
      </c>
    </row>
    <row r="108" spans="1:19" x14ac:dyDescent="0.2">
      <c r="A108" s="9">
        <v>42676</v>
      </c>
      <c r="B108" s="8" t="s">
        <v>70</v>
      </c>
      <c r="C108" s="8">
        <v>6</v>
      </c>
      <c r="D108" s="8" t="s">
        <v>61</v>
      </c>
      <c r="F108" s="8">
        <v>5.63</v>
      </c>
      <c r="J108">
        <f>90+100+189+210+224+225+230+240</f>
        <v>1508</v>
      </c>
      <c r="K108">
        <v>8</v>
      </c>
      <c r="L108">
        <v>240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45.941900000000011</v>
      </c>
      <c r="P108">
        <f t="shared" si="3"/>
        <v>45.941900000000011</v>
      </c>
      <c r="S108">
        <f t="shared" si="4"/>
        <v>24.894666017749998</v>
      </c>
    </row>
    <row r="109" spans="1:19" x14ac:dyDescent="0.2">
      <c r="A109" s="9">
        <v>42676</v>
      </c>
      <c r="B109" s="8" t="s">
        <v>70</v>
      </c>
      <c r="C109" s="8">
        <v>6</v>
      </c>
      <c r="D109" s="8" t="s">
        <v>62</v>
      </c>
      <c r="F109" s="8">
        <v>1.38</v>
      </c>
      <c r="J109">
        <f>75+100+147+184+192</f>
        <v>698</v>
      </c>
      <c r="K109">
        <v>5</v>
      </c>
      <c r="L109">
        <v>192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5.5271690000000007</v>
      </c>
      <c r="P109">
        <f t="shared" si="3"/>
        <v>5.5271690000000007</v>
      </c>
      <c r="S109">
        <f t="shared" si="4"/>
        <v>1.4957109989999997</v>
      </c>
    </row>
    <row r="110" spans="1:19" x14ac:dyDescent="0.2">
      <c r="A110" s="9">
        <v>42676</v>
      </c>
      <c r="B110" s="8" t="s">
        <v>70</v>
      </c>
      <c r="C110" s="8">
        <v>6</v>
      </c>
      <c r="D110" s="8" t="s">
        <v>62</v>
      </c>
      <c r="E110">
        <v>271</v>
      </c>
      <c r="F110" s="8">
        <v>1.79</v>
      </c>
      <c r="H110">
        <v>32</v>
      </c>
      <c r="I110">
        <v>1.9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81.615694229999974</v>
      </c>
      <c r="P110">
        <f t="shared" si="3"/>
        <v>81.615694229999974</v>
      </c>
      <c r="S110">
        <f t="shared" si="4"/>
        <v>2.51649212975</v>
      </c>
    </row>
    <row r="111" spans="1:19" x14ac:dyDescent="0.2">
      <c r="A111" s="9">
        <v>42676</v>
      </c>
      <c r="B111" s="8" t="s">
        <v>70</v>
      </c>
      <c r="C111" s="8">
        <v>6</v>
      </c>
      <c r="D111" s="8" t="s">
        <v>61</v>
      </c>
      <c r="F111" s="8">
        <v>3.16</v>
      </c>
      <c r="J111">
        <f>81+119+134+187+229+239+253+272</f>
        <v>1514</v>
      </c>
      <c r="K111">
        <v>8</v>
      </c>
      <c r="L111">
        <v>272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36.864590000000028</v>
      </c>
      <c r="P111">
        <f t="shared" si="3"/>
        <v>36.864590000000028</v>
      </c>
      <c r="S111">
        <f t="shared" si="4"/>
        <v>7.8426652760000009</v>
      </c>
    </row>
    <row r="112" spans="1:19" x14ac:dyDescent="0.2">
      <c r="A112" s="9">
        <v>42676</v>
      </c>
      <c r="B112" s="8" t="s">
        <v>70</v>
      </c>
      <c r="C112" s="8">
        <v>6</v>
      </c>
      <c r="D112" s="8" t="s">
        <v>61</v>
      </c>
      <c r="F112" s="8">
        <v>0.79</v>
      </c>
      <c r="J112">
        <f>39+66+87+98+120</f>
        <v>410</v>
      </c>
      <c r="K112">
        <v>5</v>
      </c>
      <c r="L112">
        <v>120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0.21536900000000259</v>
      </c>
      <c r="P112">
        <f t="shared" si="3"/>
        <v>0.21536900000000259</v>
      </c>
      <c r="S112">
        <f t="shared" si="4"/>
        <v>0.49016657975000005</v>
      </c>
    </row>
    <row r="113" spans="1:19" x14ac:dyDescent="0.2">
      <c r="A113" s="9">
        <v>42676</v>
      </c>
      <c r="B113" s="8" t="s">
        <v>70</v>
      </c>
      <c r="C113" s="8">
        <v>6</v>
      </c>
      <c r="D113" s="8" t="s">
        <v>61</v>
      </c>
      <c r="F113" s="8">
        <v>6.59</v>
      </c>
      <c r="J113">
        <f>233+237+243+258+274</f>
        <v>1245</v>
      </c>
      <c r="K113">
        <v>5</v>
      </c>
      <c r="L113">
        <v>274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32.109064000000011</v>
      </c>
      <c r="P113">
        <f t="shared" si="3"/>
        <v>32.109064000000011</v>
      </c>
      <c r="S113">
        <f t="shared" si="4"/>
        <v>34.108321169749999</v>
      </c>
    </row>
    <row r="114" spans="1:19" x14ac:dyDescent="0.2">
      <c r="A114" s="9">
        <v>42676</v>
      </c>
      <c r="B114" s="8" t="s">
        <v>70</v>
      </c>
      <c r="C114" s="8">
        <v>6</v>
      </c>
      <c r="D114" s="8" t="s">
        <v>61</v>
      </c>
      <c r="F114" s="8">
        <v>8.84</v>
      </c>
      <c r="J114">
        <f>114+229+231+238+236+246+251+252+255+273+274</f>
        <v>2599</v>
      </c>
      <c r="K114">
        <v>11</v>
      </c>
      <c r="L114">
        <v>274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116.91921600000003</v>
      </c>
      <c r="P114">
        <f t="shared" si="3"/>
        <v>116.91921600000003</v>
      </c>
      <c r="S114">
        <f t="shared" si="4"/>
        <v>61.375358876</v>
      </c>
    </row>
    <row r="115" spans="1:19" x14ac:dyDescent="0.2">
      <c r="A115" s="9">
        <v>42676</v>
      </c>
      <c r="B115" s="8" t="s">
        <v>70</v>
      </c>
      <c r="C115" s="8">
        <v>6</v>
      </c>
      <c r="D115" s="8" t="s">
        <v>61</v>
      </c>
      <c r="F115" s="8">
        <v>1.1299999999999999</v>
      </c>
      <c r="J115">
        <f>45+45+48+80</f>
        <v>218</v>
      </c>
      <c r="K115">
        <v>4</v>
      </c>
      <c r="L115">
        <v>80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1.286562</v>
      </c>
      <c r="P115">
        <f t="shared" si="3"/>
        <v>1.286562</v>
      </c>
      <c r="S115">
        <f t="shared" si="4"/>
        <v>1.0028740677499997</v>
      </c>
    </row>
    <row r="116" spans="1:19" x14ac:dyDescent="0.2">
      <c r="A116" s="9">
        <v>42676</v>
      </c>
      <c r="B116" s="8" t="s">
        <v>70</v>
      </c>
      <c r="C116" s="8">
        <v>6</v>
      </c>
      <c r="D116" s="8" t="s">
        <v>61</v>
      </c>
      <c r="F116" s="8">
        <v>2.1</v>
      </c>
      <c r="J116">
        <f>64+95+213+269</f>
        <v>641</v>
      </c>
      <c r="K116">
        <v>4</v>
      </c>
      <c r="L116">
        <v>269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-15.990378</v>
      </c>
      <c r="P116" t="str">
        <f t="shared" si="3"/>
        <v xml:space="preserve"> </v>
      </c>
      <c r="S116">
        <f t="shared" si="4"/>
        <v>3.4636029750000001</v>
      </c>
    </row>
    <row r="117" spans="1:19" x14ac:dyDescent="0.2">
      <c r="A117" s="9">
        <v>42676</v>
      </c>
      <c r="B117" s="8" t="s">
        <v>70</v>
      </c>
      <c r="C117" s="8">
        <v>6</v>
      </c>
      <c r="D117" s="8" t="s">
        <v>62</v>
      </c>
      <c r="E117">
        <v>249</v>
      </c>
      <c r="F117" s="8">
        <v>2.46</v>
      </c>
      <c r="H117">
        <v>30</v>
      </c>
      <c r="I117">
        <v>1.95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86.849799219999994</v>
      </c>
      <c r="P117">
        <f t="shared" si="3"/>
        <v>86.849799219999994</v>
      </c>
      <c r="S117">
        <f t="shared" si="4"/>
        <v>4.7529115109999998</v>
      </c>
    </row>
    <row r="118" spans="1:19" x14ac:dyDescent="0.2">
      <c r="A118" s="9">
        <v>42676</v>
      </c>
      <c r="B118" s="8" t="s">
        <v>70</v>
      </c>
      <c r="C118" s="8">
        <v>6</v>
      </c>
      <c r="D118" s="8" t="s">
        <v>62</v>
      </c>
      <c r="E118">
        <v>251</v>
      </c>
      <c r="F118" s="8">
        <v>2.4</v>
      </c>
      <c r="H118">
        <v>32</v>
      </c>
      <c r="I118">
        <v>2.4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96.026254600000016</v>
      </c>
      <c r="P118">
        <f t="shared" si="3"/>
        <v>96.026254600000016</v>
      </c>
      <c r="S118">
        <f t="shared" si="4"/>
        <v>4.5238895999999995</v>
      </c>
    </row>
    <row r="119" spans="1:19" x14ac:dyDescent="0.2">
      <c r="A119" s="9">
        <v>42676</v>
      </c>
      <c r="B119" s="8" t="s">
        <v>70</v>
      </c>
      <c r="C119" s="8">
        <v>6</v>
      </c>
      <c r="D119" s="8" t="s">
        <v>62</v>
      </c>
      <c r="F119" s="8">
        <v>1.08</v>
      </c>
      <c r="J119">
        <f>151+184+238</f>
        <v>573</v>
      </c>
      <c r="K119">
        <v>3</v>
      </c>
      <c r="L119">
        <v>238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-6.0047700000000006</v>
      </c>
      <c r="P119" t="str">
        <f t="shared" si="3"/>
        <v xml:space="preserve"> </v>
      </c>
      <c r="S119">
        <f t="shared" si="4"/>
        <v>0.91608764400000009</v>
      </c>
    </row>
    <row r="120" spans="1:19" x14ac:dyDescent="0.2">
      <c r="A120" s="9">
        <v>42676</v>
      </c>
      <c r="B120" s="8" t="s">
        <v>70</v>
      </c>
      <c r="C120" s="8">
        <v>6</v>
      </c>
      <c r="D120" s="8" t="s">
        <v>62</v>
      </c>
      <c r="F120" s="8">
        <v>1.68</v>
      </c>
      <c r="J120">
        <f>123+125+246</f>
        <v>494</v>
      </c>
      <c r="K120">
        <v>3</v>
      </c>
      <c r="L120">
        <v>246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-15.821374999999996</v>
      </c>
      <c r="P120" t="str">
        <f t="shared" si="3"/>
        <v xml:space="preserve"> </v>
      </c>
      <c r="S120">
        <f t="shared" si="4"/>
        <v>2.2167059039999994</v>
      </c>
    </row>
    <row r="121" spans="1:19" x14ac:dyDescent="0.2">
      <c r="A121" s="9">
        <v>42676</v>
      </c>
      <c r="B121" s="8" t="s">
        <v>70</v>
      </c>
      <c r="C121" s="8">
        <v>6</v>
      </c>
      <c r="D121" s="8" t="s">
        <v>62</v>
      </c>
      <c r="F121" s="8">
        <v>1.44</v>
      </c>
      <c r="J121">
        <f>97</f>
        <v>97</v>
      </c>
      <c r="K121">
        <v>1</v>
      </c>
      <c r="L121">
        <v>97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5.8881009999999989</v>
      </c>
      <c r="P121">
        <f t="shared" si="3"/>
        <v>5.8881009999999989</v>
      </c>
      <c r="S121">
        <f t="shared" si="4"/>
        <v>1.6286002559999999</v>
      </c>
    </row>
    <row r="122" spans="1:19" x14ac:dyDescent="0.2">
      <c r="A122" s="9">
        <v>42676</v>
      </c>
      <c r="B122" s="8" t="s">
        <v>70</v>
      </c>
      <c r="C122" s="8">
        <v>5</v>
      </c>
      <c r="D122" s="8"/>
      <c r="F122" s="8"/>
      <c r="J122" s="8"/>
      <c r="M122" t="s">
        <v>63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0</v>
      </c>
      <c r="P122">
        <f t="shared" si="3"/>
        <v>0</v>
      </c>
      <c r="S122">
        <f t="shared" si="4"/>
        <v>0</v>
      </c>
    </row>
    <row r="123" spans="1:19" x14ac:dyDescent="0.2">
      <c r="A123" s="9">
        <v>42676</v>
      </c>
      <c r="B123" s="8" t="s">
        <v>70</v>
      </c>
      <c r="C123" s="8">
        <v>1</v>
      </c>
      <c r="D123" s="8" t="s">
        <v>61</v>
      </c>
      <c r="F123" s="8">
        <v>5.85</v>
      </c>
      <c r="J123" s="8">
        <f>148+155+158+268+269+270+285+288</f>
        <v>1841</v>
      </c>
      <c r="K123">
        <v>8</v>
      </c>
      <c r="L123">
        <v>288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62.702555000000025</v>
      </c>
      <c r="P123">
        <f t="shared" si="3"/>
        <v>62.702555000000025</v>
      </c>
      <c r="S123">
        <f t="shared" si="4"/>
        <v>26.878265943749998</v>
      </c>
    </row>
    <row r="124" spans="1:19" x14ac:dyDescent="0.2">
      <c r="A124" s="9">
        <v>42676</v>
      </c>
      <c r="B124" s="8" t="s">
        <v>70</v>
      </c>
      <c r="C124" s="8">
        <v>1</v>
      </c>
      <c r="D124" s="8" t="s">
        <v>61</v>
      </c>
      <c r="F124" s="8">
        <v>2.31</v>
      </c>
      <c r="J124" s="8">
        <f>286+355+363</f>
        <v>1004</v>
      </c>
      <c r="K124">
        <v>3</v>
      </c>
      <c r="L124">
        <v>363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-3.2519899999999993</v>
      </c>
      <c r="P124" t="str">
        <f t="shared" si="3"/>
        <v xml:space="preserve"> </v>
      </c>
      <c r="S124">
        <f t="shared" si="4"/>
        <v>4.1909595997500002</v>
      </c>
    </row>
    <row r="125" spans="1:19" x14ac:dyDescent="0.2">
      <c r="A125" s="9">
        <v>42676</v>
      </c>
      <c r="B125" s="8" t="s">
        <v>70</v>
      </c>
      <c r="C125" s="8">
        <v>1</v>
      </c>
      <c r="D125" s="8" t="s">
        <v>61</v>
      </c>
      <c r="F125" s="8">
        <v>3.33</v>
      </c>
      <c r="J125" s="8">
        <f>158+217+258+270+307+325</f>
        <v>1535</v>
      </c>
      <c r="K125">
        <v>6</v>
      </c>
      <c r="L125">
        <v>325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36.912166000000006</v>
      </c>
      <c r="P125">
        <f t="shared" si="3"/>
        <v>36.912166000000006</v>
      </c>
      <c r="S125">
        <f t="shared" si="4"/>
        <v>8.7091943377500005</v>
      </c>
    </row>
    <row r="126" spans="1:19" x14ac:dyDescent="0.2">
      <c r="A126" s="9">
        <v>42676</v>
      </c>
      <c r="B126" s="8" t="s">
        <v>70</v>
      </c>
      <c r="C126" s="8">
        <v>1</v>
      </c>
      <c r="D126" s="8" t="s">
        <v>61</v>
      </c>
      <c r="F126" s="8">
        <v>1.94</v>
      </c>
      <c r="J126" s="8">
        <f>157+166+189+192+188</f>
        <v>892</v>
      </c>
      <c r="K126">
        <v>5</v>
      </c>
      <c r="L126">
        <v>192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23.71563900000001</v>
      </c>
      <c r="P126">
        <f t="shared" si="3"/>
        <v>23.71563900000001</v>
      </c>
      <c r="S126">
        <f t="shared" si="4"/>
        <v>2.9559220309999996</v>
      </c>
    </row>
    <row r="127" spans="1:19" x14ac:dyDescent="0.2">
      <c r="A127" s="9">
        <v>42676</v>
      </c>
      <c r="B127" s="8" t="s">
        <v>70</v>
      </c>
      <c r="C127" s="8">
        <v>1</v>
      </c>
      <c r="D127" s="8" t="s">
        <v>61</v>
      </c>
      <c r="F127" s="8">
        <v>3.26</v>
      </c>
      <c r="J127" s="8">
        <f>166+246+280+307+310</f>
        <v>1309</v>
      </c>
      <c r="K127">
        <v>5</v>
      </c>
      <c r="L127">
        <v>310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27.264564</v>
      </c>
      <c r="P127">
        <f t="shared" si="3"/>
        <v>27.264564</v>
      </c>
      <c r="S127">
        <f t="shared" si="4"/>
        <v>8.3468904709999983</v>
      </c>
    </row>
    <row r="128" spans="1:19" x14ac:dyDescent="0.2">
      <c r="A128" s="9">
        <v>42676</v>
      </c>
      <c r="B128" s="8" t="s">
        <v>70</v>
      </c>
      <c r="C128" s="8">
        <v>1</v>
      </c>
      <c r="D128" s="8" t="s">
        <v>61</v>
      </c>
      <c r="F128" s="8">
        <v>3.8</v>
      </c>
      <c r="J128" s="8">
        <f>265+292+309+311</f>
        <v>1177</v>
      </c>
      <c r="K128">
        <v>4</v>
      </c>
      <c r="L128">
        <v>311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21.610012000000019</v>
      </c>
      <c r="P128">
        <f t="shared" si="3"/>
        <v>21.610012000000019</v>
      </c>
      <c r="S128">
        <f t="shared" si="4"/>
        <v>11.3411399</v>
      </c>
    </row>
    <row r="129" spans="1:19" x14ac:dyDescent="0.2">
      <c r="A129" s="9">
        <v>42676</v>
      </c>
      <c r="B129" s="9" t="s">
        <v>71</v>
      </c>
      <c r="C129">
        <v>49</v>
      </c>
      <c r="D129" s="8" t="s">
        <v>61</v>
      </c>
      <c r="F129" s="8">
        <v>5.72</v>
      </c>
      <c r="J129" s="8">
        <f>215+240+246+296+298</f>
        <v>1295</v>
      </c>
      <c r="K129">
        <v>5</v>
      </c>
      <c r="L129">
        <v>298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29.56693400000001</v>
      </c>
      <c r="P129">
        <f t="shared" si="3"/>
        <v>29.56693400000001</v>
      </c>
      <c r="S129">
        <f t="shared" si="4"/>
        <v>25.696949563999997</v>
      </c>
    </row>
    <row r="130" spans="1:19" x14ac:dyDescent="0.2">
      <c r="A130" s="9">
        <v>42676</v>
      </c>
      <c r="B130" s="9" t="s">
        <v>71</v>
      </c>
      <c r="C130">
        <v>49</v>
      </c>
      <c r="D130" s="8" t="s">
        <v>61</v>
      </c>
      <c r="F130" s="8">
        <v>4.79</v>
      </c>
      <c r="J130" s="8">
        <f>125+187+208+259+300+316+329</f>
        <v>1724</v>
      </c>
      <c r="K130">
        <v>7</v>
      </c>
      <c r="L130">
        <v>329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46.404528000000006</v>
      </c>
      <c r="P130">
        <f t="shared" si="3"/>
        <v>46.404528000000006</v>
      </c>
      <c r="S130">
        <f t="shared" si="4"/>
        <v>18.020238779749999</v>
      </c>
    </row>
    <row r="131" spans="1:19" x14ac:dyDescent="0.2">
      <c r="A131" s="9">
        <v>42676</v>
      </c>
      <c r="B131" s="9" t="s">
        <v>71</v>
      </c>
      <c r="C131">
        <v>49</v>
      </c>
      <c r="D131" s="8" t="s">
        <v>66</v>
      </c>
      <c r="E131">
        <v>149</v>
      </c>
      <c r="F131" s="8">
        <v>0.95</v>
      </c>
      <c r="J131" s="8"/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5.8550480000000009</v>
      </c>
      <c r="P131">
        <f t="shared" si="3"/>
        <v>5.8550480000000009</v>
      </c>
      <c r="S131">
        <f t="shared" si="4"/>
        <v>0.70882124375</v>
      </c>
    </row>
    <row r="132" spans="1:19" x14ac:dyDescent="0.2">
      <c r="A132" s="9">
        <v>42676</v>
      </c>
      <c r="B132" s="9" t="s">
        <v>71</v>
      </c>
      <c r="C132">
        <v>49</v>
      </c>
      <c r="D132" s="8" t="s">
        <v>61</v>
      </c>
      <c r="F132" s="8">
        <v>3.68</v>
      </c>
      <c r="J132" s="8">
        <f>278+299+328+329+335</f>
        <v>1569</v>
      </c>
      <c r="K132">
        <v>3</v>
      </c>
      <c r="L132">
        <v>335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58.154445000000003</v>
      </c>
      <c r="P132">
        <f t="shared" si="3"/>
        <v>58.154445000000003</v>
      </c>
      <c r="S132">
        <f t="shared" si="4"/>
        <v>10.636167104</v>
      </c>
    </row>
    <row r="133" spans="1:19" x14ac:dyDescent="0.2">
      <c r="A133" s="9">
        <v>42676</v>
      </c>
      <c r="B133" s="9" t="s">
        <v>71</v>
      </c>
      <c r="C133">
        <v>49</v>
      </c>
      <c r="D133" s="8" t="s">
        <v>66</v>
      </c>
      <c r="E133">
        <v>107</v>
      </c>
      <c r="F133" s="8">
        <v>0.54</v>
      </c>
      <c r="J133" s="8"/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2.9106380000000005</v>
      </c>
      <c r="P133">
        <f t="shared" si="3"/>
        <v>2.9106380000000005</v>
      </c>
      <c r="S133">
        <f t="shared" si="4"/>
        <v>0.22902191100000002</v>
      </c>
    </row>
    <row r="134" spans="1:19" x14ac:dyDescent="0.2">
      <c r="A134" s="9">
        <v>42676</v>
      </c>
      <c r="B134" s="9" t="s">
        <v>71</v>
      </c>
      <c r="C134">
        <v>49</v>
      </c>
      <c r="D134" s="8" t="s">
        <v>66</v>
      </c>
      <c r="E134">
        <v>246</v>
      </c>
      <c r="F134" s="8">
        <v>1</v>
      </c>
      <c r="J134" s="8"/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12.655233000000003</v>
      </c>
      <c r="P134">
        <f t="shared" ref="P134:P197" si="5">IF(O134&lt;0," ",O134)</f>
        <v>12.655233000000003</v>
      </c>
      <c r="S134">
        <f t="shared" ref="S134:S197" si="6">3.14159*((F134/2)^2)</f>
        <v>0.78539749999999997</v>
      </c>
    </row>
    <row r="135" spans="1:19" x14ac:dyDescent="0.2">
      <c r="A135" s="9">
        <v>42676</v>
      </c>
      <c r="B135" s="9" t="s">
        <v>71</v>
      </c>
      <c r="C135">
        <v>49</v>
      </c>
      <c r="D135" s="8" t="s">
        <v>66</v>
      </c>
      <c r="E135">
        <v>175</v>
      </c>
      <c r="F135" s="8">
        <v>1.68</v>
      </c>
      <c r="J135" s="8"/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7.6777780000000009</v>
      </c>
      <c r="P135">
        <f t="shared" si="5"/>
        <v>7.6777780000000009</v>
      </c>
      <c r="S135">
        <f t="shared" si="6"/>
        <v>2.2167059039999994</v>
      </c>
    </row>
    <row r="136" spans="1:19" x14ac:dyDescent="0.2">
      <c r="A136" s="9">
        <v>42676</v>
      </c>
      <c r="B136" s="9" t="s">
        <v>71</v>
      </c>
      <c r="C136">
        <v>49</v>
      </c>
      <c r="D136" s="8" t="s">
        <v>61</v>
      </c>
      <c r="F136" s="8">
        <v>2.7</v>
      </c>
      <c r="J136" s="8">
        <f>50+92+158+162+219+260</f>
        <v>941</v>
      </c>
      <c r="K136">
        <v>6</v>
      </c>
      <c r="L136">
        <v>260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0.80262099999999492</v>
      </c>
      <c r="P136">
        <f t="shared" si="5"/>
        <v>0.80262099999999492</v>
      </c>
      <c r="S136">
        <f t="shared" si="6"/>
        <v>5.7255477750000008</v>
      </c>
    </row>
    <row r="137" spans="1:19" x14ac:dyDescent="0.2">
      <c r="A137" s="9">
        <v>42676</v>
      </c>
      <c r="B137" s="9" t="s">
        <v>71</v>
      </c>
      <c r="C137">
        <v>50</v>
      </c>
      <c r="D137" s="8" t="s">
        <v>66</v>
      </c>
      <c r="E137">
        <v>95</v>
      </c>
      <c r="F137" s="8">
        <v>0.97</v>
      </c>
      <c r="J137" s="8"/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2.0693780000000004</v>
      </c>
      <c r="P137">
        <f t="shared" si="5"/>
        <v>2.0693780000000004</v>
      </c>
      <c r="S137">
        <f t="shared" si="6"/>
        <v>0.7389805077499999</v>
      </c>
    </row>
    <row r="138" spans="1:19" x14ac:dyDescent="0.2">
      <c r="A138" s="9">
        <v>42681</v>
      </c>
      <c r="B138" s="9" t="s">
        <v>71</v>
      </c>
      <c r="C138">
        <v>50</v>
      </c>
      <c r="D138" s="8" t="s">
        <v>66</v>
      </c>
      <c r="E138">
        <v>99</v>
      </c>
      <c r="F138" s="8">
        <v>1.62</v>
      </c>
      <c r="J138" s="8"/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2.3497979999999998</v>
      </c>
      <c r="P138">
        <f t="shared" si="5"/>
        <v>2.3497979999999998</v>
      </c>
      <c r="S138">
        <f t="shared" si="6"/>
        <v>2.0611971990000004</v>
      </c>
    </row>
    <row r="139" spans="1:19" x14ac:dyDescent="0.2">
      <c r="A139" s="9">
        <v>42681</v>
      </c>
      <c r="B139" s="9" t="s">
        <v>71</v>
      </c>
      <c r="C139">
        <v>50</v>
      </c>
      <c r="D139" s="8" t="s">
        <v>66</v>
      </c>
      <c r="E139">
        <v>168</v>
      </c>
      <c r="F139" s="8">
        <v>1.05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7.1870430000000001</v>
      </c>
      <c r="P139">
        <f t="shared" si="5"/>
        <v>7.1870430000000001</v>
      </c>
      <c r="S139">
        <f t="shared" si="6"/>
        <v>0.86590074375000003</v>
      </c>
    </row>
    <row r="140" spans="1:19" x14ac:dyDescent="0.2">
      <c r="A140" s="9">
        <v>42681</v>
      </c>
      <c r="B140" s="9" t="s">
        <v>71</v>
      </c>
      <c r="C140">
        <v>50</v>
      </c>
      <c r="D140" s="8" t="s">
        <v>61</v>
      </c>
      <c r="F140" s="8">
        <v>0.98</v>
      </c>
      <c r="J140">
        <f>61+72+79</f>
        <v>212</v>
      </c>
      <c r="K140">
        <v>3</v>
      </c>
      <c r="L140">
        <v>79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8.0476300000000016</v>
      </c>
      <c r="P140">
        <f t="shared" si="5"/>
        <v>8.0476300000000016</v>
      </c>
      <c r="S140">
        <f t="shared" si="6"/>
        <v>0.7542957589999999</v>
      </c>
    </row>
    <row r="141" spans="1:19" x14ac:dyDescent="0.2">
      <c r="A141" s="9">
        <v>42681</v>
      </c>
      <c r="B141" s="9" t="s">
        <v>71</v>
      </c>
      <c r="C141">
        <v>50</v>
      </c>
      <c r="D141" s="8" t="s">
        <v>66</v>
      </c>
      <c r="E141">
        <v>204</v>
      </c>
      <c r="F141" s="8">
        <v>2.04</v>
      </c>
      <c r="J141" s="8"/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9.7108230000000013</v>
      </c>
      <c r="P141">
        <f t="shared" si="5"/>
        <v>9.7108230000000013</v>
      </c>
      <c r="S141">
        <f t="shared" si="6"/>
        <v>3.268510236</v>
      </c>
    </row>
    <row r="142" spans="1:19" x14ac:dyDescent="0.2">
      <c r="A142" s="9">
        <v>42681</v>
      </c>
      <c r="B142" s="9" t="s">
        <v>71</v>
      </c>
      <c r="C142">
        <v>50</v>
      </c>
      <c r="D142" s="8" t="s">
        <v>66</v>
      </c>
      <c r="E142">
        <v>286</v>
      </c>
      <c r="F142" s="8">
        <v>1.77</v>
      </c>
      <c r="J142" s="8"/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15.459433000000001</v>
      </c>
      <c r="P142">
        <f t="shared" si="5"/>
        <v>15.459433000000001</v>
      </c>
      <c r="S142">
        <f t="shared" si="6"/>
        <v>2.4605718277499999</v>
      </c>
    </row>
    <row r="143" spans="1:19" x14ac:dyDescent="0.2">
      <c r="A143" s="9">
        <v>42681</v>
      </c>
      <c r="B143" s="9" t="s">
        <v>71</v>
      </c>
      <c r="C143">
        <v>50</v>
      </c>
      <c r="D143" s="8" t="s">
        <v>66</v>
      </c>
      <c r="E143">
        <v>249</v>
      </c>
      <c r="F143" s="8">
        <v>1.46</v>
      </c>
      <c r="G143">
        <v>3</v>
      </c>
      <c r="J143" s="8"/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6.0989064000000006</v>
      </c>
      <c r="P143">
        <f t="shared" si="5"/>
        <v>6.0989064000000006</v>
      </c>
      <c r="S143">
        <f t="shared" si="6"/>
        <v>1.6741533109999998</v>
      </c>
    </row>
    <row r="144" spans="1:19" x14ac:dyDescent="0.2">
      <c r="A144" s="9">
        <v>42681</v>
      </c>
      <c r="B144" s="9" t="s">
        <v>71</v>
      </c>
      <c r="C144">
        <v>50</v>
      </c>
      <c r="D144" s="8" t="s">
        <v>66</v>
      </c>
      <c r="E144">
        <v>253</v>
      </c>
      <c r="F144" s="8">
        <v>1.86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13.145968</v>
      </c>
      <c r="P144">
        <f t="shared" si="5"/>
        <v>13.145968</v>
      </c>
      <c r="S144">
        <f t="shared" si="6"/>
        <v>2.7171611910000002</v>
      </c>
    </row>
    <row r="145" spans="1:19" x14ac:dyDescent="0.2">
      <c r="A145" s="9">
        <v>42681</v>
      </c>
      <c r="B145" s="9" t="s">
        <v>71</v>
      </c>
      <c r="C145">
        <v>50</v>
      </c>
      <c r="D145" s="8" t="s">
        <v>66</v>
      </c>
      <c r="E145">
        <v>256</v>
      </c>
      <c r="F145" s="8">
        <v>1.5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13.356283000000001</v>
      </c>
      <c r="P145">
        <f t="shared" si="5"/>
        <v>13.356283000000001</v>
      </c>
      <c r="S145">
        <f t="shared" si="6"/>
        <v>1.767144375</v>
      </c>
    </row>
    <row r="146" spans="1:19" x14ac:dyDescent="0.2">
      <c r="A146" s="9">
        <v>42681</v>
      </c>
      <c r="B146" s="9" t="s">
        <v>71</v>
      </c>
      <c r="C146">
        <v>50</v>
      </c>
      <c r="D146" s="8" t="s">
        <v>66</v>
      </c>
      <c r="E146">
        <v>261</v>
      </c>
      <c r="F146" s="8">
        <v>2.75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13.706808000000002</v>
      </c>
      <c r="P146">
        <f t="shared" si="5"/>
        <v>13.706808000000002</v>
      </c>
      <c r="S146">
        <f t="shared" si="6"/>
        <v>5.9395685937499998</v>
      </c>
    </row>
    <row r="147" spans="1:19" x14ac:dyDescent="0.2">
      <c r="A147" s="9">
        <v>42681</v>
      </c>
      <c r="B147" s="9" t="s">
        <v>71</v>
      </c>
      <c r="C147">
        <v>50</v>
      </c>
      <c r="D147" s="8" t="s">
        <v>66</v>
      </c>
      <c r="E147">
        <v>132</v>
      </c>
      <c r="F147" s="8">
        <v>2.0499999999999998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4.6632629999999997</v>
      </c>
      <c r="P147">
        <f t="shared" si="5"/>
        <v>4.6632629999999997</v>
      </c>
      <c r="S147">
        <f t="shared" si="6"/>
        <v>3.3006329937499994</v>
      </c>
    </row>
    <row r="148" spans="1:19" x14ac:dyDescent="0.2">
      <c r="A148" s="9">
        <v>42681</v>
      </c>
      <c r="B148" s="9" t="s">
        <v>71</v>
      </c>
      <c r="C148">
        <v>50</v>
      </c>
      <c r="D148" s="8" t="s">
        <v>66</v>
      </c>
      <c r="E148">
        <v>250</v>
      </c>
      <c r="F148" s="8">
        <v>1.35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12.935653000000002</v>
      </c>
      <c r="P148">
        <f t="shared" si="5"/>
        <v>12.935653000000002</v>
      </c>
      <c r="S148">
        <f t="shared" si="6"/>
        <v>1.4313869437500002</v>
      </c>
    </row>
    <row r="149" spans="1:19" x14ac:dyDescent="0.2">
      <c r="A149" s="9">
        <v>42681</v>
      </c>
      <c r="B149" s="9" t="s">
        <v>71</v>
      </c>
      <c r="C149">
        <v>50</v>
      </c>
      <c r="D149" s="8" t="s">
        <v>61</v>
      </c>
      <c r="F149" s="8">
        <v>2.0699999999999998</v>
      </c>
      <c r="J149">
        <f>98+100+151+173+245</f>
        <v>767</v>
      </c>
      <c r="K149">
        <v>5</v>
      </c>
      <c r="L149">
        <v>245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-3.9697209999999927</v>
      </c>
      <c r="P149" t="str">
        <f t="shared" si="5"/>
        <v xml:space="preserve"> </v>
      </c>
      <c r="S149">
        <f t="shared" si="6"/>
        <v>3.3653497477499994</v>
      </c>
    </row>
    <row r="150" spans="1:19" x14ac:dyDescent="0.2">
      <c r="A150" s="9">
        <v>42681</v>
      </c>
      <c r="B150" s="9" t="s">
        <v>71</v>
      </c>
      <c r="C150">
        <v>50</v>
      </c>
      <c r="D150" s="8" t="s">
        <v>66</v>
      </c>
      <c r="E150">
        <v>216</v>
      </c>
      <c r="F150" s="8">
        <v>1.95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10.552083</v>
      </c>
      <c r="P150">
        <f t="shared" si="5"/>
        <v>10.552083</v>
      </c>
      <c r="S150">
        <f t="shared" si="6"/>
        <v>2.9864739937499998</v>
      </c>
    </row>
    <row r="151" spans="1:19" x14ac:dyDescent="0.2">
      <c r="A151" s="9">
        <v>42681</v>
      </c>
      <c r="B151" s="9" t="s">
        <v>71</v>
      </c>
      <c r="C151">
        <v>50</v>
      </c>
      <c r="D151" s="8" t="s">
        <v>62</v>
      </c>
      <c r="E151">
        <v>246</v>
      </c>
      <c r="F151" s="8">
        <v>6.01</v>
      </c>
      <c r="H151">
        <v>27</v>
      </c>
      <c r="I151">
        <v>1.41</v>
      </c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142.09436205</v>
      </c>
      <c r="P151">
        <f t="shared" si="5"/>
        <v>142.09436205</v>
      </c>
      <c r="S151">
        <f t="shared" si="6"/>
        <v>28.36863623975</v>
      </c>
    </row>
    <row r="152" spans="1:19" x14ac:dyDescent="0.2">
      <c r="A152" s="9">
        <v>42681</v>
      </c>
      <c r="B152" s="9" t="s">
        <v>71</v>
      </c>
      <c r="C152">
        <v>50</v>
      </c>
      <c r="D152" s="8" t="s">
        <v>66</v>
      </c>
      <c r="E152">
        <v>237</v>
      </c>
      <c r="F152" s="8">
        <v>1.79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12.024288000000002</v>
      </c>
      <c r="P152">
        <f t="shared" si="5"/>
        <v>12.024288000000002</v>
      </c>
      <c r="S152">
        <f t="shared" si="6"/>
        <v>2.51649212975</v>
      </c>
    </row>
    <row r="153" spans="1:19" x14ac:dyDescent="0.2">
      <c r="A153" s="9">
        <v>42681</v>
      </c>
      <c r="B153" s="9" t="s">
        <v>71</v>
      </c>
      <c r="C153">
        <v>50</v>
      </c>
      <c r="D153" s="8" t="s">
        <v>66</v>
      </c>
      <c r="E153">
        <v>219</v>
      </c>
      <c r="F153" s="8">
        <v>1.04</v>
      </c>
      <c r="G153" s="8">
        <v>1</v>
      </c>
      <c r="H153" s="8"/>
      <c r="I153" s="8"/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5.3640984000000005</v>
      </c>
      <c r="P153">
        <f t="shared" si="5"/>
        <v>5.3640984000000005</v>
      </c>
      <c r="S153">
        <f t="shared" si="6"/>
        <v>0.84948593600000011</v>
      </c>
    </row>
    <row r="154" spans="1:19" x14ac:dyDescent="0.2">
      <c r="A154" s="9">
        <v>42681</v>
      </c>
      <c r="B154" s="9" t="s">
        <v>71</v>
      </c>
      <c r="C154">
        <v>50</v>
      </c>
      <c r="D154" s="8" t="s">
        <v>61</v>
      </c>
      <c r="F154" s="8">
        <v>4.0999999999999996</v>
      </c>
      <c r="J154">
        <f>82+210+240+306+353+365+409</f>
        <v>1965</v>
      </c>
      <c r="K154">
        <v>7</v>
      </c>
      <c r="L154">
        <v>409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44.899883000000024</v>
      </c>
      <c r="P154">
        <f t="shared" si="5"/>
        <v>44.899883000000024</v>
      </c>
      <c r="S154">
        <f t="shared" si="6"/>
        <v>13.202531974999998</v>
      </c>
    </row>
    <row r="155" spans="1:19" x14ac:dyDescent="0.2">
      <c r="A155" s="9">
        <v>42681</v>
      </c>
      <c r="B155" s="9" t="s">
        <v>71</v>
      </c>
      <c r="C155">
        <v>50</v>
      </c>
      <c r="D155" s="8" t="s">
        <v>66</v>
      </c>
      <c r="E155">
        <v>233</v>
      </c>
      <c r="F155" s="8">
        <v>1.38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11.743868000000003</v>
      </c>
      <c r="P155">
        <f t="shared" si="5"/>
        <v>11.743868000000003</v>
      </c>
      <c r="S155">
        <f t="shared" si="6"/>
        <v>1.4957109989999997</v>
      </c>
    </row>
    <row r="156" spans="1:19" x14ac:dyDescent="0.2">
      <c r="A156" s="9">
        <v>42681</v>
      </c>
      <c r="B156" s="9" t="s">
        <v>71</v>
      </c>
      <c r="C156">
        <v>50</v>
      </c>
      <c r="D156" s="8" t="s">
        <v>66</v>
      </c>
      <c r="E156">
        <v>227</v>
      </c>
      <c r="F156" s="8">
        <v>1.4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11.323238</v>
      </c>
      <c r="P156">
        <f t="shared" si="5"/>
        <v>11.323238</v>
      </c>
      <c r="S156">
        <f t="shared" si="6"/>
        <v>1.5393790999999997</v>
      </c>
    </row>
    <row r="157" spans="1:19" x14ac:dyDescent="0.2">
      <c r="A157" s="9">
        <v>42681</v>
      </c>
      <c r="B157" s="9" t="s">
        <v>71</v>
      </c>
      <c r="C157">
        <v>50</v>
      </c>
      <c r="D157" s="8" t="s">
        <v>61</v>
      </c>
      <c r="F157" s="8">
        <v>6</v>
      </c>
      <c r="J157">
        <f>305+316+358</f>
        <v>979</v>
      </c>
      <c r="K157">
        <v>3</v>
      </c>
      <c r="L157">
        <v>358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-4.0896399999999957</v>
      </c>
      <c r="P157" t="str">
        <f t="shared" si="5"/>
        <v xml:space="preserve"> </v>
      </c>
      <c r="S157">
        <f t="shared" si="6"/>
        <v>28.27431</v>
      </c>
    </row>
    <row r="158" spans="1:19" x14ac:dyDescent="0.2">
      <c r="A158" s="9">
        <v>42681</v>
      </c>
      <c r="B158" s="9" t="s">
        <v>71</v>
      </c>
      <c r="C158" s="8">
        <v>18</v>
      </c>
      <c r="D158" s="8" t="s">
        <v>61</v>
      </c>
      <c r="F158" s="8">
        <v>1.0900000000000001</v>
      </c>
      <c r="G158" s="8"/>
      <c r="J158">
        <f>43+48+62+80+79+83+110+138</f>
        <v>643</v>
      </c>
      <c r="K158">
        <v>8</v>
      </c>
      <c r="L158">
        <v>138</v>
      </c>
      <c r="O158">
        <f>IF(AND(OR(D158="S. acutus",D158="S. californicus",D158="S. tabernaemontani"),G158=0),E158*[1]Sheet1!$D$7+[1]Sheet1!$L$7,IF(AND(OR(D158="S. acutus",D158="S. tabernaemontani"),G158&gt;0),E158*[1]Sheet1!$D$8+N158*[1]Sheet1!$E$8,IF(AND(D158="S. californicus",G158&gt;0),E158*[1]Sheet1!$D$9+N158*[1]Sheet1!$E$9,IF(D158="S.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latifolia"),E158&gt;0),F158*[1]Sheet1!$C$4+E158*[1]Sheet1!$D$4+H158*[1]Sheet1!$J$4+I158*[1]Sheet1!$K$4+[1]Sheet1!$L$4,IF(AND(OR(D158="T. domingensis",D158="T. latifolia"),J158&gt;0),J158*[1]Sheet1!$G$5+K158*[1]Sheet1!$H$5+L158*[1]Sheet1!$I$5+[1]Sheet1!$L$5,0)))))))</f>
        <v>-4.4291849999999968</v>
      </c>
      <c r="P158" t="str">
        <f t="shared" si="5"/>
        <v xml:space="preserve"> </v>
      </c>
      <c r="S158">
        <f t="shared" si="6"/>
        <v>0.93313076975000009</v>
      </c>
    </row>
    <row r="159" spans="1:19" x14ac:dyDescent="0.2">
      <c r="A159" s="9">
        <v>42681</v>
      </c>
      <c r="B159" s="9" t="s">
        <v>71</v>
      </c>
      <c r="C159" s="8">
        <v>18</v>
      </c>
      <c r="D159" s="8" t="s">
        <v>61</v>
      </c>
      <c r="F159" s="8">
        <v>4.01</v>
      </c>
      <c r="J159">
        <f>185+204+220+226+236+238+243</f>
        <v>1552</v>
      </c>
      <c r="K159">
        <v>7</v>
      </c>
      <c r="L159">
        <v>243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56.185738000000022</v>
      </c>
      <c r="P159">
        <f t="shared" si="5"/>
        <v>56.185738000000022</v>
      </c>
      <c r="S159">
        <f t="shared" si="6"/>
        <v>12.629270339749999</v>
      </c>
    </row>
    <row r="160" spans="1:19" x14ac:dyDescent="0.2">
      <c r="A160" s="9">
        <v>42681</v>
      </c>
      <c r="B160" s="9" t="s">
        <v>71</v>
      </c>
      <c r="C160" s="8">
        <v>18</v>
      </c>
      <c r="D160" s="8" t="s">
        <v>61</v>
      </c>
      <c r="F160" s="8">
        <v>6.48</v>
      </c>
      <c r="J160">
        <f>113+159+171+200+200+200+211+214+216+221</f>
        <v>1905</v>
      </c>
      <c r="K160">
        <v>10</v>
      </c>
      <c r="L160">
        <v>221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74.841584000000012</v>
      </c>
      <c r="P160">
        <f t="shared" si="5"/>
        <v>74.841584000000012</v>
      </c>
      <c r="S160">
        <f t="shared" si="6"/>
        <v>32.979155184000007</v>
      </c>
    </row>
    <row r="161" spans="1:19" x14ac:dyDescent="0.2">
      <c r="A161" s="9">
        <v>42681</v>
      </c>
      <c r="B161" s="9" t="s">
        <v>71</v>
      </c>
      <c r="C161" s="8">
        <v>18</v>
      </c>
      <c r="D161" s="8" t="s">
        <v>61</v>
      </c>
      <c r="F161" s="8">
        <v>5.8</v>
      </c>
      <c r="J161">
        <f>69+71+106+141+189+226+236+237+243</f>
        <v>1518</v>
      </c>
      <c r="K161">
        <v>9</v>
      </c>
      <c r="L161">
        <v>243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38.95336200000002</v>
      </c>
      <c r="P161">
        <f t="shared" si="5"/>
        <v>38.95336200000002</v>
      </c>
      <c r="S161">
        <f t="shared" si="6"/>
        <v>26.420771899999998</v>
      </c>
    </row>
    <row r="162" spans="1:19" x14ac:dyDescent="0.2">
      <c r="A162" s="9">
        <v>42681</v>
      </c>
      <c r="B162" s="9" t="s">
        <v>71</v>
      </c>
      <c r="C162" s="8">
        <v>18</v>
      </c>
      <c r="D162" s="8" t="s">
        <v>61</v>
      </c>
      <c r="F162" s="8">
        <v>3.41</v>
      </c>
      <c r="J162">
        <f>184+208+219+220+231</f>
        <v>1062</v>
      </c>
      <c r="K162">
        <v>5</v>
      </c>
      <c r="L162">
        <v>231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27.905434000000021</v>
      </c>
      <c r="P162">
        <f t="shared" si="5"/>
        <v>27.905434000000021</v>
      </c>
      <c r="S162">
        <f t="shared" si="6"/>
        <v>9.1326806697500018</v>
      </c>
    </row>
    <row r="163" spans="1:19" x14ac:dyDescent="0.2">
      <c r="A163" s="9">
        <v>42681</v>
      </c>
      <c r="B163" s="9" t="s">
        <v>71</v>
      </c>
      <c r="C163" s="8">
        <v>18</v>
      </c>
      <c r="D163" s="8" t="s">
        <v>61</v>
      </c>
      <c r="F163" s="8">
        <v>4.6900000000000004</v>
      </c>
      <c r="J163">
        <f>83+222+229+224+233</f>
        <v>991</v>
      </c>
      <c r="K163">
        <v>5</v>
      </c>
      <c r="L163">
        <v>233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20.646339000000012</v>
      </c>
      <c r="P163">
        <f t="shared" si="5"/>
        <v>20.646339000000012</v>
      </c>
      <c r="S163">
        <f t="shared" si="6"/>
        <v>17.275681949750002</v>
      </c>
    </row>
    <row r="164" spans="1:19" x14ac:dyDescent="0.2">
      <c r="A164" s="9">
        <v>42681</v>
      </c>
      <c r="B164" s="9" t="s">
        <v>71</v>
      </c>
      <c r="C164" s="8">
        <v>18</v>
      </c>
      <c r="D164" s="8" t="s">
        <v>61</v>
      </c>
      <c r="F164" s="8">
        <v>3.16</v>
      </c>
      <c r="J164">
        <f>58+94+121+152+183+184+195+201+206</f>
        <v>1394</v>
      </c>
      <c r="K164">
        <v>9</v>
      </c>
      <c r="L164">
        <v>206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38.473806999999994</v>
      </c>
      <c r="P164">
        <f t="shared" si="5"/>
        <v>38.473806999999994</v>
      </c>
      <c r="S164">
        <f t="shared" si="6"/>
        <v>7.8426652760000009</v>
      </c>
    </row>
    <row r="165" spans="1:19" x14ac:dyDescent="0.2">
      <c r="A165" s="9">
        <v>42681</v>
      </c>
      <c r="B165" s="9" t="s">
        <v>71</v>
      </c>
      <c r="C165" s="8">
        <v>18</v>
      </c>
      <c r="D165" s="8" t="s">
        <v>61</v>
      </c>
      <c r="F165" s="8">
        <v>4.0999999999999996</v>
      </c>
      <c r="J165">
        <f>122+196+202+216+210</f>
        <v>946</v>
      </c>
      <c r="K165">
        <v>5</v>
      </c>
      <c r="L165">
        <v>216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21.548529000000016</v>
      </c>
      <c r="P165">
        <f t="shared" si="5"/>
        <v>21.548529000000016</v>
      </c>
      <c r="S165">
        <f t="shared" si="6"/>
        <v>13.202531974999998</v>
      </c>
    </row>
    <row r="166" spans="1:19" x14ac:dyDescent="0.2">
      <c r="A166" s="9">
        <v>42681</v>
      </c>
      <c r="B166" s="9" t="s">
        <v>71</v>
      </c>
      <c r="C166" s="8">
        <v>18</v>
      </c>
      <c r="D166" s="8" t="s">
        <v>62</v>
      </c>
      <c r="E166">
        <v>202</v>
      </c>
      <c r="F166" s="8">
        <v>2.58</v>
      </c>
      <c r="H166">
        <v>16.5</v>
      </c>
      <c r="I166">
        <v>1.7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57.951902160000003</v>
      </c>
      <c r="P166">
        <f t="shared" si="5"/>
        <v>57.951902160000003</v>
      </c>
      <c r="S166">
        <f t="shared" si="6"/>
        <v>5.2279199190000005</v>
      </c>
    </row>
    <row r="167" spans="1:19" x14ac:dyDescent="0.2">
      <c r="A167" s="9">
        <v>42681</v>
      </c>
      <c r="B167" s="9" t="s">
        <v>71</v>
      </c>
      <c r="C167" s="8">
        <v>10</v>
      </c>
      <c r="D167" s="8" t="s">
        <v>64</v>
      </c>
      <c r="E167">
        <v>100</v>
      </c>
      <c r="F167" s="8">
        <v>0.9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2.4199030000000006</v>
      </c>
      <c r="P167">
        <f t="shared" si="5"/>
        <v>2.4199030000000006</v>
      </c>
      <c r="S167">
        <f t="shared" si="6"/>
        <v>0.636171975</v>
      </c>
    </row>
    <row r="168" spans="1:19" x14ac:dyDescent="0.2">
      <c r="A168" s="9">
        <v>42681</v>
      </c>
      <c r="B168" s="9" t="s">
        <v>71</v>
      </c>
      <c r="C168" s="8">
        <v>10</v>
      </c>
      <c r="D168" s="8" t="s">
        <v>64</v>
      </c>
      <c r="E168">
        <v>289</v>
      </c>
      <c r="F168" s="8">
        <v>0.82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15.669748000000002</v>
      </c>
      <c r="P168">
        <f t="shared" si="5"/>
        <v>15.669748000000002</v>
      </c>
      <c r="S168">
        <f t="shared" si="6"/>
        <v>0.52810127899999992</v>
      </c>
    </row>
    <row r="169" spans="1:19" x14ac:dyDescent="0.2">
      <c r="A169" s="9">
        <v>42681</v>
      </c>
      <c r="B169" s="9" t="s">
        <v>71</v>
      </c>
      <c r="C169" s="8">
        <v>10</v>
      </c>
      <c r="D169" s="8" t="s">
        <v>64</v>
      </c>
      <c r="E169">
        <v>187</v>
      </c>
      <c r="F169" s="8">
        <v>1.1399999999999999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8.5190380000000019</v>
      </c>
      <c r="P169">
        <f t="shared" si="5"/>
        <v>8.5190380000000019</v>
      </c>
      <c r="S169">
        <f t="shared" si="6"/>
        <v>1.0207025909999998</v>
      </c>
    </row>
    <row r="170" spans="1:19" x14ac:dyDescent="0.2">
      <c r="A170" s="9">
        <v>42681</v>
      </c>
      <c r="B170" s="9" t="s">
        <v>71</v>
      </c>
      <c r="C170" s="8">
        <v>10</v>
      </c>
      <c r="D170" s="8" t="s">
        <v>64</v>
      </c>
      <c r="E170">
        <v>206</v>
      </c>
      <c r="F170" s="8">
        <v>0.93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9.851033000000001</v>
      </c>
      <c r="P170">
        <f t="shared" si="5"/>
        <v>9.851033000000001</v>
      </c>
      <c r="S170">
        <f t="shared" si="6"/>
        <v>0.67929029775000005</v>
      </c>
    </row>
    <row r="171" spans="1:19" x14ac:dyDescent="0.2">
      <c r="A171" s="9">
        <v>42681</v>
      </c>
      <c r="B171" s="9" t="s">
        <v>71</v>
      </c>
      <c r="C171" s="8">
        <v>10</v>
      </c>
      <c r="D171" s="8" t="s">
        <v>64</v>
      </c>
      <c r="E171">
        <v>245</v>
      </c>
      <c r="F171" s="8">
        <v>1.37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12.585128000000001</v>
      </c>
      <c r="P171">
        <f t="shared" si="5"/>
        <v>12.585128000000001</v>
      </c>
      <c r="S171">
        <f t="shared" si="6"/>
        <v>1.4741125677500002</v>
      </c>
    </row>
    <row r="172" spans="1:19" x14ac:dyDescent="0.2">
      <c r="A172" s="9">
        <v>42681</v>
      </c>
      <c r="B172" s="9" t="s">
        <v>71</v>
      </c>
      <c r="C172" s="8">
        <v>10</v>
      </c>
      <c r="D172" s="8" t="s">
        <v>64</v>
      </c>
      <c r="E172">
        <v>89</v>
      </c>
      <c r="F172" s="8">
        <v>0.43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1.6487480000000003</v>
      </c>
      <c r="P172">
        <f t="shared" si="5"/>
        <v>1.6487480000000003</v>
      </c>
      <c r="S172">
        <f t="shared" si="6"/>
        <v>0.14521999774999997</v>
      </c>
    </row>
    <row r="173" spans="1:19" x14ac:dyDescent="0.2">
      <c r="A173" s="9">
        <v>42681</v>
      </c>
      <c r="B173" s="9" t="s">
        <v>71</v>
      </c>
      <c r="C173" s="8">
        <v>10</v>
      </c>
      <c r="D173" s="8" t="s">
        <v>64</v>
      </c>
      <c r="E173">
        <v>153</v>
      </c>
      <c r="F173" s="8">
        <v>0.62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6.1354680000000004</v>
      </c>
      <c r="P173">
        <f t="shared" si="5"/>
        <v>6.1354680000000004</v>
      </c>
      <c r="S173">
        <f t="shared" si="6"/>
        <v>0.301906799</v>
      </c>
    </row>
    <row r="174" spans="1:19" x14ac:dyDescent="0.2">
      <c r="A174" s="9">
        <v>42681</v>
      </c>
      <c r="B174" s="9" t="s">
        <v>71</v>
      </c>
      <c r="C174" s="8">
        <v>10</v>
      </c>
      <c r="D174" s="8" t="s">
        <v>64</v>
      </c>
      <c r="E174">
        <v>154</v>
      </c>
      <c r="F174" s="8">
        <v>0.74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6.2055730000000002</v>
      </c>
      <c r="P174">
        <f t="shared" si="5"/>
        <v>6.2055730000000002</v>
      </c>
      <c r="S174">
        <f t="shared" si="6"/>
        <v>0.43008367099999995</v>
      </c>
    </row>
    <row r="175" spans="1:19" x14ac:dyDescent="0.2">
      <c r="A175" s="9">
        <v>42681</v>
      </c>
      <c r="B175" s="9" t="s">
        <v>71</v>
      </c>
      <c r="C175" s="8">
        <v>10</v>
      </c>
      <c r="D175" s="8" t="s">
        <v>64</v>
      </c>
      <c r="E175">
        <v>212</v>
      </c>
      <c r="F175" s="8">
        <v>1.1499999999999999</v>
      </c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10.271663</v>
      </c>
      <c r="P175">
        <f t="shared" si="5"/>
        <v>10.271663</v>
      </c>
      <c r="S175">
        <f t="shared" si="6"/>
        <v>1.0386881937499999</v>
      </c>
    </row>
    <row r="176" spans="1:19" x14ac:dyDescent="0.2">
      <c r="A176" s="9">
        <v>42681</v>
      </c>
      <c r="B176" s="9" t="s">
        <v>71</v>
      </c>
      <c r="C176" s="8">
        <v>10</v>
      </c>
      <c r="D176" s="8" t="s">
        <v>64</v>
      </c>
      <c r="E176">
        <v>30</v>
      </c>
      <c r="F176" s="8">
        <v>0.39</v>
      </c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-2.487447</v>
      </c>
      <c r="P176" t="str">
        <f t="shared" si="5"/>
        <v xml:space="preserve"> </v>
      </c>
      <c r="S176">
        <f t="shared" si="6"/>
        <v>0.11945895975000001</v>
      </c>
    </row>
    <row r="177" spans="1:19" x14ac:dyDescent="0.2">
      <c r="A177" s="9">
        <v>42681</v>
      </c>
      <c r="B177" s="9" t="s">
        <v>71</v>
      </c>
      <c r="C177" s="8">
        <v>10</v>
      </c>
      <c r="D177" s="8" t="s">
        <v>64</v>
      </c>
      <c r="E177">
        <v>165</v>
      </c>
      <c r="F177" s="8">
        <v>0.76</v>
      </c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6.9767280000000005</v>
      </c>
      <c r="P177">
        <f t="shared" si="5"/>
        <v>6.9767280000000005</v>
      </c>
      <c r="S177">
        <f t="shared" si="6"/>
        <v>0.45364559599999998</v>
      </c>
    </row>
    <row r="178" spans="1:19" x14ac:dyDescent="0.2">
      <c r="A178" s="9">
        <v>42681</v>
      </c>
      <c r="B178" s="9" t="s">
        <v>71</v>
      </c>
      <c r="C178" s="8">
        <v>10</v>
      </c>
      <c r="D178" s="8" t="s">
        <v>64</v>
      </c>
      <c r="E178">
        <v>257</v>
      </c>
      <c r="F178" s="8">
        <v>0.85</v>
      </c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13.426388000000003</v>
      </c>
      <c r="P178">
        <f t="shared" si="5"/>
        <v>13.426388000000003</v>
      </c>
      <c r="S178">
        <f t="shared" si="6"/>
        <v>0.56744969374999987</v>
      </c>
    </row>
    <row r="179" spans="1:19" x14ac:dyDescent="0.2">
      <c r="A179" s="9">
        <v>42681</v>
      </c>
      <c r="B179" s="9" t="s">
        <v>71</v>
      </c>
      <c r="C179" s="8">
        <v>10</v>
      </c>
      <c r="D179" s="8" t="s">
        <v>64</v>
      </c>
      <c r="E179">
        <v>109</v>
      </c>
      <c r="F179" s="8">
        <v>0.61</v>
      </c>
      <c r="G179" s="8"/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3.0508480000000002</v>
      </c>
      <c r="P179">
        <f t="shared" si="5"/>
        <v>3.0508480000000002</v>
      </c>
      <c r="S179">
        <f t="shared" si="6"/>
        <v>0.29224640974999999</v>
      </c>
    </row>
    <row r="180" spans="1:19" x14ac:dyDescent="0.2">
      <c r="A180" s="9">
        <v>42681</v>
      </c>
      <c r="B180" s="9" t="s">
        <v>71</v>
      </c>
      <c r="C180" s="8">
        <v>10</v>
      </c>
      <c r="D180" s="8" t="s">
        <v>64</v>
      </c>
      <c r="E180">
        <v>179</v>
      </c>
      <c r="F180" s="8">
        <v>0.88</v>
      </c>
      <c r="G180" s="8"/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7.9581980000000003</v>
      </c>
      <c r="P180">
        <f t="shared" si="5"/>
        <v>7.9581980000000003</v>
      </c>
      <c r="S180">
        <f t="shared" si="6"/>
        <v>0.60821182399999996</v>
      </c>
    </row>
    <row r="181" spans="1:19" x14ac:dyDescent="0.2">
      <c r="A181" s="9">
        <v>42681</v>
      </c>
      <c r="B181" s="9" t="s">
        <v>71</v>
      </c>
      <c r="C181" s="8">
        <v>10</v>
      </c>
      <c r="D181" s="8" t="s">
        <v>64</v>
      </c>
      <c r="E181">
        <v>84</v>
      </c>
      <c r="F181" s="8">
        <v>0.56999999999999995</v>
      </c>
      <c r="G181" s="8"/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1.2982230000000001</v>
      </c>
      <c r="P181">
        <f t="shared" si="5"/>
        <v>1.2982230000000001</v>
      </c>
      <c r="S181">
        <f t="shared" si="6"/>
        <v>0.25517564774999996</v>
      </c>
    </row>
    <row r="182" spans="1:19" x14ac:dyDescent="0.2">
      <c r="A182" s="9">
        <v>42681</v>
      </c>
      <c r="B182" s="9" t="s">
        <v>71</v>
      </c>
      <c r="C182" s="8">
        <v>10</v>
      </c>
      <c r="D182" s="8" t="s">
        <v>64</v>
      </c>
      <c r="E182">
        <v>84</v>
      </c>
      <c r="F182" s="8">
        <v>0.5</v>
      </c>
      <c r="G182" s="8"/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1.2982230000000001</v>
      </c>
      <c r="P182">
        <f t="shared" si="5"/>
        <v>1.2982230000000001</v>
      </c>
      <c r="S182">
        <f t="shared" si="6"/>
        <v>0.19634937499999999</v>
      </c>
    </row>
    <row r="183" spans="1:19" x14ac:dyDescent="0.2">
      <c r="A183" s="9">
        <v>42681</v>
      </c>
      <c r="B183" s="9" t="s">
        <v>71</v>
      </c>
      <c r="C183" s="8">
        <v>10</v>
      </c>
      <c r="D183" s="8" t="s">
        <v>64</v>
      </c>
      <c r="E183">
        <v>190</v>
      </c>
      <c r="F183" s="8">
        <v>0.84</v>
      </c>
      <c r="G183" s="8"/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8.7293529999999997</v>
      </c>
      <c r="P183">
        <f t="shared" si="5"/>
        <v>8.7293529999999997</v>
      </c>
      <c r="S183">
        <f t="shared" si="6"/>
        <v>0.55417647599999986</v>
      </c>
    </row>
    <row r="184" spans="1:19" x14ac:dyDescent="0.2">
      <c r="A184" s="9">
        <v>42681</v>
      </c>
      <c r="B184" s="9" t="s">
        <v>71</v>
      </c>
      <c r="C184" s="8">
        <v>10</v>
      </c>
      <c r="D184" s="8" t="s">
        <v>64</v>
      </c>
      <c r="E184">
        <v>240</v>
      </c>
      <c r="F184" s="8">
        <v>0.71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12.234603</v>
      </c>
      <c r="P184">
        <f t="shared" si="5"/>
        <v>12.234603</v>
      </c>
      <c r="S184">
        <f t="shared" si="6"/>
        <v>0.39591887974999995</v>
      </c>
    </row>
    <row r="185" spans="1:19" x14ac:dyDescent="0.2">
      <c r="A185" s="9">
        <v>42681</v>
      </c>
      <c r="B185" s="9" t="s">
        <v>71</v>
      </c>
      <c r="C185" s="8">
        <v>10</v>
      </c>
      <c r="D185" s="8" t="s">
        <v>64</v>
      </c>
      <c r="E185">
        <v>147</v>
      </c>
      <c r="F185" s="8">
        <v>0.61</v>
      </c>
      <c r="G185" s="8"/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5.7148379999999994</v>
      </c>
      <c r="P185">
        <f t="shared" si="5"/>
        <v>5.7148379999999994</v>
      </c>
      <c r="S185">
        <f t="shared" si="6"/>
        <v>0.29224640974999999</v>
      </c>
    </row>
    <row r="186" spans="1:19" x14ac:dyDescent="0.2">
      <c r="A186" s="9">
        <v>42681</v>
      </c>
      <c r="B186" s="9" t="s">
        <v>71</v>
      </c>
      <c r="C186" s="8">
        <v>10</v>
      </c>
      <c r="D186" s="8" t="s">
        <v>64</v>
      </c>
      <c r="E186">
        <v>167</v>
      </c>
      <c r="F186" s="8">
        <v>0.85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7.1169380000000002</v>
      </c>
      <c r="P186">
        <f t="shared" si="5"/>
        <v>7.1169380000000002</v>
      </c>
      <c r="S186">
        <f t="shared" si="6"/>
        <v>0.56744969374999987</v>
      </c>
    </row>
    <row r="187" spans="1:19" x14ac:dyDescent="0.2">
      <c r="A187" s="9">
        <v>42681</v>
      </c>
      <c r="B187" s="9" t="s">
        <v>71</v>
      </c>
      <c r="C187" s="8">
        <v>10</v>
      </c>
      <c r="D187" s="8" t="s">
        <v>64</v>
      </c>
      <c r="E187">
        <v>193</v>
      </c>
      <c r="F187" s="8">
        <v>0.55000000000000004</v>
      </c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8.9396680000000011</v>
      </c>
      <c r="P187">
        <f t="shared" si="5"/>
        <v>8.9396680000000011</v>
      </c>
      <c r="S187">
        <f t="shared" si="6"/>
        <v>0.23758274375000002</v>
      </c>
    </row>
    <row r="188" spans="1:19" x14ac:dyDescent="0.2">
      <c r="A188" s="9">
        <v>42681</v>
      </c>
      <c r="B188" s="9" t="s">
        <v>71</v>
      </c>
      <c r="C188" s="8">
        <v>10</v>
      </c>
      <c r="D188" s="8" t="s">
        <v>64</v>
      </c>
      <c r="E188">
        <v>194</v>
      </c>
      <c r="F188" s="8">
        <v>1.07</v>
      </c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9.0097729999999991</v>
      </c>
      <c r="P188">
        <f t="shared" si="5"/>
        <v>9.0097729999999991</v>
      </c>
      <c r="S188">
        <f t="shared" si="6"/>
        <v>0.89920159774999997</v>
      </c>
    </row>
    <row r="189" spans="1:19" x14ac:dyDescent="0.2">
      <c r="A189" s="9">
        <v>42681</v>
      </c>
      <c r="B189" s="9" t="s">
        <v>71</v>
      </c>
      <c r="C189" s="8">
        <v>10</v>
      </c>
      <c r="D189" s="8" t="s">
        <v>64</v>
      </c>
      <c r="E189">
        <v>261</v>
      </c>
      <c r="F189" s="8">
        <v>1.22</v>
      </c>
      <c r="G189">
        <v>3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10.050353100000001</v>
      </c>
      <c r="P189">
        <f t="shared" si="5"/>
        <v>10.050353100000001</v>
      </c>
      <c r="S189">
        <f t="shared" si="6"/>
        <v>1.168985639</v>
      </c>
    </row>
    <row r="190" spans="1:19" x14ac:dyDescent="0.2">
      <c r="A190" s="9">
        <v>42681</v>
      </c>
      <c r="B190" s="9" t="s">
        <v>71</v>
      </c>
      <c r="C190" s="8">
        <v>10</v>
      </c>
      <c r="D190" s="8" t="s">
        <v>64</v>
      </c>
      <c r="E190">
        <v>254</v>
      </c>
      <c r="F190" s="8">
        <v>1.1200000000000001</v>
      </c>
      <c r="G190" s="8">
        <v>4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9.7808033999999999</v>
      </c>
      <c r="P190">
        <f t="shared" si="5"/>
        <v>9.7808033999999999</v>
      </c>
      <c r="S190">
        <f t="shared" si="6"/>
        <v>0.98520262400000014</v>
      </c>
    </row>
    <row r="191" spans="1:19" x14ac:dyDescent="0.2">
      <c r="A191" s="9">
        <v>42681</v>
      </c>
      <c r="B191" s="9" t="s">
        <v>71</v>
      </c>
      <c r="C191" s="8">
        <v>10</v>
      </c>
      <c r="D191" s="8" t="s">
        <v>64</v>
      </c>
      <c r="E191">
        <v>221</v>
      </c>
      <c r="F191" s="8">
        <v>0.98</v>
      </c>
      <c r="G191">
        <v>1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8.5100691000000008</v>
      </c>
      <c r="P191">
        <f t="shared" si="5"/>
        <v>8.5100691000000008</v>
      </c>
      <c r="S191">
        <f t="shared" si="6"/>
        <v>0.7542957589999999</v>
      </c>
    </row>
    <row r="192" spans="1:19" x14ac:dyDescent="0.2">
      <c r="A192" s="9">
        <v>42681</v>
      </c>
      <c r="B192" s="9" t="s">
        <v>71</v>
      </c>
      <c r="C192" s="8">
        <v>10</v>
      </c>
      <c r="D192" s="8" t="s">
        <v>64</v>
      </c>
      <c r="E192">
        <v>176</v>
      </c>
      <c r="F192" s="8">
        <v>0.89</v>
      </c>
      <c r="G192" s="8"/>
      <c r="I192" s="8"/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7.7478830000000007</v>
      </c>
      <c r="P192">
        <f t="shared" si="5"/>
        <v>7.7478830000000007</v>
      </c>
      <c r="S192">
        <f t="shared" si="6"/>
        <v>0.62211335975000004</v>
      </c>
    </row>
    <row r="193" spans="1:19" x14ac:dyDescent="0.2">
      <c r="A193" s="9">
        <v>42681</v>
      </c>
      <c r="B193" s="9" t="s">
        <v>71</v>
      </c>
      <c r="C193" s="8">
        <v>10</v>
      </c>
      <c r="D193" s="8" t="s">
        <v>64</v>
      </c>
      <c r="E193">
        <v>134</v>
      </c>
      <c r="F193" s="8">
        <v>0.35</v>
      </c>
      <c r="G193" s="8"/>
      <c r="I193" s="8"/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4.8034729999999994</v>
      </c>
      <c r="P193">
        <f t="shared" si="5"/>
        <v>4.8034729999999994</v>
      </c>
      <c r="S193">
        <f t="shared" si="6"/>
        <v>9.6211193749999979E-2</v>
      </c>
    </row>
    <row r="194" spans="1:19" x14ac:dyDescent="0.2">
      <c r="A194" s="9">
        <v>42681</v>
      </c>
      <c r="B194" s="9" t="s">
        <v>71</v>
      </c>
      <c r="C194" s="8">
        <v>10</v>
      </c>
      <c r="D194" s="8" t="s">
        <v>64</v>
      </c>
      <c r="E194">
        <v>166</v>
      </c>
      <c r="F194" s="8">
        <v>0.59</v>
      </c>
      <c r="G194" s="8">
        <v>3</v>
      </c>
      <c r="I194" s="8"/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6.3921786000000003</v>
      </c>
      <c r="P194">
        <f t="shared" si="5"/>
        <v>6.3921786000000003</v>
      </c>
      <c r="S194">
        <f t="shared" si="6"/>
        <v>0.27339686974999994</v>
      </c>
    </row>
    <row r="195" spans="1:19" x14ac:dyDescent="0.2">
      <c r="A195" s="9">
        <v>42681</v>
      </c>
      <c r="B195" s="9" t="s">
        <v>71</v>
      </c>
      <c r="C195" s="8">
        <v>10</v>
      </c>
      <c r="D195" s="8" t="s">
        <v>64</v>
      </c>
      <c r="E195">
        <v>118</v>
      </c>
      <c r="F195" s="8">
        <v>0.85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3.6817929999999999</v>
      </c>
      <c r="P195">
        <f t="shared" si="5"/>
        <v>3.6817929999999999</v>
      </c>
      <c r="S195">
        <f t="shared" si="6"/>
        <v>0.56744969374999987</v>
      </c>
    </row>
    <row r="196" spans="1:19" x14ac:dyDescent="0.2">
      <c r="A196" s="9">
        <v>42681</v>
      </c>
      <c r="B196" s="9" t="s">
        <v>71</v>
      </c>
      <c r="C196" s="8">
        <v>10</v>
      </c>
      <c r="D196" s="8" t="s">
        <v>64</v>
      </c>
      <c r="E196">
        <v>210</v>
      </c>
      <c r="F196" s="8">
        <v>0.7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10.131453</v>
      </c>
      <c r="P196">
        <f t="shared" si="5"/>
        <v>10.131453</v>
      </c>
      <c r="S196">
        <f t="shared" si="6"/>
        <v>0.38484477499999992</v>
      </c>
    </row>
    <row r="197" spans="1:19" x14ac:dyDescent="0.2">
      <c r="A197" s="9">
        <v>42681</v>
      </c>
      <c r="B197" s="9" t="s">
        <v>71</v>
      </c>
      <c r="C197" s="8">
        <v>10</v>
      </c>
      <c r="D197" s="8" t="s">
        <v>64</v>
      </c>
      <c r="E197">
        <v>189</v>
      </c>
      <c r="F197" s="8">
        <v>0.54</v>
      </c>
      <c r="G197" s="8"/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8.6592480000000016</v>
      </c>
      <c r="P197">
        <f t="shared" si="5"/>
        <v>8.6592480000000016</v>
      </c>
      <c r="S197">
        <f t="shared" si="6"/>
        <v>0.22902191100000002</v>
      </c>
    </row>
    <row r="198" spans="1:19" x14ac:dyDescent="0.2">
      <c r="A198" s="9">
        <v>42681</v>
      </c>
      <c r="B198" s="9" t="s">
        <v>71</v>
      </c>
      <c r="C198" s="8">
        <v>10</v>
      </c>
      <c r="D198" s="8" t="s">
        <v>64</v>
      </c>
      <c r="E198">
        <v>186</v>
      </c>
      <c r="F198" s="8">
        <v>0.8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8.4489330000000002</v>
      </c>
      <c r="P198">
        <f t="shared" ref="P198:P261" si="7">IF(O198&lt;0," ",O198)</f>
        <v>8.4489330000000002</v>
      </c>
      <c r="S198">
        <f t="shared" ref="S198:S261" si="8">3.14159*((F198/2)^2)</f>
        <v>0.50265440000000006</v>
      </c>
    </row>
    <row r="199" spans="1:19" x14ac:dyDescent="0.2">
      <c r="A199" s="9">
        <v>42681</v>
      </c>
      <c r="B199" s="9" t="s">
        <v>71</v>
      </c>
      <c r="C199" s="8">
        <v>10</v>
      </c>
      <c r="D199" s="8" t="s">
        <v>64</v>
      </c>
      <c r="E199">
        <v>197</v>
      </c>
      <c r="F199" s="8">
        <v>1.06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9.2200880000000005</v>
      </c>
      <c r="P199">
        <f t="shared" si="7"/>
        <v>9.2200880000000005</v>
      </c>
      <c r="S199">
        <f t="shared" si="8"/>
        <v>0.88247263100000006</v>
      </c>
    </row>
    <row r="200" spans="1:19" x14ac:dyDescent="0.2">
      <c r="A200" s="9">
        <v>42681</v>
      </c>
      <c r="B200" s="9" t="s">
        <v>71</v>
      </c>
      <c r="C200" s="8">
        <v>10</v>
      </c>
      <c r="D200" s="8" t="s">
        <v>64</v>
      </c>
      <c r="E200">
        <v>213</v>
      </c>
      <c r="F200" s="8">
        <v>1.03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10.341768000000002</v>
      </c>
      <c r="P200">
        <f t="shared" si="7"/>
        <v>10.341768000000002</v>
      </c>
      <c r="S200">
        <f t="shared" si="8"/>
        <v>0.83322820774999995</v>
      </c>
    </row>
    <row r="201" spans="1:19" x14ac:dyDescent="0.2">
      <c r="A201" s="9">
        <v>42681</v>
      </c>
      <c r="B201" s="9" t="s">
        <v>71</v>
      </c>
      <c r="C201" s="8">
        <v>10</v>
      </c>
      <c r="D201" s="8" t="s">
        <v>64</v>
      </c>
      <c r="E201">
        <v>199</v>
      </c>
      <c r="F201" s="8">
        <v>0.68</v>
      </c>
      <c r="G201" s="8"/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9.3602980000000002</v>
      </c>
      <c r="P201">
        <f t="shared" si="7"/>
        <v>9.3602980000000002</v>
      </c>
      <c r="S201">
        <f t="shared" si="8"/>
        <v>0.36316780400000004</v>
      </c>
    </row>
    <row r="202" spans="1:19" x14ac:dyDescent="0.2">
      <c r="A202" s="9">
        <v>42681</v>
      </c>
      <c r="B202" s="9" t="s">
        <v>71</v>
      </c>
      <c r="C202" s="8">
        <v>10</v>
      </c>
      <c r="D202" s="8" t="s">
        <v>64</v>
      </c>
      <c r="E202">
        <v>86</v>
      </c>
      <c r="F202" s="8">
        <v>0.4</v>
      </c>
      <c r="G202" s="8"/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1.4384329999999999</v>
      </c>
      <c r="P202">
        <f t="shared" si="7"/>
        <v>1.4384329999999999</v>
      </c>
      <c r="S202">
        <f t="shared" si="8"/>
        <v>0.12566360000000001</v>
      </c>
    </row>
    <row r="203" spans="1:19" x14ac:dyDescent="0.2">
      <c r="A203" s="9">
        <v>42681</v>
      </c>
      <c r="B203" s="9" t="s">
        <v>71</v>
      </c>
      <c r="C203" s="8">
        <v>10</v>
      </c>
      <c r="D203" s="8" t="s">
        <v>64</v>
      </c>
      <c r="E203">
        <v>176</v>
      </c>
      <c r="F203" s="8">
        <v>0.96</v>
      </c>
      <c r="G203" s="8"/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7.7478830000000007</v>
      </c>
      <c r="P203">
        <f t="shared" si="7"/>
        <v>7.7478830000000007</v>
      </c>
      <c r="S203">
        <f t="shared" si="8"/>
        <v>0.7238223359999999</v>
      </c>
    </row>
    <row r="204" spans="1:19" x14ac:dyDescent="0.2">
      <c r="A204" s="9">
        <v>42681</v>
      </c>
      <c r="B204" s="9" t="s">
        <v>71</v>
      </c>
      <c r="C204" s="8">
        <v>10</v>
      </c>
      <c r="D204" s="8" t="s">
        <v>64</v>
      </c>
      <c r="E204">
        <v>174</v>
      </c>
      <c r="F204" s="8">
        <v>0.96</v>
      </c>
      <c r="G204" s="8"/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7.607673000000001</v>
      </c>
      <c r="P204">
        <f t="shared" si="7"/>
        <v>7.607673000000001</v>
      </c>
      <c r="S204">
        <f t="shared" si="8"/>
        <v>0.7238223359999999</v>
      </c>
    </row>
    <row r="205" spans="1:19" x14ac:dyDescent="0.2">
      <c r="A205" s="9">
        <v>42681</v>
      </c>
      <c r="B205" s="9" t="s">
        <v>71</v>
      </c>
      <c r="C205" s="8">
        <v>10</v>
      </c>
      <c r="D205" s="8" t="s">
        <v>64</v>
      </c>
      <c r="E205">
        <v>172</v>
      </c>
      <c r="F205" s="8">
        <v>0.73</v>
      </c>
      <c r="G205" s="8"/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7.4674629999999995</v>
      </c>
      <c r="P205">
        <f t="shared" si="7"/>
        <v>7.4674629999999995</v>
      </c>
      <c r="S205">
        <f t="shared" si="8"/>
        <v>0.41853832774999994</v>
      </c>
    </row>
    <row r="206" spans="1:19" x14ac:dyDescent="0.2">
      <c r="A206" s="9">
        <v>42681</v>
      </c>
      <c r="B206" s="9" t="s">
        <v>71</v>
      </c>
      <c r="C206" s="8">
        <v>10</v>
      </c>
      <c r="D206" s="8" t="s">
        <v>64</v>
      </c>
      <c r="E206">
        <v>169</v>
      </c>
      <c r="F206" s="8">
        <v>0.73</v>
      </c>
      <c r="G206" s="8"/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7.2571479999999999</v>
      </c>
      <c r="P206">
        <f t="shared" si="7"/>
        <v>7.2571479999999999</v>
      </c>
      <c r="S206">
        <f t="shared" si="8"/>
        <v>0.41853832774999994</v>
      </c>
    </row>
    <row r="207" spans="1:19" x14ac:dyDescent="0.2">
      <c r="A207" s="9">
        <v>42681</v>
      </c>
      <c r="B207" s="9" t="s">
        <v>71</v>
      </c>
      <c r="C207" s="8">
        <v>10</v>
      </c>
      <c r="D207" s="8" t="s">
        <v>64</v>
      </c>
      <c r="E207">
        <v>161</v>
      </c>
      <c r="F207" s="8">
        <v>0.41</v>
      </c>
      <c r="G207" s="8"/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6.696308000000001</v>
      </c>
      <c r="P207">
        <f t="shared" si="7"/>
        <v>6.696308000000001</v>
      </c>
      <c r="S207">
        <f t="shared" si="8"/>
        <v>0.13202531974999998</v>
      </c>
    </row>
    <row r="208" spans="1:19" x14ac:dyDescent="0.2">
      <c r="A208" s="9">
        <v>42681</v>
      </c>
      <c r="B208" s="9" t="s">
        <v>71</v>
      </c>
      <c r="C208" s="8">
        <v>10</v>
      </c>
      <c r="D208" s="8" t="s">
        <v>64</v>
      </c>
      <c r="E208">
        <v>158</v>
      </c>
      <c r="F208" s="8">
        <v>0.97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6.4859929999999997</v>
      </c>
      <c r="P208">
        <f t="shared" si="7"/>
        <v>6.4859929999999997</v>
      </c>
      <c r="S208">
        <f t="shared" si="8"/>
        <v>0.7389805077499999</v>
      </c>
    </row>
    <row r="209" spans="1:19" x14ac:dyDescent="0.2">
      <c r="A209" s="9">
        <v>42681</v>
      </c>
      <c r="B209" s="9" t="s">
        <v>71</v>
      </c>
      <c r="C209" s="8">
        <v>10</v>
      </c>
      <c r="D209" s="8" t="s">
        <v>64</v>
      </c>
      <c r="E209">
        <v>256</v>
      </c>
      <c r="F209" s="8">
        <v>0.84</v>
      </c>
      <c r="G209" s="8"/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13.356283000000001</v>
      </c>
      <c r="P209">
        <f t="shared" si="7"/>
        <v>13.356283000000001</v>
      </c>
      <c r="S209">
        <f t="shared" si="8"/>
        <v>0.55417647599999986</v>
      </c>
    </row>
    <row r="210" spans="1:19" x14ac:dyDescent="0.2">
      <c r="A210" s="9">
        <v>42681</v>
      </c>
      <c r="B210" s="9" t="s">
        <v>71</v>
      </c>
      <c r="C210" s="8">
        <v>10</v>
      </c>
      <c r="D210" s="8" t="s">
        <v>64</v>
      </c>
      <c r="E210">
        <v>143</v>
      </c>
      <c r="F210" s="8">
        <v>0.99</v>
      </c>
      <c r="G210" s="8"/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5.434418</v>
      </c>
      <c r="P210">
        <f t="shared" si="7"/>
        <v>5.434418</v>
      </c>
      <c r="S210">
        <f t="shared" si="8"/>
        <v>0.76976808975</v>
      </c>
    </row>
    <row r="211" spans="1:19" x14ac:dyDescent="0.2">
      <c r="A211" s="9">
        <v>42681</v>
      </c>
      <c r="B211" s="9" t="s">
        <v>71</v>
      </c>
      <c r="C211" s="8">
        <v>10</v>
      </c>
      <c r="D211" s="8" t="s">
        <v>64</v>
      </c>
      <c r="E211">
        <v>119</v>
      </c>
      <c r="F211" s="8">
        <v>0.7</v>
      </c>
      <c r="G211" s="8"/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3.7518979999999997</v>
      </c>
      <c r="P211">
        <f t="shared" si="7"/>
        <v>3.7518979999999997</v>
      </c>
      <c r="S211">
        <f t="shared" si="8"/>
        <v>0.38484477499999992</v>
      </c>
    </row>
    <row r="212" spans="1:19" x14ac:dyDescent="0.2">
      <c r="A212" s="9">
        <v>42681</v>
      </c>
      <c r="B212" s="9" t="s">
        <v>71</v>
      </c>
      <c r="C212" s="8">
        <v>10</v>
      </c>
      <c r="D212" s="8" t="s">
        <v>64</v>
      </c>
      <c r="E212">
        <v>260</v>
      </c>
      <c r="F212" s="8">
        <v>0.87</v>
      </c>
      <c r="G212" s="8"/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13.636703000000001</v>
      </c>
      <c r="P212">
        <f t="shared" si="7"/>
        <v>13.636703000000001</v>
      </c>
      <c r="S212">
        <f t="shared" si="8"/>
        <v>0.59446736774999998</v>
      </c>
    </row>
    <row r="213" spans="1:19" x14ac:dyDescent="0.2">
      <c r="A213" s="9">
        <v>42681</v>
      </c>
      <c r="B213" s="9" t="s">
        <v>71</v>
      </c>
      <c r="C213" s="8">
        <v>10</v>
      </c>
      <c r="D213" s="8" t="s">
        <v>64</v>
      </c>
      <c r="E213">
        <v>247</v>
      </c>
      <c r="F213" s="8">
        <v>1.03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12.725338000000001</v>
      </c>
      <c r="P213">
        <f t="shared" si="7"/>
        <v>12.725338000000001</v>
      </c>
      <c r="S213">
        <f t="shared" si="8"/>
        <v>0.83322820774999995</v>
      </c>
    </row>
    <row r="214" spans="1:19" x14ac:dyDescent="0.2">
      <c r="A214" s="9">
        <v>42681</v>
      </c>
      <c r="B214" s="9" t="s">
        <v>71</v>
      </c>
      <c r="C214" s="8">
        <v>10</v>
      </c>
      <c r="D214" s="8" t="s">
        <v>64</v>
      </c>
      <c r="E214">
        <v>234</v>
      </c>
      <c r="F214" s="8">
        <v>0.77</v>
      </c>
      <c r="G214" s="8"/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11.813973000000001</v>
      </c>
      <c r="P214">
        <f t="shared" si="7"/>
        <v>11.813973000000001</v>
      </c>
      <c r="S214">
        <f t="shared" si="8"/>
        <v>0.46566217774999996</v>
      </c>
    </row>
    <row r="215" spans="1:19" x14ac:dyDescent="0.2">
      <c r="A215" s="9">
        <v>42681</v>
      </c>
      <c r="B215" s="9" t="s">
        <v>71</v>
      </c>
      <c r="C215" s="8">
        <v>10</v>
      </c>
      <c r="D215" s="8" t="s">
        <v>64</v>
      </c>
      <c r="E215">
        <v>208</v>
      </c>
      <c r="F215" s="8">
        <v>0.69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9.9912430000000008</v>
      </c>
      <c r="P215">
        <f t="shared" si="7"/>
        <v>9.9912430000000008</v>
      </c>
      <c r="S215">
        <f t="shared" si="8"/>
        <v>0.37392774974999993</v>
      </c>
    </row>
    <row r="216" spans="1:19" x14ac:dyDescent="0.2">
      <c r="A216" s="9">
        <v>42681</v>
      </c>
      <c r="B216" s="9" t="s">
        <v>71</v>
      </c>
      <c r="C216" s="8">
        <v>10</v>
      </c>
      <c r="D216" s="8" t="s">
        <v>64</v>
      </c>
      <c r="E216">
        <v>152</v>
      </c>
      <c r="F216" s="8">
        <v>0.68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6.0653630000000005</v>
      </c>
      <c r="P216">
        <f t="shared" si="7"/>
        <v>6.0653630000000005</v>
      </c>
      <c r="S216">
        <f t="shared" si="8"/>
        <v>0.36316780400000004</v>
      </c>
    </row>
    <row r="217" spans="1:19" x14ac:dyDescent="0.2">
      <c r="A217" s="9">
        <v>42681</v>
      </c>
      <c r="B217" s="9" t="s">
        <v>71</v>
      </c>
      <c r="C217" s="8">
        <v>10</v>
      </c>
      <c r="D217" s="8" t="s">
        <v>64</v>
      </c>
      <c r="E217">
        <v>213</v>
      </c>
      <c r="F217" s="8">
        <v>0.92</v>
      </c>
      <c r="G217" s="8"/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10.341768000000002</v>
      </c>
      <c r="P217">
        <f t="shared" si="7"/>
        <v>10.341768000000002</v>
      </c>
      <c r="S217">
        <f t="shared" si="8"/>
        <v>0.66476044400000001</v>
      </c>
    </row>
    <row r="218" spans="1:19" x14ac:dyDescent="0.2">
      <c r="A218" s="9">
        <v>42681</v>
      </c>
      <c r="B218" s="9" t="s">
        <v>71</v>
      </c>
      <c r="C218" s="8">
        <v>10</v>
      </c>
      <c r="D218" s="8" t="s">
        <v>64</v>
      </c>
      <c r="E218">
        <v>249</v>
      </c>
      <c r="F218" s="8">
        <v>0.76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12.865548</v>
      </c>
      <c r="P218">
        <f t="shared" si="7"/>
        <v>12.865548</v>
      </c>
      <c r="S218">
        <f t="shared" si="8"/>
        <v>0.45364559599999998</v>
      </c>
    </row>
    <row r="219" spans="1:19" x14ac:dyDescent="0.2">
      <c r="A219" s="9">
        <v>42681</v>
      </c>
      <c r="B219" s="9" t="s">
        <v>71</v>
      </c>
      <c r="C219" s="8">
        <v>10</v>
      </c>
      <c r="D219" s="8" t="s">
        <v>64</v>
      </c>
      <c r="E219">
        <v>260</v>
      </c>
      <c r="F219" s="8">
        <v>0.81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13.636703000000001</v>
      </c>
      <c r="P219">
        <f t="shared" si="7"/>
        <v>13.636703000000001</v>
      </c>
      <c r="S219">
        <f t="shared" si="8"/>
        <v>0.51529929975000011</v>
      </c>
    </row>
    <row r="220" spans="1:19" x14ac:dyDescent="0.2">
      <c r="A220" s="9">
        <v>42681</v>
      </c>
      <c r="B220" s="9" t="s">
        <v>71</v>
      </c>
      <c r="C220" s="8">
        <v>10</v>
      </c>
      <c r="D220" s="8" t="s">
        <v>64</v>
      </c>
      <c r="E220">
        <v>187</v>
      </c>
      <c r="F220" s="8">
        <v>0.59</v>
      </c>
      <c r="G220" s="8"/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8.5190380000000019</v>
      </c>
      <c r="P220">
        <f t="shared" si="7"/>
        <v>8.5190380000000019</v>
      </c>
      <c r="S220">
        <f t="shared" si="8"/>
        <v>0.27339686974999994</v>
      </c>
    </row>
    <row r="221" spans="1:19" x14ac:dyDescent="0.2">
      <c r="A221" s="9">
        <v>42681</v>
      </c>
      <c r="B221" s="9" t="s">
        <v>71</v>
      </c>
      <c r="C221" s="8">
        <v>10</v>
      </c>
      <c r="D221" s="8" t="s">
        <v>64</v>
      </c>
      <c r="E221">
        <v>136</v>
      </c>
      <c r="F221" s="8">
        <v>0.65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4.9436830000000009</v>
      </c>
      <c r="P221">
        <f t="shared" si="7"/>
        <v>4.9436830000000009</v>
      </c>
      <c r="S221">
        <f t="shared" si="8"/>
        <v>0.33183044375000004</v>
      </c>
    </row>
    <row r="222" spans="1:19" x14ac:dyDescent="0.2">
      <c r="A222" s="9">
        <v>42681</v>
      </c>
      <c r="B222" s="9" t="s">
        <v>71</v>
      </c>
      <c r="C222" s="8">
        <v>10</v>
      </c>
      <c r="D222" s="8" t="s">
        <v>64</v>
      </c>
      <c r="E222">
        <v>160</v>
      </c>
      <c r="F222" s="8">
        <v>0.61</v>
      </c>
      <c r="G222" s="8"/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6.6262029999999994</v>
      </c>
      <c r="P222">
        <f t="shared" si="7"/>
        <v>6.6262029999999994</v>
      </c>
      <c r="S222">
        <f t="shared" si="8"/>
        <v>0.29224640974999999</v>
      </c>
    </row>
    <row r="223" spans="1:19" x14ac:dyDescent="0.2">
      <c r="A223" s="9">
        <v>42681</v>
      </c>
      <c r="B223" s="9" t="s">
        <v>71</v>
      </c>
      <c r="C223" s="8">
        <v>10</v>
      </c>
      <c r="D223" s="8" t="s">
        <v>64</v>
      </c>
      <c r="E223">
        <v>216</v>
      </c>
      <c r="F223" s="8">
        <v>0.76</v>
      </c>
      <c r="G223" s="8">
        <v>1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8.3175336000000009</v>
      </c>
      <c r="P223">
        <f t="shared" si="7"/>
        <v>8.3175336000000009</v>
      </c>
      <c r="S223">
        <f t="shared" si="8"/>
        <v>0.45364559599999998</v>
      </c>
    </row>
    <row r="224" spans="1:19" x14ac:dyDescent="0.2">
      <c r="A224" s="9">
        <v>42681</v>
      </c>
      <c r="B224" s="9" t="s">
        <v>71</v>
      </c>
      <c r="C224" s="8">
        <v>10</v>
      </c>
      <c r="D224" s="8" t="s">
        <v>64</v>
      </c>
      <c r="E224">
        <v>160</v>
      </c>
      <c r="F224" s="8">
        <v>0.62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6.6262029999999994</v>
      </c>
      <c r="P224">
        <f t="shared" si="7"/>
        <v>6.6262029999999994</v>
      </c>
      <c r="S224">
        <f t="shared" si="8"/>
        <v>0.301906799</v>
      </c>
    </row>
    <row r="225" spans="1:19" x14ac:dyDescent="0.2">
      <c r="A225" s="9">
        <v>42681</v>
      </c>
      <c r="B225" s="9" t="s">
        <v>71</v>
      </c>
      <c r="C225" s="8">
        <v>10</v>
      </c>
      <c r="D225" s="8" t="s">
        <v>64</v>
      </c>
      <c r="E225">
        <v>188</v>
      </c>
      <c r="F225" s="8">
        <v>0.74</v>
      </c>
      <c r="G225" s="8"/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8.589143</v>
      </c>
      <c r="P225">
        <f t="shared" si="7"/>
        <v>8.589143</v>
      </c>
      <c r="S225">
        <f t="shared" si="8"/>
        <v>0.43008367099999995</v>
      </c>
    </row>
    <row r="226" spans="1:19" x14ac:dyDescent="0.2">
      <c r="A226" s="9">
        <v>42681</v>
      </c>
      <c r="B226" s="9" t="s">
        <v>71</v>
      </c>
      <c r="C226" s="8">
        <v>4</v>
      </c>
      <c r="D226" s="8" t="s">
        <v>66</v>
      </c>
      <c r="E226">
        <v>89</v>
      </c>
      <c r="F226" s="8">
        <v>0.9</v>
      </c>
      <c r="G226" s="8"/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1.6487480000000003</v>
      </c>
      <c r="P226">
        <f t="shared" si="7"/>
        <v>1.6487480000000003</v>
      </c>
      <c r="S226">
        <f t="shared" si="8"/>
        <v>0.636171975</v>
      </c>
    </row>
    <row r="227" spans="1:19" x14ac:dyDescent="0.2">
      <c r="A227" s="9">
        <v>42681</v>
      </c>
      <c r="B227" s="9" t="s">
        <v>71</v>
      </c>
      <c r="C227" s="8">
        <v>4</v>
      </c>
      <c r="D227" s="8" t="s">
        <v>66</v>
      </c>
      <c r="E227">
        <v>139</v>
      </c>
      <c r="F227" s="8">
        <v>2.17</v>
      </c>
      <c r="G227" s="8"/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5.1539980000000005</v>
      </c>
      <c r="P227">
        <f t="shared" si="7"/>
        <v>5.1539980000000005</v>
      </c>
      <c r="S227">
        <f t="shared" si="8"/>
        <v>3.6983582877499996</v>
      </c>
    </row>
    <row r="228" spans="1:19" x14ac:dyDescent="0.2">
      <c r="A228" s="9">
        <v>42681</v>
      </c>
      <c r="B228" s="9" t="s">
        <v>71</v>
      </c>
      <c r="C228" s="8">
        <v>4</v>
      </c>
      <c r="D228" s="8" t="s">
        <v>66</v>
      </c>
      <c r="E228">
        <v>47</v>
      </c>
      <c r="F228" s="8">
        <v>0.62</v>
      </c>
      <c r="G228" s="8"/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-1.2956619999999996</v>
      </c>
      <c r="P228" t="str">
        <f t="shared" si="7"/>
        <v xml:space="preserve"> </v>
      </c>
      <c r="S228">
        <f t="shared" si="8"/>
        <v>0.301906799</v>
      </c>
    </row>
    <row r="229" spans="1:19" x14ac:dyDescent="0.2">
      <c r="A229" s="9">
        <v>42681</v>
      </c>
      <c r="B229" s="9" t="s">
        <v>71</v>
      </c>
      <c r="C229" s="8">
        <v>4</v>
      </c>
      <c r="D229" s="8" t="s">
        <v>66</v>
      </c>
      <c r="E229">
        <v>196</v>
      </c>
      <c r="F229" s="8">
        <v>1.42</v>
      </c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9.1499829999999989</v>
      </c>
      <c r="P229">
        <f t="shared" si="7"/>
        <v>9.1499829999999989</v>
      </c>
      <c r="S229">
        <f t="shared" si="8"/>
        <v>1.5836755189999998</v>
      </c>
    </row>
    <row r="230" spans="1:19" x14ac:dyDescent="0.2">
      <c r="A230" s="9">
        <v>42681</v>
      </c>
      <c r="B230" s="9" t="s">
        <v>71</v>
      </c>
      <c r="C230" s="8">
        <v>4</v>
      </c>
      <c r="D230" s="8" t="s">
        <v>66</v>
      </c>
      <c r="E230">
        <v>99</v>
      </c>
      <c r="F230" s="8">
        <v>0.7</v>
      </c>
      <c r="G230" s="8"/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2.3497979999999998</v>
      </c>
      <c r="P230">
        <f t="shared" si="7"/>
        <v>2.3497979999999998</v>
      </c>
      <c r="S230">
        <f t="shared" si="8"/>
        <v>0.38484477499999992</v>
      </c>
    </row>
    <row r="231" spans="1:19" x14ac:dyDescent="0.2">
      <c r="A231" s="9">
        <v>42681</v>
      </c>
      <c r="B231" s="9" t="s">
        <v>71</v>
      </c>
      <c r="C231" s="8">
        <v>4</v>
      </c>
      <c r="D231" s="8" t="s">
        <v>61</v>
      </c>
      <c r="F231" s="8">
        <v>7.76</v>
      </c>
      <c r="G231" s="8"/>
      <c r="J231">
        <f>89+97+135+200+213+220+229+223</f>
        <v>1406</v>
      </c>
      <c r="K231">
        <v>8</v>
      </c>
      <c r="L231">
        <v>229</v>
      </c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39.69258500000003</v>
      </c>
      <c r="P231">
        <f t="shared" si="7"/>
        <v>39.69258500000003</v>
      </c>
      <c r="S231">
        <f t="shared" si="8"/>
        <v>47.294752495999994</v>
      </c>
    </row>
    <row r="232" spans="1:19" x14ac:dyDescent="0.2">
      <c r="A232" s="9">
        <v>42681</v>
      </c>
      <c r="B232" s="9" t="s">
        <v>71</v>
      </c>
      <c r="C232" s="8">
        <v>4</v>
      </c>
      <c r="D232" s="8" t="s">
        <v>66</v>
      </c>
      <c r="E232">
        <v>131</v>
      </c>
      <c r="F232" s="8">
        <v>1.1100000000000001</v>
      </c>
      <c r="G232" s="8"/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4.5931579999999999</v>
      </c>
      <c r="P232">
        <f t="shared" si="7"/>
        <v>4.5931579999999999</v>
      </c>
      <c r="S232">
        <f t="shared" si="8"/>
        <v>0.96768825975000017</v>
      </c>
    </row>
    <row r="233" spans="1:19" x14ac:dyDescent="0.2">
      <c r="A233" s="9">
        <v>42681</v>
      </c>
      <c r="B233" s="9" t="s">
        <v>71</v>
      </c>
      <c r="C233" s="8">
        <v>4</v>
      </c>
      <c r="D233" s="8" t="s">
        <v>66</v>
      </c>
      <c r="E233">
        <v>65</v>
      </c>
      <c r="F233" s="8">
        <v>0.5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-3.3771999999999913E-2</v>
      </c>
      <c r="P233" t="str">
        <f t="shared" si="7"/>
        <v xml:space="preserve"> </v>
      </c>
      <c r="S233">
        <f t="shared" si="8"/>
        <v>0.19634937499999999</v>
      </c>
    </row>
    <row r="234" spans="1:19" x14ac:dyDescent="0.2">
      <c r="A234" s="9">
        <v>42681</v>
      </c>
      <c r="B234" s="9" t="s">
        <v>71</v>
      </c>
      <c r="C234" s="8">
        <v>4</v>
      </c>
      <c r="D234" s="8" t="s">
        <v>66</v>
      </c>
      <c r="E234">
        <v>59</v>
      </c>
      <c r="F234" s="8">
        <v>0.38</v>
      </c>
      <c r="G234" s="8"/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-0.45440199999999997</v>
      </c>
      <c r="P234" t="str">
        <f t="shared" si="7"/>
        <v xml:space="preserve"> </v>
      </c>
      <c r="S234">
        <f t="shared" si="8"/>
        <v>0.113411399</v>
      </c>
    </row>
    <row r="235" spans="1:19" x14ac:dyDescent="0.2">
      <c r="A235" s="9">
        <v>42681</v>
      </c>
      <c r="B235" s="9" t="s">
        <v>71</v>
      </c>
      <c r="C235" s="8">
        <v>4</v>
      </c>
      <c r="D235" s="8" t="s">
        <v>66</v>
      </c>
      <c r="E235">
        <v>149</v>
      </c>
      <c r="F235" s="8">
        <v>1.47</v>
      </c>
      <c r="G235" s="8"/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5.8550480000000009</v>
      </c>
      <c r="P235">
        <f t="shared" si="7"/>
        <v>5.8550480000000009</v>
      </c>
      <c r="S235">
        <f t="shared" si="8"/>
        <v>1.6971654577499997</v>
      </c>
    </row>
    <row r="236" spans="1:19" x14ac:dyDescent="0.2">
      <c r="A236" s="9">
        <v>42681</v>
      </c>
      <c r="B236" s="9" t="s">
        <v>71</v>
      </c>
      <c r="C236" s="8">
        <v>4</v>
      </c>
      <c r="D236" s="8" t="s">
        <v>61</v>
      </c>
      <c r="F236" s="8">
        <v>5.4</v>
      </c>
      <c r="G236" s="8"/>
      <c r="J236">
        <f>224+235+258+277+282+283</f>
        <v>1559</v>
      </c>
      <c r="K236">
        <v>6</v>
      </c>
      <c r="L236">
        <v>283</v>
      </c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51.81457600000001</v>
      </c>
      <c r="P236">
        <f t="shared" si="7"/>
        <v>51.81457600000001</v>
      </c>
      <c r="S236">
        <f t="shared" si="8"/>
        <v>22.902191100000003</v>
      </c>
    </row>
    <row r="237" spans="1:19" x14ac:dyDescent="0.2">
      <c r="A237" s="9">
        <v>42681</v>
      </c>
      <c r="B237" s="9" t="s">
        <v>71</v>
      </c>
      <c r="C237" s="8">
        <v>4</v>
      </c>
      <c r="D237" s="8" t="s">
        <v>66</v>
      </c>
      <c r="E237">
        <v>80</v>
      </c>
      <c r="F237" s="8">
        <v>1.37</v>
      </c>
      <c r="G237" s="8"/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1.0178029999999998</v>
      </c>
      <c r="P237">
        <f t="shared" si="7"/>
        <v>1.0178029999999998</v>
      </c>
      <c r="S237">
        <f t="shared" si="8"/>
        <v>1.4741125677500002</v>
      </c>
    </row>
    <row r="238" spans="1:19" x14ac:dyDescent="0.2">
      <c r="A238" s="9">
        <v>42681</v>
      </c>
      <c r="B238" s="9" t="s">
        <v>71</v>
      </c>
      <c r="C238" s="8">
        <v>4</v>
      </c>
      <c r="D238" s="8" t="s">
        <v>66</v>
      </c>
      <c r="E238">
        <v>240</v>
      </c>
      <c r="F238" s="8">
        <v>2.69</v>
      </c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12.234603</v>
      </c>
      <c r="P238">
        <f t="shared" si="7"/>
        <v>12.234603</v>
      </c>
      <c r="S238">
        <f t="shared" si="8"/>
        <v>5.6832148497499997</v>
      </c>
    </row>
    <row r="239" spans="1:19" x14ac:dyDescent="0.2">
      <c r="A239" s="9">
        <v>42681</v>
      </c>
      <c r="B239" s="9" t="s">
        <v>71</v>
      </c>
      <c r="C239" s="8">
        <v>4</v>
      </c>
      <c r="D239" s="8" t="s">
        <v>66</v>
      </c>
      <c r="E239">
        <v>122</v>
      </c>
      <c r="F239" s="8">
        <v>0.97</v>
      </c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3.9622130000000011</v>
      </c>
      <c r="P239">
        <f t="shared" si="7"/>
        <v>3.9622130000000011</v>
      </c>
      <c r="S239">
        <f t="shared" si="8"/>
        <v>0.7389805077499999</v>
      </c>
    </row>
    <row r="240" spans="1:19" x14ac:dyDescent="0.2">
      <c r="A240" s="9">
        <v>42681</v>
      </c>
      <c r="B240" s="9" t="s">
        <v>71</v>
      </c>
      <c r="C240" s="8">
        <v>4</v>
      </c>
      <c r="D240" s="8" t="s">
        <v>61</v>
      </c>
      <c r="F240" s="8">
        <v>5.49</v>
      </c>
      <c r="J240">
        <f>40+42+128+128+136+194+200+204+235</f>
        <v>1307</v>
      </c>
      <c r="K240">
        <v>9</v>
      </c>
      <c r="L240">
        <v>235</v>
      </c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21.581016999999996</v>
      </c>
      <c r="P240">
        <f t="shared" si="7"/>
        <v>21.581016999999996</v>
      </c>
      <c r="S240">
        <f t="shared" si="8"/>
        <v>23.671959189750002</v>
      </c>
    </row>
    <row r="241" spans="1:19" x14ac:dyDescent="0.2">
      <c r="A241" s="9">
        <v>42681</v>
      </c>
      <c r="B241" s="9" t="s">
        <v>71</v>
      </c>
      <c r="C241" s="8">
        <v>4</v>
      </c>
      <c r="D241" s="8" t="s">
        <v>66</v>
      </c>
      <c r="E241">
        <v>155</v>
      </c>
      <c r="F241" s="8">
        <v>0.9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6.2756780000000001</v>
      </c>
      <c r="P241">
        <f t="shared" si="7"/>
        <v>6.2756780000000001</v>
      </c>
      <c r="S241">
        <f t="shared" si="8"/>
        <v>0.636171975</v>
      </c>
    </row>
    <row r="242" spans="1:19" x14ac:dyDescent="0.2">
      <c r="A242" s="9">
        <v>42681</v>
      </c>
      <c r="B242" s="9" t="s">
        <v>71</v>
      </c>
      <c r="C242" s="8">
        <v>4</v>
      </c>
      <c r="D242" s="8" t="s">
        <v>66</v>
      </c>
      <c r="E242">
        <v>158</v>
      </c>
      <c r="F242" s="8">
        <v>0.94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6.4859929999999997</v>
      </c>
      <c r="P242">
        <f t="shared" si="7"/>
        <v>6.4859929999999997</v>
      </c>
      <c r="S242">
        <f t="shared" si="8"/>
        <v>0.69397723099999997</v>
      </c>
    </row>
    <row r="243" spans="1:19" x14ac:dyDescent="0.2">
      <c r="A243" s="9">
        <v>42681</v>
      </c>
      <c r="B243" s="9" t="s">
        <v>71</v>
      </c>
      <c r="C243" s="8">
        <v>4</v>
      </c>
      <c r="D243" s="8" t="s">
        <v>61</v>
      </c>
      <c r="F243" s="8">
        <v>1.01</v>
      </c>
      <c r="J243">
        <f>132+144+153</f>
        <v>429</v>
      </c>
      <c r="K243">
        <v>3</v>
      </c>
      <c r="L243">
        <v>153</v>
      </c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6.1003349999999941</v>
      </c>
      <c r="P243">
        <f t="shared" si="7"/>
        <v>6.1003349999999941</v>
      </c>
      <c r="S243">
        <f t="shared" si="8"/>
        <v>0.80118398974999994</v>
      </c>
    </row>
    <row r="244" spans="1:19" x14ac:dyDescent="0.2">
      <c r="A244" s="9">
        <v>42681</v>
      </c>
      <c r="B244" s="9" t="s">
        <v>71</v>
      </c>
      <c r="C244" s="8">
        <v>4</v>
      </c>
      <c r="D244" s="8" t="s">
        <v>61</v>
      </c>
      <c r="F244" s="8">
        <v>4.5599999999999996</v>
      </c>
      <c r="J244">
        <f>95+124+164+176+226+228+235</f>
        <v>1248</v>
      </c>
      <c r="K244">
        <v>7</v>
      </c>
      <c r="L244">
        <v>235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30.094178000000007</v>
      </c>
      <c r="P244">
        <f t="shared" si="7"/>
        <v>30.094178000000007</v>
      </c>
      <c r="S244">
        <f t="shared" si="8"/>
        <v>16.331241455999997</v>
      </c>
    </row>
    <row r="245" spans="1:19" x14ac:dyDescent="0.2">
      <c r="A245" s="9">
        <v>42684</v>
      </c>
      <c r="B245" s="8" t="s">
        <v>72</v>
      </c>
      <c r="C245" s="8">
        <v>50</v>
      </c>
      <c r="D245" s="8" t="s">
        <v>61</v>
      </c>
      <c r="F245" s="8">
        <v>4.38</v>
      </c>
      <c r="J245">
        <f>241+294+309+332+335+343+350</f>
        <v>2204</v>
      </c>
      <c r="K245">
        <v>7</v>
      </c>
      <c r="L245">
        <v>350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85.080783000000025</v>
      </c>
      <c r="P245">
        <f t="shared" si="7"/>
        <v>85.080783000000025</v>
      </c>
      <c r="S245">
        <f t="shared" si="8"/>
        <v>15.067379798999999</v>
      </c>
    </row>
    <row r="246" spans="1:19" x14ac:dyDescent="0.2">
      <c r="A246" s="9">
        <v>42684</v>
      </c>
      <c r="B246" s="8" t="s">
        <v>72</v>
      </c>
      <c r="C246" s="8">
        <v>50</v>
      </c>
      <c r="D246" s="8" t="s">
        <v>61</v>
      </c>
      <c r="F246" s="8">
        <v>4.22</v>
      </c>
      <c r="J246">
        <f>190+246+274+294+317+331</f>
        <v>1652</v>
      </c>
      <c r="K246">
        <v>6</v>
      </c>
      <c r="L246">
        <v>331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46.074031000000012</v>
      </c>
      <c r="P246">
        <f t="shared" si="7"/>
        <v>46.074031000000012</v>
      </c>
      <c r="S246">
        <f t="shared" si="8"/>
        <v>13.986672838999999</v>
      </c>
    </row>
    <row r="247" spans="1:19" x14ac:dyDescent="0.2">
      <c r="A247" s="9">
        <v>42684</v>
      </c>
      <c r="B247" s="8" t="s">
        <v>72</v>
      </c>
      <c r="C247" s="8">
        <v>50</v>
      </c>
      <c r="D247" s="8" t="s">
        <v>61</v>
      </c>
      <c r="F247" s="8">
        <v>3.97</v>
      </c>
      <c r="J247">
        <f>146+183+211+223+245+269</f>
        <v>1277</v>
      </c>
      <c r="K247">
        <v>6</v>
      </c>
      <c r="L247">
        <v>269</v>
      </c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29.59309600000001</v>
      </c>
      <c r="P247">
        <f t="shared" si="7"/>
        <v>29.59309600000001</v>
      </c>
      <c r="S247">
        <f t="shared" si="8"/>
        <v>12.378571457750001</v>
      </c>
    </row>
    <row r="248" spans="1:19" x14ac:dyDescent="0.2">
      <c r="A248" s="9">
        <v>42684</v>
      </c>
      <c r="B248" s="8" t="s">
        <v>72</v>
      </c>
      <c r="C248" s="8">
        <v>50</v>
      </c>
      <c r="D248" s="8" t="s">
        <v>62</v>
      </c>
      <c r="E248">
        <v>276</v>
      </c>
      <c r="F248" s="8">
        <v>2.1800000000000002</v>
      </c>
      <c r="H248">
        <v>40</v>
      </c>
      <c r="I248">
        <v>2.58</v>
      </c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109.97288290000003</v>
      </c>
      <c r="P248">
        <f t="shared" si="7"/>
        <v>109.97288290000003</v>
      </c>
      <c r="S248">
        <f t="shared" si="8"/>
        <v>3.7325230790000004</v>
      </c>
    </row>
    <row r="249" spans="1:19" x14ac:dyDescent="0.2">
      <c r="A249" s="9">
        <v>42684</v>
      </c>
      <c r="B249" s="8" t="s">
        <v>72</v>
      </c>
      <c r="C249" s="8">
        <v>50</v>
      </c>
      <c r="D249" s="8" t="s">
        <v>61</v>
      </c>
      <c r="F249" s="8">
        <v>3.32</v>
      </c>
      <c r="J249">
        <f>190+155+195</f>
        <v>540</v>
      </c>
      <c r="K249">
        <v>3</v>
      </c>
      <c r="L249">
        <v>195</v>
      </c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3.8548500000000061</v>
      </c>
      <c r="P249">
        <f t="shared" si="7"/>
        <v>3.8548500000000061</v>
      </c>
      <c r="S249">
        <f t="shared" si="8"/>
        <v>8.6569654039999993</v>
      </c>
    </row>
    <row r="250" spans="1:19" x14ac:dyDescent="0.2">
      <c r="A250" s="9">
        <v>42684</v>
      </c>
      <c r="B250" s="8" t="s">
        <v>72</v>
      </c>
      <c r="C250" s="8">
        <v>50</v>
      </c>
      <c r="D250" s="8" t="s">
        <v>61</v>
      </c>
      <c r="F250" s="8">
        <v>2.02</v>
      </c>
      <c r="J250">
        <f>156+167+216</f>
        <v>539</v>
      </c>
      <c r="K250">
        <v>3</v>
      </c>
      <c r="L250">
        <v>216</v>
      </c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-2.5650499999999923</v>
      </c>
      <c r="P250" t="str">
        <f t="shared" si="7"/>
        <v xml:space="preserve"> </v>
      </c>
      <c r="S250">
        <f t="shared" si="8"/>
        <v>3.2047359589999997</v>
      </c>
    </row>
    <row r="251" spans="1:19" x14ac:dyDescent="0.2">
      <c r="A251" s="9">
        <v>42684</v>
      </c>
      <c r="B251" s="8" t="s">
        <v>72</v>
      </c>
      <c r="C251" s="8">
        <v>50</v>
      </c>
      <c r="D251" s="8" t="s">
        <v>61</v>
      </c>
      <c r="F251" s="8">
        <v>0.65</v>
      </c>
      <c r="J251">
        <f>25+27+27</f>
        <v>79</v>
      </c>
      <c r="K251">
        <v>3</v>
      </c>
      <c r="L251">
        <v>27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11.242954999999998</v>
      </c>
      <c r="P251">
        <f t="shared" si="7"/>
        <v>11.242954999999998</v>
      </c>
      <c r="S251">
        <f t="shared" si="8"/>
        <v>0.33183044375000004</v>
      </c>
    </row>
    <row r="252" spans="1:19" x14ac:dyDescent="0.2">
      <c r="A252" s="9">
        <v>42684</v>
      </c>
      <c r="B252" s="8" t="s">
        <v>72</v>
      </c>
      <c r="C252" s="8">
        <v>49</v>
      </c>
      <c r="D252" s="8" t="s">
        <v>61</v>
      </c>
      <c r="F252" s="8">
        <v>1.26</v>
      </c>
      <c r="J252">
        <f>180+195+194+195</f>
        <v>764</v>
      </c>
      <c r="K252">
        <v>4</v>
      </c>
      <c r="L252">
        <v>195</v>
      </c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17.833617000000011</v>
      </c>
      <c r="P252">
        <f t="shared" si="7"/>
        <v>17.833617000000011</v>
      </c>
      <c r="S252">
        <f t="shared" si="8"/>
        <v>1.246897071</v>
      </c>
    </row>
    <row r="253" spans="1:19" x14ac:dyDescent="0.2">
      <c r="A253" s="9">
        <v>42684</v>
      </c>
      <c r="B253" s="8" t="s">
        <v>72</v>
      </c>
      <c r="C253" s="8">
        <v>49</v>
      </c>
      <c r="D253" s="8" t="s">
        <v>62</v>
      </c>
      <c r="E253">
        <v>286</v>
      </c>
      <c r="F253" s="8">
        <v>2.02</v>
      </c>
      <c r="H253">
        <v>32</v>
      </c>
      <c r="I253">
        <v>2.5</v>
      </c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101.08981593999999</v>
      </c>
      <c r="P253">
        <f t="shared" si="7"/>
        <v>101.08981593999999</v>
      </c>
      <c r="S253">
        <f t="shared" si="8"/>
        <v>3.2047359589999997</v>
      </c>
    </row>
    <row r="254" spans="1:19" x14ac:dyDescent="0.2">
      <c r="A254" s="9">
        <v>42684</v>
      </c>
      <c r="B254" s="8" t="s">
        <v>72</v>
      </c>
      <c r="C254" s="8">
        <v>49</v>
      </c>
      <c r="D254" s="8" t="s">
        <v>61</v>
      </c>
      <c r="F254" s="8">
        <v>2.4</v>
      </c>
      <c r="J254">
        <f>135+231+241+249+301+303</f>
        <v>1460</v>
      </c>
      <c r="K254">
        <v>6</v>
      </c>
      <c r="L254">
        <v>303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36.507931000000021</v>
      </c>
      <c r="P254">
        <f t="shared" si="7"/>
        <v>36.507931000000021</v>
      </c>
      <c r="S254">
        <f t="shared" si="8"/>
        <v>4.5238895999999995</v>
      </c>
    </row>
    <row r="255" spans="1:19" x14ac:dyDescent="0.2">
      <c r="A255" s="9">
        <v>42684</v>
      </c>
      <c r="B255" s="8" t="s">
        <v>72</v>
      </c>
      <c r="C255" s="8">
        <v>49</v>
      </c>
      <c r="D255" s="8" t="s">
        <v>62</v>
      </c>
      <c r="E255">
        <v>288</v>
      </c>
      <c r="F255" s="8">
        <v>2.5099999999999998</v>
      </c>
      <c r="H255">
        <v>36</v>
      </c>
      <c r="I255">
        <v>2.5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114.85735147</v>
      </c>
      <c r="P255">
        <f t="shared" si="7"/>
        <v>114.85735147</v>
      </c>
      <c r="S255">
        <f t="shared" si="8"/>
        <v>4.948082789749999</v>
      </c>
    </row>
    <row r="256" spans="1:19" x14ac:dyDescent="0.2">
      <c r="A256" s="9">
        <v>42684</v>
      </c>
      <c r="B256" s="8" t="s">
        <v>72</v>
      </c>
      <c r="C256" s="8">
        <v>49</v>
      </c>
      <c r="D256" s="8" t="s">
        <v>61</v>
      </c>
      <c r="F256" s="8">
        <v>3.05</v>
      </c>
      <c r="J256">
        <f>231+284+323+334</f>
        <v>1172</v>
      </c>
      <c r="K256">
        <v>4</v>
      </c>
      <c r="L256">
        <v>334</v>
      </c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14.212602000000025</v>
      </c>
      <c r="P256">
        <f t="shared" si="7"/>
        <v>14.212602000000025</v>
      </c>
      <c r="S256">
        <f t="shared" si="8"/>
        <v>7.3061602437499982</v>
      </c>
    </row>
    <row r="257" spans="1:19" x14ac:dyDescent="0.2">
      <c r="A257" s="9">
        <v>42684</v>
      </c>
      <c r="B257" s="8" t="s">
        <v>72</v>
      </c>
      <c r="C257" s="8">
        <v>49</v>
      </c>
      <c r="D257" s="8" t="s">
        <v>61</v>
      </c>
      <c r="F257" s="8">
        <v>0.93</v>
      </c>
      <c r="J257">
        <f>54+64+83</f>
        <v>201</v>
      </c>
      <c r="K257">
        <v>3</v>
      </c>
      <c r="L257">
        <v>83</v>
      </c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5.8113449999999958</v>
      </c>
      <c r="P257">
        <f t="shared" si="7"/>
        <v>5.8113449999999958</v>
      </c>
      <c r="S257">
        <f t="shared" si="8"/>
        <v>0.67929029775000005</v>
      </c>
    </row>
    <row r="258" spans="1:19" x14ac:dyDescent="0.2">
      <c r="A258" s="9">
        <v>42684</v>
      </c>
      <c r="B258" s="8" t="s">
        <v>72</v>
      </c>
      <c r="C258" s="8">
        <v>18</v>
      </c>
      <c r="D258" s="8" t="s">
        <v>61</v>
      </c>
      <c r="F258" s="8">
        <v>1.22</v>
      </c>
      <c r="J258">
        <f>16+43+52+62</f>
        <v>173</v>
      </c>
      <c r="K258">
        <v>4</v>
      </c>
      <c r="L258">
        <v>62</v>
      </c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2.4899969999999989</v>
      </c>
      <c r="P258">
        <f t="shared" si="7"/>
        <v>2.4899969999999989</v>
      </c>
      <c r="S258">
        <f t="shared" si="8"/>
        <v>1.168985639</v>
      </c>
    </row>
    <row r="259" spans="1:19" x14ac:dyDescent="0.2">
      <c r="A259" s="9">
        <v>42684</v>
      </c>
      <c r="B259" s="8" t="s">
        <v>72</v>
      </c>
      <c r="C259" s="8">
        <v>18</v>
      </c>
      <c r="D259" s="8" t="s">
        <v>61</v>
      </c>
      <c r="F259" s="8">
        <v>1.34</v>
      </c>
      <c r="J259">
        <f>84+89+138+147</f>
        <v>458</v>
      </c>
      <c r="K259">
        <v>4</v>
      </c>
      <c r="L259">
        <v>147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3.6043470000000006</v>
      </c>
      <c r="P259">
        <f t="shared" si="7"/>
        <v>3.6043470000000006</v>
      </c>
      <c r="S259">
        <f t="shared" si="8"/>
        <v>1.4102597510000001</v>
      </c>
    </row>
    <row r="260" spans="1:19" x14ac:dyDescent="0.2">
      <c r="A260" s="9">
        <v>42684</v>
      </c>
      <c r="B260" s="8" t="s">
        <v>72</v>
      </c>
      <c r="C260" s="8">
        <v>18</v>
      </c>
      <c r="D260" s="8" t="s">
        <v>61</v>
      </c>
      <c r="F260" s="8">
        <v>1.99</v>
      </c>
      <c r="J260">
        <f>78+85+107+133+166+178</f>
        <v>747</v>
      </c>
      <c r="K260">
        <v>6</v>
      </c>
      <c r="L260">
        <v>178</v>
      </c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7.3162410000000051</v>
      </c>
      <c r="P260">
        <f t="shared" si="7"/>
        <v>7.3162410000000051</v>
      </c>
      <c r="S260">
        <f t="shared" si="8"/>
        <v>3.1102526397500001</v>
      </c>
    </row>
    <row r="261" spans="1:19" x14ac:dyDescent="0.2">
      <c r="A261" s="9">
        <v>42684</v>
      </c>
      <c r="B261" s="8" t="s">
        <v>72</v>
      </c>
      <c r="C261" s="8">
        <v>18</v>
      </c>
      <c r="D261" s="8" t="s">
        <v>61</v>
      </c>
      <c r="F261" s="8">
        <v>5.09</v>
      </c>
      <c r="J261">
        <f>156+197+255+285+289+305+311</f>
        <v>1798</v>
      </c>
      <c r="K261">
        <v>7</v>
      </c>
      <c r="L261">
        <v>311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58.764808000000023</v>
      </c>
      <c r="P261">
        <f t="shared" si="7"/>
        <v>58.764808000000023</v>
      </c>
      <c r="S261">
        <f t="shared" si="8"/>
        <v>20.348156969749997</v>
      </c>
    </row>
    <row r="262" spans="1:19" x14ac:dyDescent="0.2">
      <c r="A262" s="9">
        <v>42684</v>
      </c>
      <c r="B262" s="8" t="s">
        <v>72</v>
      </c>
      <c r="C262" s="8">
        <v>18</v>
      </c>
      <c r="D262" s="8" t="s">
        <v>61</v>
      </c>
      <c r="F262" s="8">
        <v>2.98</v>
      </c>
      <c r="J262">
        <f>108+50+192+194+210+222+252</f>
        <v>1228</v>
      </c>
      <c r="K262">
        <v>7</v>
      </c>
      <c r="L262">
        <v>252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23.097913000000013</v>
      </c>
      <c r="P262">
        <f t="shared" ref="P262:P325" si="9">IF(O262&lt;0," ",O262)</f>
        <v>23.097913000000013</v>
      </c>
      <c r="S262">
        <f t="shared" ref="S262:S325" si="10">3.14159*((F262/2)^2)</f>
        <v>6.9746439589999998</v>
      </c>
    </row>
    <row r="263" spans="1:19" x14ac:dyDescent="0.2">
      <c r="A263" s="9">
        <v>42684</v>
      </c>
      <c r="B263" s="8" t="s">
        <v>72</v>
      </c>
      <c r="C263" s="8">
        <v>18</v>
      </c>
      <c r="D263" s="8" t="s">
        <v>61</v>
      </c>
      <c r="F263" s="8">
        <v>3.23</v>
      </c>
      <c r="J263">
        <f>187+199+210+258+281</f>
        <v>1135</v>
      </c>
      <c r="K263">
        <v>5</v>
      </c>
      <c r="L263">
        <v>281</v>
      </c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19.687299000000003</v>
      </c>
      <c r="P263">
        <f t="shared" si="9"/>
        <v>19.687299000000003</v>
      </c>
      <c r="S263">
        <f t="shared" si="10"/>
        <v>8.1939735777500005</v>
      </c>
    </row>
    <row r="264" spans="1:19" x14ac:dyDescent="0.2">
      <c r="A264" s="9">
        <v>42684</v>
      </c>
      <c r="B264" s="8" t="s">
        <v>72</v>
      </c>
      <c r="C264" s="8">
        <v>18</v>
      </c>
      <c r="D264" s="8" t="s">
        <v>61</v>
      </c>
      <c r="F264" s="8">
        <v>1.82</v>
      </c>
      <c r="J264">
        <f>114+173+193+221+237</f>
        <v>938</v>
      </c>
      <c r="K264">
        <v>5</v>
      </c>
      <c r="L264">
        <v>237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14.472344000000007</v>
      </c>
      <c r="P264">
        <f t="shared" si="9"/>
        <v>14.472344000000007</v>
      </c>
      <c r="S264">
        <f t="shared" si="10"/>
        <v>2.6015506790000003</v>
      </c>
    </row>
    <row r="265" spans="1:19" x14ac:dyDescent="0.2">
      <c r="A265" s="9">
        <v>42684</v>
      </c>
      <c r="B265" s="8" t="s">
        <v>72</v>
      </c>
      <c r="C265" s="8">
        <v>18</v>
      </c>
      <c r="D265" s="8" t="s">
        <v>61</v>
      </c>
      <c r="F265" s="8">
        <v>3.35</v>
      </c>
      <c r="J265">
        <f>93+254+261+293+305</f>
        <v>1206</v>
      </c>
      <c r="K265">
        <v>5</v>
      </c>
      <c r="L265">
        <v>305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19.114024000000022</v>
      </c>
      <c r="P265">
        <f t="shared" si="9"/>
        <v>19.114024000000022</v>
      </c>
      <c r="S265">
        <f t="shared" si="10"/>
        <v>8.8141234437499989</v>
      </c>
    </row>
    <row r="266" spans="1:19" x14ac:dyDescent="0.2">
      <c r="A266" s="9">
        <v>42684</v>
      </c>
      <c r="B266" s="8" t="s">
        <v>72</v>
      </c>
      <c r="C266" s="8">
        <v>18</v>
      </c>
      <c r="D266" s="8" t="s">
        <v>61</v>
      </c>
      <c r="F266" s="8">
        <v>6.62</v>
      </c>
      <c r="J266">
        <f>137+180+280+206+240+296</f>
        <v>1339</v>
      </c>
      <c r="K266">
        <v>6</v>
      </c>
      <c r="L266">
        <v>296</v>
      </c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27.272291000000003</v>
      </c>
      <c r="P266">
        <f t="shared" si="9"/>
        <v>27.272291000000003</v>
      </c>
      <c r="S266">
        <f t="shared" si="10"/>
        <v>34.419574199000003</v>
      </c>
    </row>
    <row r="267" spans="1:19" x14ac:dyDescent="0.2">
      <c r="A267" s="9">
        <v>42684</v>
      </c>
      <c r="B267" s="8" t="s">
        <v>72</v>
      </c>
      <c r="C267" s="8">
        <v>18</v>
      </c>
      <c r="D267" s="8" t="s">
        <v>62</v>
      </c>
      <c r="E267">
        <v>287</v>
      </c>
      <c r="F267" s="8">
        <v>3.87</v>
      </c>
      <c r="H267">
        <v>42</v>
      </c>
      <c r="I267">
        <v>2.2999999999999998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142.83738199000001</v>
      </c>
      <c r="P267">
        <f t="shared" si="9"/>
        <v>142.83738199000001</v>
      </c>
      <c r="S267">
        <f t="shared" si="10"/>
        <v>11.76281981775</v>
      </c>
    </row>
    <row r="268" spans="1:19" x14ac:dyDescent="0.2">
      <c r="A268" s="9">
        <v>42684</v>
      </c>
      <c r="B268" s="8" t="s">
        <v>72</v>
      </c>
      <c r="C268" s="8">
        <v>18</v>
      </c>
      <c r="D268" s="8" t="s">
        <v>61</v>
      </c>
      <c r="F268" s="8">
        <v>1.32</v>
      </c>
      <c r="J268">
        <f>26+36+57+105</f>
        <v>224</v>
      </c>
      <c r="K268">
        <v>4</v>
      </c>
      <c r="L268">
        <v>105</v>
      </c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-5.682032999999997</v>
      </c>
      <c r="P268" t="str">
        <f t="shared" si="9"/>
        <v xml:space="preserve"> </v>
      </c>
      <c r="S268">
        <f t="shared" si="10"/>
        <v>1.368476604</v>
      </c>
    </row>
    <row r="269" spans="1:19" x14ac:dyDescent="0.2">
      <c r="A269" s="9">
        <v>42684</v>
      </c>
      <c r="B269" s="8" t="s">
        <v>72</v>
      </c>
      <c r="C269" s="8">
        <v>18</v>
      </c>
      <c r="D269" s="8" t="s">
        <v>61</v>
      </c>
      <c r="F269" s="8">
        <v>1.35</v>
      </c>
      <c r="J269">
        <f>74</f>
        <v>74</v>
      </c>
      <c r="K269">
        <v>1</v>
      </c>
      <c r="L269">
        <v>74</v>
      </c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10.660370999999998</v>
      </c>
      <c r="P269">
        <f t="shared" si="9"/>
        <v>10.660370999999998</v>
      </c>
      <c r="S269">
        <f t="shared" si="10"/>
        <v>1.4313869437500002</v>
      </c>
    </row>
    <row r="270" spans="1:19" x14ac:dyDescent="0.2">
      <c r="A270" s="9">
        <v>42684</v>
      </c>
      <c r="B270" s="8" t="s">
        <v>72</v>
      </c>
      <c r="C270" s="8">
        <v>18</v>
      </c>
      <c r="D270" s="8" t="s">
        <v>61</v>
      </c>
      <c r="F270" s="8">
        <v>1.4</v>
      </c>
      <c r="H270" s="8"/>
      <c r="J270">
        <f>110+119+165</f>
        <v>394</v>
      </c>
      <c r="K270">
        <v>3</v>
      </c>
      <c r="L270">
        <v>165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-0.79603000000000179</v>
      </c>
      <c r="P270" t="str">
        <f t="shared" si="9"/>
        <v xml:space="preserve"> </v>
      </c>
      <c r="S270">
        <f t="shared" si="10"/>
        <v>1.5393790999999997</v>
      </c>
    </row>
    <row r="271" spans="1:19" x14ac:dyDescent="0.2">
      <c r="A271" s="9">
        <v>42684</v>
      </c>
      <c r="B271" s="8" t="s">
        <v>72</v>
      </c>
      <c r="C271" s="8">
        <v>10</v>
      </c>
      <c r="D271" s="8" t="s">
        <v>61</v>
      </c>
      <c r="F271" s="8">
        <v>1.91</v>
      </c>
      <c r="J271">
        <f>55+67+88+110+121</f>
        <v>441</v>
      </c>
      <c r="K271">
        <v>5</v>
      </c>
      <c r="L271">
        <v>121</v>
      </c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2.8205290000000005</v>
      </c>
      <c r="P271">
        <f t="shared" si="9"/>
        <v>2.8205290000000005</v>
      </c>
      <c r="S271">
        <f t="shared" si="10"/>
        <v>2.8652086197499997</v>
      </c>
    </row>
    <row r="272" spans="1:19" x14ac:dyDescent="0.2">
      <c r="A272" s="9">
        <v>42684</v>
      </c>
      <c r="B272" s="8" t="s">
        <v>72</v>
      </c>
      <c r="C272" s="8">
        <v>10</v>
      </c>
      <c r="D272" s="8" t="s">
        <v>61</v>
      </c>
      <c r="F272" s="8">
        <v>5.6</v>
      </c>
      <c r="J272">
        <f>191+218+224+236+254+264+277+276+276+276</f>
        <v>2492</v>
      </c>
      <c r="K272">
        <v>10</v>
      </c>
      <c r="L272">
        <v>276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113.30729399999998</v>
      </c>
      <c r="P272">
        <f t="shared" si="9"/>
        <v>113.30729399999998</v>
      </c>
      <c r="S272">
        <f t="shared" si="10"/>
        <v>24.630065599999995</v>
      </c>
    </row>
    <row r="273" spans="1:19" x14ac:dyDescent="0.2">
      <c r="A273" s="9">
        <v>42684</v>
      </c>
      <c r="B273" s="8" t="s">
        <v>72</v>
      </c>
      <c r="C273" s="8">
        <v>10</v>
      </c>
      <c r="D273" s="8" t="s">
        <v>61</v>
      </c>
      <c r="F273" s="8">
        <v>2.81</v>
      </c>
      <c r="J273">
        <f>88+90+130+152+158</f>
        <v>618</v>
      </c>
      <c r="K273">
        <v>5</v>
      </c>
      <c r="L273">
        <v>158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8.2690990000000042</v>
      </c>
      <c r="P273">
        <f t="shared" si="9"/>
        <v>8.2690990000000042</v>
      </c>
      <c r="S273">
        <f t="shared" si="10"/>
        <v>6.20157719975</v>
      </c>
    </row>
    <row r="274" spans="1:19" x14ac:dyDescent="0.2">
      <c r="A274" s="9">
        <v>42684</v>
      </c>
      <c r="B274" s="8" t="s">
        <v>72</v>
      </c>
      <c r="C274" s="8">
        <v>10</v>
      </c>
      <c r="D274" s="8" t="s">
        <v>61</v>
      </c>
      <c r="F274" s="8">
        <v>4.72</v>
      </c>
      <c r="J274">
        <f>120+167+220+223+237+247</f>
        <v>1214</v>
      </c>
      <c r="K274">
        <v>6</v>
      </c>
      <c r="L274">
        <v>247</v>
      </c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30.313921000000015</v>
      </c>
      <c r="P274">
        <f t="shared" si="9"/>
        <v>30.313921000000015</v>
      </c>
      <c r="S274">
        <f t="shared" si="10"/>
        <v>17.497399663999996</v>
      </c>
    </row>
    <row r="275" spans="1:19" x14ac:dyDescent="0.2">
      <c r="A275" s="9">
        <v>42684</v>
      </c>
      <c r="B275" s="8" t="s">
        <v>72</v>
      </c>
      <c r="C275" s="8">
        <v>10</v>
      </c>
      <c r="D275" s="8" t="s">
        <v>61</v>
      </c>
      <c r="F275" s="8">
        <v>5.21</v>
      </c>
      <c r="J275">
        <f>210+221+237+249+267+270+271+271</f>
        <v>1996</v>
      </c>
      <c r="K275">
        <v>8</v>
      </c>
      <c r="L275">
        <v>271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82.355745000000013</v>
      </c>
      <c r="P275">
        <f t="shared" si="9"/>
        <v>82.355745000000013</v>
      </c>
      <c r="S275">
        <f t="shared" si="10"/>
        <v>21.318908279749998</v>
      </c>
    </row>
    <row r="276" spans="1:19" x14ac:dyDescent="0.2">
      <c r="A276" s="9">
        <v>42684</v>
      </c>
      <c r="B276" s="8" t="s">
        <v>72</v>
      </c>
      <c r="C276" s="8">
        <v>10</v>
      </c>
      <c r="D276" s="8" t="s">
        <v>61</v>
      </c>
      <c r="F276" s="8">
        <v>1.08</v>
      </c>
      <c r="J276">
        <f>17+17+17+39+47+60</f>
        <v>197</v>
      </c>
      <c r="K276">
        <v>6</v>
      </c>
      <c r="L276">
        <v>60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-8.702099000000004</v>
      </c>
      <c r="P276" t="str">
        <f t="shared" si="9"/>
        <v xml:space="preserve"> </v>
      </c>
      <c r="S276">
        <f t="shared" si="10"/>
        <v>0.91608764400000009</v>
      </c>
    </row>
    <row r="277" spans="1:19" x14ac:dyDescent="0.2">
      <c r="A277" s="9">
        <v>42684</v>
      </c>
      <c r="B277" s="8" t="s">
        <v>72</v>
      </c>
      <c r="C277" s="8">
        <v>10</v>
      </c>
      <c r="D277" s="8" t="s">
        <v>61</v>
      </c>
      <c r="F277" s="8">
        <v>1.31</v>
      </c>
      <c r="J277">
        <f>45+47+66+89+113+128</f>
        <v>488</v>
      </c>
      <c r="K277">
        <v>6</v>
      </c>
      <c r="L277">
        <v>128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-1.9040540000000021</v>
      </c>
      <c r="P277" t="str">
        <f t="shared" si="9"/>
        <v xml:space="preserve"> </v>
      </c>
      <c r="S277">
        <f t="shared" si="10"/>
        <v>1.34782064975</v>
      </c>
    </row>
    <row r="278" spans="1:19" x14ac:dyDescent="0.2">
      <c r="A278" s="9">
        <v>42684</v>
      </c>
      <c r="B278" s="8" t="s">
        <v>72</v>
      </c>
      <c r="C278" s="8">
        <v>10</v>
      </c>
      <c r="D278" s="8" t="s">
        <v>61</v>
      </c>
      <c r="F278" s="8">
        <v>1.67</v>
      </c>
      <c r="J278">
        <f>36+64</f>
        <v>100</v>
      </c>
      <c r="K278">
        <v>2</v>
      </c>
      <c r="L278">
        <v>64</v>
      </c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9.0880979999999987</v>
      </c>
      <c r="P278">
        <f t="shared" si="9"/>
        <v>9.0880979999999987</v>
      </c>
      <c r="S278">
        <f t="shared" si="10"/>
        <v>2.1903950877499998</v>
      </c>
    </row>
    <row r="279" spans="1:19" x14ac:dyDescent="0.2">
      <c r="A279" s="9">
        <v>42684</v>
      </c>
      <c r="B279" s="8" t="s">
        <v>72</v>
      </c>
      <c r="C279" s="8">
        <v>10</v>
      </c>
      <c r="D279" s="8" t="s">
        <v>61</v>
      </c>
      <c r="F279" s="8">
        <v>1.35</v>
      </c>
      <c r="J279">
        <f>85+118+145+149</f>
        <v>497</v>
      </c>
      <c r="K279">
        <v>4</v>
      </c>
      <c r="L279">
        <v>149</v>
      </c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6.6583020000000026</v>
      </c>
      <c r="P279">
        <f t="shared" si="9"/>
        <v>6.6583020000000026</v>
      </c>
      <c r="S279">
        <f t="shared" si="10"/>
        <v>1.4313869437500002</v>
      </c>
    </row>
    <row r="280" spans="1:19" x14ac:dyDescent="0.2">
      <c r="A280" s="9">
        <v>42684</v>
      </c>
      <c r="B280" s="8" t="s">
        <v>72</v>
      </c>
      <c r="C280" s="8">
        <v>10</v>
      </c>
      <c r="D280" s="8" t="s">
        <v>61</v>
      </c>
      <c r="F280" s="8">
        <v>1.32</v>
      </c>
      <c r="J280">
        <f>49+78+99</f>
        <v>226</v>
      </c>
      <c r="K280">
        <v>3</v>
      </c>
      <c r="L280">
        <v>99</v>
      </c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3.3352999999999966</v>
      </c>
      <c r="P280">
        <f t="shared" si="9"/>
        <v>3.3352999999999966</v>
      </c>
      <c r="S280">
        <f t="shared" si="10"/>
        <v>1.368476604</v>
      </c>
    </row>
    <row r="281" spans="1:19" x14ac:dyDescent="0.2">
      <c r="A281" s="9">
        <v>42684</v>
      </c>
      <c r="B281" s="8" t="s">
        <v>72</v>
      </c>
      <c r="C281" s="8">
        <v>10</v>
      </c>
      <c r="D281" s="8" t="s">
        <v>62</v>
      </c>
      <c r="E281">
        <v>270</v>
      </c>
      <c r="F281" s="8">
        <v>3.02</v>
      </c>
      <c r="H281">
        <v>27</v>
      </c>
      <c r="I281">
        <v>2.4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109.09201393999999</v>
      </c>
      <c r="P281">
        <f t="shared" si="9"/>
        <v>109.09201393999999</v>
      </c>
      <c r="S281">
        <f t="shared" si="10"/>
        <v>7.1631393589999997</v>
      </c>
    </row>
    <row r="282" spans="1:19" x14ac:dyDescent="0.2">
      <c r="A282" s="9">
        <v>42684</v>
      </c>
      <c r="B282" s="8" t="s">
        <v>72</v>
      </c>
      <c r="C282" s="8">
        <v>4</v>
      </c>
      <c r="D282" s="8" t="s">
        <v>61</v>
      </c>
      <c r="F282" s="8">
        <v>11.01</v>
      </c>
      <c r="J282">
        <f>105+175+198+200+227+229+230+232+233+332+338+339+341</f>
        <v>3179</v>
      </c>
      <c r="K282">
        <v>13</v>
      </c>
      <c r="L282">
        <v>341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137.068995</v>
      </c>
      <c r="P282">
        <f t="shared" si="9"/>
        <v>137.068995</v>
      </c>
      <c r="S282">
        <f t="shared" si="10"/>
        <v>95.205963489750005</v>
      </c>
    </row>
    <row r="283" spans="1:19" x14ac:dyDescent="0.2">
      <c r="A283" s="9">
        <v>42684</v>
      </c>
      <c r="B283" s="8" t="s">
        <v>72</v>
      </c>
      <c r="C283" s="8">
        <v>4</v>
      </c>
      <c r="D283" s="8" t="s">
        <v>61</v>
      </c>
      <c r="F283" s="8">
        <v>8.5500000000000007</v>
      </c>
      <c r="H283" s="8"/>
      <c r="J283">
        <f>200+213+215+228+231+233+235+96+173+214+229+237+238+240+243</f>
        <v>3225</v>
      </c>
      <c r="K283">
        <v>15</v>
      </c>
      <c r="L283">
        <v>243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156.85902899999999</v>
      </c>
      <c r="P283">
        <f t="shared" si="9"/>
        <v>156.85902899999999</v>
      </c>
      <c r="S283">
        <f t="shared" si="10"/>
        <v>57.414520743750003</v>
      </c>
    </row>
    <row r="284" spans="1:19" x14ac:dyDescent="0.2">
      <c r="A284" s="9">
        <v>42684</v>
      </c>
      <c r="B284" s="8" t="s">
        <v>72</v>
      </c>
      <c r="C284" s="8">
        <v>4</v>
      </c>
      <c r="D284" s="8" t="s">
        <v>61</v>
      </c>
      <c r="F284" s="8">
        <v>13.35</v>
      </c>
      <c r="H284" s="8"/>
      <c r="J284">
        <f>35+47+62+177+233+235+238+239+212+228+234+243</f>
        <v>2183</v>
      </c>
      <c r="K284">
        <v>12</v>
      </c>
      <c r="L284">
        <v>243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80.233378000000016</v>
      </c>
      <c r="P284">
        <f t="shared" si="9"/>
        <v>80.233378000000016</v>
      </c>
      <c r="S284">
        <f t="shared" si="10"/>
        <v>139.97550594374999</v>
      </c>
    </row>
    <row r="285" spans="1:19" x14ac:dyDescent="0.2">
      <c r="A285" s="9">
        <v>42684</v>
      </c>
      <c r="B285" s="8" t="s">
        <v>72</v>
      </c>
      <c r="C285" s="8">
        <v>4</v>
      </c>
      <c r="D285" s="8" t="s">
        <v>61</v>
      </c>
      <c r="F285" s="8">
        <v>4.53</v>
      </c>
      <c r="H285" s="8"/>
      <c r="J285">
        <f>85+134+167+158+165+176+191+192+202</f>
        <v>1470</v>
      </c>
      <c r="K285">
        <v>9</v>
      </c>
      <c r="L285">
        <v>202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46.804167</v>
      </c>
      <c r="P285">
        <f t="shared" si="9"/>
        <v>46.804167</v>
      </c>
      <c r="S285">
        <f t="shared" si="10"/>
        <v>16.117063557750001</v>
      </c>
    </row>
    <row r="286" spans="1:19" x14ac:dyDescent="0.2">
      <c r="A286" s="9">
        <v>42684</v>
      </c>
      <c r="B286" s="8" t="s">
        <v>73</v>
      </c>
      <c r="C286" s="8">
        <v>50</v>
      </c>
      <c r="D286" s="8" t="s">
        <v>66</v>
      </c>
      <c r="E286">
        <v>293</v>
      </c>
      <c r="F286" s="8">
        <v>3.09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15.950168000000001</v>
      </c>
      <c r="P286">
        <f t="shared" si="9"/>
        <v>15.950168000000001</v>
      </c>
      <c r="S286">
        <f t="shared" si="10"/>
        <v>7.49905386975</v>
      </c>
    </row>
    <row r="287" spans="1:19" x14ac:dyDescent="0.2">
      <c r="A287" s="9">
        <v>42684</v>
      </c>
      <c r="B287" s="8" t="s">
        <v>73</v>
      </c>
      <c r="C287" s="8">
        <v>50</v>
      </c>
      <c r="D287" s="8" t="s">
        <v>66</v>
      </c>
      <c r="E287">
        <v>272</v>
      </c>
      <c r="F287" s="8">
        <v>2.52</v>
      </c>
      <c r="H287" s="8"/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14.477963000000003</v>
      </c>
      <c r="P287">
        <f t="shared" si="9"/>
        <v>14.477963000000003</v>
      </c>
      <c r="S287">
        <f t="shared" si="10"/>
        <v>4.9875882840000001</v>
      </c>
    </row>
    <row r="288" spans="1:19" x14ac:dyDescent="0.2">
      <c r="A288" s="9">
        <v>42684</v>
      </c>
      <c r="B288" s="8" t="s">
        <v>73</v>
      </c>
      <c r="C288" s="8">
        <v>50</v>
      </c>
      <c r="D288" s="8" t="s">
        <v>66</v>
      </c>
      <c r="E288">
        <v>298</v>
      </c>
      <c r="F288" s="8">
        <v>2.5099999999999998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16.300693000000003</v>
      </c>
      <c r="P288">
        <f t="shared" si="9"/>
        <v>16.300693000000003</v>
      </c>
      <c r="S288">
        <f t="shared" si="10"/>
        <v>4.948082789749999</v>
      </c>
    </row>
    <row r="289" spans="1:19" x14ac:dyDescent="0.2">
      <c r="A289" s="9">
        <v>42684</v>
      </c>
      <c r="B289" s="8" t="s">
        <v>73</v>
      </c>
      <c r="C289" s="8">
        <v>50</v>
      </c>
      <c r="D289" s="8" t="s">
        <v>66</v>
      </c>
      <c r="E289">
        <v>201</v>
      </c>
      <c r="F289" s="8">
        <v>0.98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9.500508</v>
      </c>
      <c r="P289">
        <f t="shared" si="9"/>
        <v>9.500508</v>
      </c>
      <c r="S289">
        <f t="shared" si="10"/>
        <v>0.7542957589999999</v>
      </c>
    </row>
    <row r="290" spans="1:19" x14ac:dyDescent="0.2">
      <c r="A290" s="9">
        <v>42684</v>
      </c>
      <c r="B290" s="8" t="s">
        <v>73</v>
      </c>
      <c r="C290" s="8">
        <v>50</v>
      </c>
      <c r="D290" s="8" t="s">
        <v>66</v>
      </c>
      <c r="E290">
        <v>291</v>
      </c>
      <c r="F290" s="8">
        <v>2.31</v>
      </c>
      <c r="H290" s="8"/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15.809958000000002</v>
      </c>
      <c r="P290">
        <f t="shared" si="9"/>
        <v>15.809958000000002</v>
      </c>
      <c r="S290">
        <f t="shared" si="10"/>
        <v>4.1909595997500002</v>
      </c>
    </row>
    <row r="291" spans="1:19" x14ac:dyDescent="0.2">
      <c r="A291" s="9">
        <v>42684</v>
      </c>
      <c r="B291" s="8" t="s">
        <v>73</v>
      </c>
      <c r="C291" s="8">
        <v>50</v>
      </c>
      <c r="D291" s="8" t="s">
        <v>66</v>
      </c>
      <c r="E291">
        <v>266</v>
      </c>
      <c r="F291" s="8">
        <v>2.17</v>
      </c>
      <c r="H291" s="8"/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14.057333</v>
      </c>
      <c r="P291">
        <f t="shared" si="9"/>
        <v>14.057333</v>
      </c>
      <c r="S291">
        <f t="shared" si="10"/>
        <v>3.6983582877499996</v>
      </c>
    </row>
    <row r="292" spans="1:19" x14ac:dyDescent="0.2">
      <c r="A292" s="9">
        <v>42684</v>
      </c>
      <c r="B292" s="8" t="s">
        <v>73</v>
      </c>
      <c r="C292" s="8">
        <v>50</v>
      </c>
      <c r="D292" s="8" t="s">
        <v>66</v>
      </c>
      <c r="E292">
        <v>347</v>
      </c>
      <c r="F292" s="8">
        <v>1.77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19.735838000000001</v>
      </c>
      <c r="P292">
        <f t="shared" si="9"/>
        <v>19.735838000000001</v>
      </c>
      <c r="S292">
        <f t="shared" si="10"/>
        <v>2.4605718277499999</v>
      </c>
    </row>
    <row r="293" spans="1:19" x14ac:dyDescent="0.2">
      <c r="A293" s="9">
        <v>42684</v>
      </c>
      <c r="B293" s="8" t="s">
        <v>73</v>
      </c>
      <c r="C293" s="8">
        <v>50</v>
      </c>
      <c r="D293" s="8" t="s">
        <v>66</v>
      </c>
      <c r="E293">
        <v>290</v>
      </c>
      <c r="F293" s="8">
        <v>2.66</v>
      </c>
      <c r="H293" s="8"/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15.739853</v>
      </c>
      <c r="P293">
        <f t="shared" si="9"/>
        <v>15.739853</v>
      </c>
      <c r="S293">
        <f t="shared" si="10"/>
        <v>5.5571585510000006</v>
      </c>
    </row>
    <row r="294" spans="1:19" x14ac:dyDescent="0.2">
      <c r="A294" s="9">
        <v>42684</v>
      </c>
      <c r="B294" s="8" t="s">
        <v>73</v>
      </c>
      <c r="C294" s="8">
        <v>50</v>
      </c>
      <c r="D294" s="8" t="s">
        <v>66</v>
      </c>
      <c r="E294">
        <v>343</v>
      </c>
      <c r="F294" s="8">
        <v>2.86</v>
      </c>
      <c r="H294" s="8"/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19.455418000000002</v>
      </c>
      <c r="P294">
        <f t="shared" si="9"/>
        <v>19.455418000000002</v>
      </c>
      <c r="S294">
        <f t="shared" si="10"/>
        <v>6.4242373909999992</v>
      </c>
    </row>
    <row r="295" spans="1:19" x14ac:dyDescent="0.2">
      <c r="A295" s="9">
        <v>42684</v>
      </c>
      <c r="B295" s="8" t="s">
        <v>73</v>
      </c>
      <c r="C295" s="8">
        <v>50</v>
      </c>
      <c r="D295" s="8" t="s">
        <v>66</v>
      </c>
      <c r="E295">
        <v>187</v>
      </c>
      <c r="F295" s="8">
        <v>1.64</v>
      </c>
      <c r="H295" s="8"/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8.5190380000000019</v>
      </c>
      <c r="P295">
        <f t="shared" si="9"/>
        <v>8.5190380000000019</v>
      </c>
      <c r="S295">
        <f t="shared" si="10"/>
        <v>2.1124051159999997</v>
      </c>
    </row>
    <row r="296" spans="1:19" x14ac:dyDescent="0.2">
      <c r="A296" s="9">
        <v>42684</v>
      </c>
      <c r="B296" s="8" t="s">
        <v>73</v>
      </c>
      <c r="C296" s="8">
        <v>50</v>
      </c>
      <c r="D296" s="8" t="s">
        <v>66</v>
      </c>
      <c r="E296">
        <v>314</v>
      </c>
      <c r="F296" s="8">
        <v>2.1</v>
      </c>
      <c r="H296" s="8"/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17.422373</v>
      </c>
      <c r="P296">
        <f t="shared" si="9"/>
        <v>17.422373</v>
      </c>
      <c r="S296">
        <f t="shared" si="10"/>
        <v>3.4636029750000001</v>
      </c>
    </row>
    <row r="297" spans="1:19" x14ac:dyDescent="0.2">
      <c r="A297" s="9">
        <v>42684</v>
      </c>
      <c r="B297" s="8" t="s">
        <v>73</v>
      </c>
      <c r="C297" s="8">
        <v>50</v>
      </c>
      <c r="D297" s="8" t="s">
        <v>66</v>
      </c>
      <c r="E297">
        <v>214</v>
      </c>
      <c r="F297" s="8">
        <v>2.59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10.411873</v>
      </c>
      <c r="P297">
        <f t="shared" si="9"/>
        <v>10.411873</v>
      </c>
      <c r="S297">
        <f t="shared" si="10"/>
        <v>5.2685249697499987</v>
      </c>
    </row>
    <row r="298" spans="1:19" x14ac:dyDescent="0.2">
      <c r="A298" s="9">
        <v>42684</v>
      </c>
      <c r="B298" s="8" t="s">
        <v>73</v>
      </c>
      <c r="C298" s="8">
        <v>50</v>
      </c>
      <c r="D298" s="8" t="s">
        <v>66</v>
      </c>
      <c r="E298">
        <v>282</v>
      </c>
      <c r="F298" s="8">
        <v>2.4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15.179013000000001</v>
      </c>
      <c r="P298">
        <f t="shared" si="9"/>
        <v>15.179013000000001</v>
      </c>
      <c r="S298">
        <f t="shared" si="10"/>
        <v>4.5238895999999995</v>
      </c>
    </row>
    <row r="299" spans="1:19" x14ac:dyDescent="0.2">
      <c r="A299" s="9">
        <v>42684</v>
      </c>
      <c r="B299" s="8" t="s">
        <v>73</v>
      </c>
      <c r="C299" s="8">
        <v>50</v>
      </c>
      <c r="D299" s="8" t="s">
        <v>66</v>
      </c>
      <c r="E299">
        <v>183</v>
      </c>
      <c r="F299" s="8">
        <v>1.22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8.2386179999999989</v>
      </c>
      <c r="P299">
        <f t="shared" si="9"/>
        <v>8.2386179999999989</v>
      </c>
      <c r="S299">
        <f t="shared" si="10"/>
        <v>1.168985639</v>
      </c>
    </row>
    <row r="300" spans="1:19" x14ac:dyDescent="0.2">
      <c r="A300" s="9">
        <v>42684</v>
      </c>
      <c r="B300" s="8" t="s">
        <v>73</v>
      </c>
      <c r="C300" s="8">
        <v>50</v>
      </c>
      <c r="D300" s="8" t="s">
        <v>66</v>
      </c>
      <c r="E300">
        <v>87</v>
      </c>
      <c r="F300" s="8">
        <v>1.06</v>
      </c>
      <c r="H300" s="8"/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1.5085380000000006</v>
      </c>
      <c r="P300">
        <f t="shared" si="9"/>
        <v>1.5085380000000006</v>
      </c>
      <c r="S300">
        <f t="shared" si="10"/>
        <v>0.88247263100000006</v>
      </c>
    </row>
    <row r="301" spans="1:19" x14ac:dyDescent="0.2">
      <c r="A301" s="9">
        <v>42684</v>
      </c>
      <c r="B301" s="8" t="s">
        <v>73</v>
      </c>
      <c r="C301" s="8">
        <v>50</v>
      </c>
      <c r="D301" s="8" t="s">
        <v>66</v>
      </c>
      <c r="E301">
        <v>141</v>
      </c>
      <c r="F301" s="8">
        <v>1.33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5.2942080000000002</v>
      </c>
      <c r="P301">
        <f t="shared" si="9"/>
        <v>5.2942080000000002</v>
      </c>
      <c r="S301">
        <f t="shared" si="10"/>
        <v>1.3892896377500001</v>
      </c>
    </row>
    <row r="302" spans="1:19" x14ac:dyDescent="0.2">
      <c r="A302" s="9">
        <v>42684</v>
      </c>
      <c r="B302" s="8" t="s">
        <v>73</v>
      </c>
      <c r="C302" s="8">
        <v>50</v>
      </c>
      <c r="D302" s="8" t="s">
        <v>66</v>
      </c>
      <c r="E302">
        <v>107</v>
      </c>
      <c r="F302" s="8">
        <v>0.95</v>
      </c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2.9106380000000005</v>
      </c>
      <c r="P302">
        <f t="shared" si="9"/>
        <v>2.9106380000000005</v>
      </c>
      <c r="S302">
        <f t="shared" si="10"/>
        <v>0.70882124375</v>
      </c>
    </row>
    <row r="303" spans="1:19" x14ac:dyDescent="0.2">
      <c r="A303" s="9">
        <v>42684</v>
      </c>
      <c r="B303" s="8" t="s">
        <v>73</v>
      </c>
      <c r="C303" s="8">
        <v>50</v>
      </c>
      <c r="D303" s="8" t="s">
        <v>66</v>
      </c>
      <c r="E303">
        <v>115</v>
      </c>
      <c r="F303" s="8">
        <v>0.65</v>
      </c>
      <c r="H303" s="8"/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3.4714780000000003</v>
      </c>
      <c r="P303">
        <f t="shared" si="9"/>
        <v>3.4714780000000003</v>
      </c>
      <c r="S303">
        <f t="shared" si="10"/>
        <v>0.33183044375000004</v>
      </c>
    </row>
    <row r="304" spans="1:19" x14ac:dyDescent="0.2">
      <c r="A304" s="9">
        <v>42684</v>
      </c>
      <c r="B304" s="8" t="s">
        <v>73</v>
      </c>
      <c r="C304" s="8">
        <v>50</v>
      </c>
      <c r="D304" s="8" t="s">
        <v>66</v>
      </c>
      <c r="E304">
        <v>300</v>
      </c>
      <c r="F304" s="8">
        <v>1.73</v>
      </c>
      <c r="G304" s="8"/>
      <c r="I304" s="8"/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16.440903000000002</v>
      </c>
      <c r="P304">
        <f t="shared" si="9"/>
        <v>16.440903000000002</v>
      </c>
      <c r="S304">
        <f t="shared" si="10"/>
        <v>2.3506161777500001</v>
      </c>
    </row>
    <row r="305" spans="1:19" x14ac:dyDescent="0.2">
      <c r="A305" s="9">
        <v>42684</v>
      </c>
      <c r="B305" s="8" t="s">
        <v>73</v>
      </c>
      <c r="C305" s="8">
        <v>50</v>
      </c>
      <c r="D305" s="8" t="s">
        <v>66</v>
      </c>
      <c r="E305">
        <v>345</v>
      </c>
      <c r="F305" s="8">
        <v>2.4900000000000002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19.595628000000001</v>
      </c>
      <c r="P305">
        <f t="shared" si="9"/>
        <v>19.595628000000001</v>
      </c>
      <c r="S305">
        <f t="shared" si="10"/>
        <v>4.8695430397500008</v>
      </c>
    </row>
    <row r="306" spans="1:19" x14ac:dyDescent="0.2">
      <c r="A306" s="9">
        <v>42684</v>
      </c>
      <c r="B306" s="8" t="s">
        <v>73</v>
      </c>
      <c r="C306" s="8">
        <v>50</v>
      </c>
      <c r="D306" s="8" t="s">
        <v>66</v>
      </c>
      <c r="E306">
        <v>284</v>
      </c>
      <c r="F306" s="8">
        <v>1.78</v>
      </c>
      <c r="G306" s="8"/>
      <c r="I306" s="8"/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15.319223000000001</v>
      </c>
      <c r="P306">
        <f t="shared" si="9"/>
        <v>15.319223000000001</v>
      </c>
      <c r="S306">
        <f t="shared" si="10"/>
        <v>2.4884534390000002</v>
      </c>
    </row>
    <row r="307" spans="1:19" x14ac:dyDescent="0.2">
      <c r="A307" s="9">
        <v>42684</v>
      </c>
      <c r="B307" s="8" t="s">
        <v>73</v>
      </c>
      <c r="C307" s="8">
        <v>50</v>
      </c>
      <c r="D307" s="8" t="s">
        <v>66</v>
      </c>
      <c r="E307">
        <v>302</v>
      </c>
      <c r="F307" s="8">
        <v>1.74</v>
      </c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16.581113000000002</v>
      </c>
      <c r="P307">
        <f t="shared" si="9"/>
        <v>16.581113000000002</v>
      </c>
      <c r="S307">
        <f t="shared" si="10"/>
        <v>2.3778694709999999</v>
      </c>
    </row>
    <row r="308" spans="1:19" x14ac:dyDescent="0.2">
      <c r="A308" s="9">
        <v>42684</v>
      </c>
      <c r="B308" s="8" t="s">
        <v>73</v>
      </c>
      <c r="C308" s="8">
        <v>50</v>
      </c>
      <c r="D308" s="8" t="s">
        <v>66</v>
      </c>
      <c r="E308">
        <v>351</v>
      </c>
      <c r="F308" s="8">
        <v>2.99</v>
      </c>
      <c r="G308" s="8"/>
      <c r="I308" s="8"/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20.016258000000001</v>
      </c>
      <c r="P308">
        <f t="shared" si="9"/>
        <v>20.016258000000001</v>
      </c>
      <c r="S308">
        <f t="shared" si="10"/>
        <v>7.0215321897500003</v>
      </c>
    </row>
    <row r="309" spans="1:19" x14ac:dyDescent="0.2">
      <c r="A309" s="9">
        <v>42684</v>
      </c>
      <c r="B309" s="8" t="s">
        <v>73</v>
      </c>
      <c r="C309" s="8">
        <v>50</v>
      </c>
      <c r="D309" s="8" t="s">
        <v>66</v>
      </c>
      <c r="E309">
        <v>288</v>
      </c>
      <c r="F309" s="8">
        <v>2.0699999999999998</v>
      </c>
      <c r="G309" s="8"/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15.599643</v>
      </c>
      <c r="P309">
        <f t="shared" si="9"/>
        <v>15.599643</v>
      </c>
      <c r="S309">
        <f t="shared" si="10"/>
        <v>3.3653497477499994</v>
      </c>
    </row>
    <row r="310" spans="1:19" x14ac:dyDescent="0.2">
      <c r="A310" s="9">
        <v>42684</v>
      </c>
      <c r="B310" s="8" t="s">
        <v>73</v>
      </c>
      <c r="C310" s="8">
        <v>50</v>
      </c>
      <c r="D310" s="8" t="s">
        <v>66</v>
      </c>
      <c r="E310">
        <v>264</v>
      </c>
      <c r="F310" s="8">
        <v>1.58</v>
      </c>
      <c r="G310" s="8"/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13.917123</v>
      </c>
      <c r="P310">
        <f t="shared" si="9"/>
        <v>13.917123</v>
      </c>
      <c r="S310">
        <f t="shared" si="10"/>
        <v>1.9606663190000002</v>
      </c>
    </row>
    <row r="311" spans="1:19" x14ac:dyDescent="0.2">
      <c r="A311" s="9">
        <v>42684</v>
      </c>
      <c r="B311" s="8" t="s">
        <v>73</v>
      </c>
      <c r="C311" s="8">
        <v>50</v>
      </c>
      <c r="D311" s="8" t="s">
        <v>66</v>
      </c>
      <c r="E311">
        <v>322</v>
      </c>
      <c r="F311" s="8">
        <v>1.89</v>
      </c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17.983213000000003</v>
      </c>
      <c r="P311">
        <f t="shared" si="9"/>
        <v>17.983213000000003</v>
      </c>
      <c r="S311">
        <f t="shared" si="10"/>
        <v>2.8055184097499999</v>
      </c>
    </row>
    <row r="312" spans="1:19" x14ac:dyDescent="0.2">
      <c r="A312" s="9">
        <v>42684</v>
      </c>
      <c r="B312" s="8" t="s">
        <v>73</v>
      </c>
      <c r="C312" s="8">
        <v>50</v>
      </c>
      <c r="D312" s="8" t="s">
        <v>66</v>
      </c>
      <c r="E312">
        <v>321</v>
      </c>
      <c r="F312" s="8">
        <v>1.88</v>
      </c>
      <c r="G312" s="8"/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17.913108000000001</v>
      </c>
      <c r="P312">
        <f t="shared" si="9"/>
        <v>17.913108000000001</v>
      </c>
      <c r="S312">
        <f t="shared" si="10"/>
        <v>2.7759089239999999</v>
      </c>
    </row>
    <row r="313" spans="1:19" x14ac:dyDescent="0.2">
      <c r="A313" s="9">
        <v>42684</v>
      </c>
      <c r="B313" s="8" t="s">
        <v>73</v>
      </c>
      <c r="C313" s="8">
        <v>50</v>
      </c>
      <c r="D313" s="8" t="s">
        <v>66</v>
      </c>
      <c r="E313">
        <v>220</v>
      </c>
      <c r="F313" s="8">
        <v>2.4900000000000002</v>
      </c>
      <c r="G313" s="8"/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10.832502999999999</v>
      </c>
      <c r="P313">
        <f t="shared" si="9"/>
        <v>10.832502999999999</v>
      </c>
      <c r="S313">
        <f t="shared" si="10"/>
        <v>4.8695430397500008</v>
      </c>
    </row>
    <row r="314" spans="1:19" x14ac:dyDescent="0.2">
      <c r="A314" s="9">
        <v>42684</v>
      </c>
      <c r="B314" s="8" t="s">
        <v>73</v>
      </c>
      <c r="C314" s="8">
        <v>50</v>
      </c>
      <c r="D314" s="8" t="s">
        <v>66</v>
      </c>
      <c r="E314">
        <v>296</v>
      </c>
      <c r="F314" s="8">
        <v>1.71</v>
      </c>
      <c r="G314" s="8"/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16.160483000000003</v>
      </c>
      <c r="P314">
        <f t="shared" si="9"/>
        <v>16.160483000000003</v>
      </c>
      <c r="S314">
        <f t="shared" si="10"/>
        <v>2.2965808297499999</v>
      </c>
    </row>
    <row r="315" spans="1:19" x14ac:dyDescent="0.2">
      <c r="A315" s="9">
        <v>42684</v>
      </c>
      <c r="B315" s="8" t="s">
        <v>73</v>
      </c>
      <c r="C315" s="8">
        <v>50</v>
      </c>
      <c r="D315" s="8" t="s">
        <v>66</v>
      </c>
      <c r="E315">
        <v>215</v>
      </c>
      <c r="F315" s="8">
        <v>1.52</v>
      </c>
      <c r="G315" s="8"/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10.481978000000002</v>
      </c>
      <c r="P315">
        <f t="shared" si="9"/>
        <v>10.481978000000002</v>
      </c>
      <c r="S315">
        <f t="shared" si="10"/>
        <v>1.8145823839999999</v>
      </c>
    </row>
    <row r="316" spans="1:19" x14ac:dyDescent="0.2">
      <c r="A316" s="9">
        <v>42684</v>
      </c>
      <c r="B316" s="8" t="s">
        <v>73</v>
      </c>
      <c r="C316" s="8">
        <v>50</v>
      </c>
      <c r="D316" s="8" t="s">
        <v>66</v>
      </c>
      <c r="E316">
        <v>337</v>
      </c>
      <c r="F316" s="8">
        <v>2.2200000000000002</v>
      </c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19.034788000000002</v>
      </c>
      <c r="P316">
        <f t="shared" si="9"/>
        <v>19.034788000000002</v>
      </c>
      <c r="S316">
        <f t="shared" si="10"/>
        <v>3.8707530390000007</v>
      </c>
    </row>
    <row r="317" spans="1:19" x14ac:dyDescent="0.2">
      <c r="A317" s="9">
        <v>42684</v>
      </c>
      <c r="B317" s="8" t="s">
        <v>73</v>
      </c>
      <c r="C317" s="8">
        <v>50</v>
      </c>
      <c r="D317" s="8" t="s">
        <v>66</v>
      </c>
      <c r="E317">
        <v>225</v>
      </c>
      <c r="F317" s="8">
        <v>2.2000000000000002</v>
      </c>
      <c r="G317" s="8"/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11.183028</v>
      </c>
      <c r="P317">
        <f t="shared" si="9"/>
        <v>11.183028</v>
      </c>
      <c r="S317">
        <f t="shared" si="10"/>
        <v>3.8013239000000003</v>
      </c>
    </row>
    <row r="318" spans="1:19" x14ac:dyDescent="0.2">
      <c r="A318" s="9">
        <v>42684</v>
      </c>
      <c r="B318" s="8" t="s">
        <v>73</v>
      </c>
      <c r="C318" s="8">
        <v>50</v>
      </c>
      <c r="D318" s="8" t="s">
        <v>66</v>
      </c>
      <c r="E318">
        <v>280</v>
      </c>
      <c r="F318" s="8">
        <v>2</v>
      </c>
      <c r="G318" s="8"/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15.038803000000001</v>
      </c>
      <c r="P318">
        <f t="shared" si="9"/>
        <v>15.038803000000001</v>
      </c>
      <c r="S318">
        <f t="shared" si="10"/>
        <v>3.1415899999999999</v>
      </c>
    </row>
    <row r="319" spans="1:19" x14ac:dyDescent="0.2">
      <c r="A319" s="9">
        <v>42684</v>
      </c>
      <c r="B319" s="8" t="s">
        <v>73</v>
      </c>
      <c r="C319" s="8">
        <v>50</v>
      </c>
      <c r="D319" s="8" t="s">
        <v>66</v>
      </c>
      <c r="E319">
        <v>272</v>
      </c>
      <c r="F319" s="8">
        <v>2.2999999999999998</v>
      </c>
      <c r="G319" s="8"/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14.477963000000003</v>
      </c>
      <c r="P319">
        <f t="shared" si="9"/>
        <v>14.477963000000003</v>
      </c>
      <c r="S319">
        <f t="shared" si="10"/>
        <v>4.1547527749999995</v>
      </c>
    </row>
    <row r="320" spans="1:19" x14ac:dyDescent="0.2">
      <c r="A320" s="9">
        <v>42684</v>
      </c>
      <c r="B320" s="8" t="s">
        <v>73</v>
      </c>
      <c r="C320" s="8">
        <v>50</v>
      </c>
      <c r="D320" s="8" t="s">
        <v>66</v>
      </c>
      <c r="E320">
        <v>174</v>
      </c>
      <c r="F320" s="8">
        <v>1.43</v>
      </c>
      <c r="G320" s="8"/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7.607673000000001</v>
      </c>
      <c r="P320">
        <f t="shared" si="9"/>
        <v>7.607673000000001</v>
      </c>
      <c r="S320">
        <f t="shared" si="10"/>
        <v>1.6060593477499998</v>
      </c>
    </row>
    <row r="321" spans="1:19" x14ac:dyDescent="0.2">
      <c r="A321" s="9">
        <v>42684</v>
      </c>
      <c r="B321" s="8" t="s">
        <v>73</v>
      </c>
      <c r="C321" s="8">
        <v>50</v>
      </c>
      <c r="D321" s="8" t="s">
        <v>66</v>
      </c>
      <c r="E321">
        <v>227</v>
      </c>
      <c r="F321" s="8">
        <v>2.16</v>
      </c>
      <c r="G321" s="8"/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11.323238</v>
      </c>
      <c r="P321">
        <f t="shared" si="9"/>
        <v>11.323238</v>
      </c>
      <c r="S321">
        <f t="shared" si="10"/>
        <v>3.6643505760000004</v>
      </c>
    </row>
    <row r="322" spans="1:19" x14ac:dyDescent="0.2">
      <c r="A322" s="9">
        <v>42684</v>
      </c>
      <c r="B322" s="8" t="s">
        <v>73</v>
      </c>
      <c r="C322" s="8">
        <v>50</v>
      </c>
      <c r="D322" s="8" t="s">
        <v>66</v>
      </c>
      <c r="E322">
        <v>271</v>
      </c>
      <c r="F322" s="8">
        <v>1.71</v>
      </c>
      <c r="G322" s="8"/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14.407858000000001</v>
      </c>
      <c r="P322">
        <f t="shared" si="9"/>
        <v>14.407858000000001</v>
      </c>
      <c r="S322">
        <f t="shared" si="10"/>
        <v>2.2965808297499999</v>
      </c>
    </row>
    <row r="323" spans="1:19" x14ac:dyDescent="0.2">
      <c r="A323" s="9">
        <v>42684</v>
      </c>
      <c r="B323" s="8" t="s">
        <v>73</v>
      </c>
      <c r="C323" s="8">
        <v>50</v>
      </c>
      <c r="D323" s="8" t="s">
        <v>66</v>
      </c>
      <c r="E323">
        <v>90</v>
      </c>
      <c r="F323" s="8">
        <v>1.0900000000000001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1.7188530000000002</v>
      </c>
      <c r="P323">
        <f t="shared" si="9"/>
        <v>1.7188530000000002</v>
      </c>
      <c r="S323">
        <f t="shared" si="10"/>
        <v>0.93313076975000009</v>
      </c>
    </row>
    <row r="324" spans="1:19" x14ac:dyDescent="0.2">
      <c r="A324" s="9">
        <v>42684</v>
      </c>
      <c r="B324" s="8" t="s">
        <v>73</v>
      </c>
      <c r="C324" s="8">
        <v>50</v>
      </c>
      <c r="D324" s="8" t="s">
        <v>66</v>
      </c>
      <c r="E324">
        <v>268</v>
      </c>
      <c r="F324" s="8">
        <v>2.2200000000000002</v>
      </c>
      <c r="G324" s="8"/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14.197543</v>
      </c>
      <c r="P324">
        <f t="shared" si="9"/>
        <v>14.197543</v>
      </c>
      <c r="S324">
        <f t="shared" si="10"/>
        <v>3.8707530390000007</v>
      </c>
    </row>
    <row r="325" spans="1:19" x14ac:dyDescent="0.2">
      <c r="A325" s="9">
        <v>42684</v>
      </c>
      <c r="B325" s="8" t="s">
        <v>73</v>
      </c>
      <c r="C325" s="8">
        <v>50</v>
      </c>
      <c r="D325" s="8" t="s">
        <v>66</v>
      </c>
      <c r="E325">
        <v>278</v>
      </c>
      <c r="F325" s="8">
        <v>2.0299999999999998</v>
      </c>
      <c r="G325" s="8"/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14.898593000000002</v>
      </c>
      <c r="P325">
        <f t="shared" si="9"/>
        <v>14.898593000000002</v>
      </c>
      <c r="S325">
        <f t="shared" si="10"/>
        <v>3.2365445577499989</v>
      </c>
    </row>
    <row r="326" spans="1:19" x14ac:dyDescent="0.2">
      <c r="A326" s="9">
        <v>42684</v>
      </c>
      <c r="B326" s="8" t="s">
        <v>73</v>
      </c>
      <c r="C326" s="8">
        <v>50</v>
      </c>
      <c r="D326" s="8" t="s">
        <v>66</v>
      </c>
      <c r="E326">
        <v>87</v>
      </c>
      <c r="F326" s="8">
        <v>0.91</v>
      </c>
      <c r="G326" s="8"/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1.5085380000000006</v>
      </c>
      <c r="P326">
        <f t="shared" ref="P326:P389" si="11">IF(O326&lt;0," ",O326)</f>
        <v>1.5085380000000006</v>
      </c>
      <c r="S326">
        <f t="shared" ref="S326:S389" si="12">3.14159*((F326/2)^2)</f>
        <v>0.65038766975000006</v>
      </c>
    </row>
    <row r="327" spans="1:19" x14ac:dyDescent="0.2">
      <c r="A327" s="9">
        <v>42684</v>
      </c>
      <c r="B327" s="8" t="s">
        <v>73</v>
      </c>
      <c r="C327" s="8">
        <v>50</v>
      </c>
      <c r="D327" s="8" t="s">
        <v>66</v>
      </c>
      <c r="E327">
        <v>263</v>
      </c>
      <c r="F327" s="8">
        <v>2.02</v>
      </c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13.847018000000002</v>
      </c>
      <c r="P327">
        <f t="shared" si="11"/>
        <v>13.847018000000002</v>
      </c>
      <c r="S327">
        <f t="shared" si="12"/>
        <v>3.2047359589999997</v>
      </c>
    </row>
    <row r="328" spans="1:19" x14ac:dyDescent="0.2">
      <c r="A328" s="9">
        <v>42684</v>
      </c>
      <c r="B328" s="8" t="s">
        <v>73</v>
      </c>
      <c r="C328" s="8">
        <v>50</v>
      </c>
      <c r="D328" s="8" t="s">
        <v>66</v>
      </c>
      <c r="E328">
        <v>248</v>
      </c>
      <c r="F328" s="8">
        <v>1.32</v>
      </c>
      <c r="G328" s="8"/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12.795443000000002</v>
      </c>
      <c r="P328">
        <f t="shared" si="11"/>
        <v>12.795443000000002</v>
      </c>
      <c r="S328">
        <f t="shared" si="12"/>
        <v>1.368476604</v>
      </c>
    </row>
    <row r="329" spans="1:19" x14ac:dyDescent="0.2">
      <c r="A329" s="9">
        <v>42684</v>
      </c>
      <c r="B329" s="8" t="s">
        <v>73</v>
      </c>
      <c r="C329" s="8">
        <v>50</v>
      </c>
      <c r="D329" s="8" t="s">
        <v>66</v>
      </c>
      <c r="E329">
        <v>279</v>
      </c>
      <c r="F329" s="8">
        <v>1.91</v>
      </c>
      <c r="G329" s="8"/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14.968698</v>
      </c>
      <c r="P329">
        <f t="shared" si="11"/>
        <v>14.968698</v>
      </c>
      <c r="S329">
        <f t="shared" si="12"/>
        <v>2.8652086197499997</v>
      </c>
    </row>
    <row r="330" spans="1:19" x14ac:dyDescent="0.2">
      <c r="A330" s="9">
        <v>42684</v>
      </c>
      <c r="B330" s="8" t="s">
        <v>73</v>
      </c>
      <c r="C330" s="8">
        <v>50</v>
      </c>
      <c r="D330" s="8" t="s">
        <v>66</v>
      </c>
      <c r="E330">
        <v>304</v>
      </c>
      <c r="F330" s="8">
        <v>2.38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16.721323000000002</v>
      </c>
      <c r="P330">
        <f t="shared" si="11"/>
        <v>16.721323000000002</v>
      </c>
      <c r="S330">
        <f t="shared" si="12"/>
        <v>4.4488055989999999</v>
      </c>
    </row>
    <row r="331" spans="1:19" x14ac:dyDescent="0.2">
      <c r="A331" s="9">
        <v>42684</v>
      </c>
      <c r="B331" s="8" t="s">
        <v>73</v>
      </c>
      <c r="C331" s="8">
        <v>50</v>
      </c>
      <c r="D331" s="8" t="s">
        <v>66</v>
      </c>
      <c r="E331">
        <v>85</v>
      </c>
      <c r="F331" s="8">
        <v>0.68</v>
      </c>
      <c r="G331" s="8"/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1.368328</v>
      </c>
      <c r="P331">
        <f t="shared" si="11"/>
        <v>1.368328</v>
      </c>
      <c r="S331">
        <f t="shared" si="12"/>
        <v>0.36316780400000004</v>
      </c>
    </row>
    <row r="332" spans="1:19" x14ac:dyDescent="0.2">
      <c r="A332" s="9">
        <v>42684</v>
      </c>
      <c r="B332" s="8" t="s">
        <v>73</v>
      </c>
      <c r="C332" s="8">
        <v>50</v>
      </c>
      <c r="D332" s="8" t="s">
        <v>66</v>
      </c>
      <c r="E332">
        <v>346</v>
      </c>
      <c r="F332" s="8">
        <v>2.39</v>
      </c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19.665733000000003</v>
      </c>
      <c r="P332">
        <f t="shared" si="11"/>
        <v>19.665733000000003</v>
      </c>
      <c r="S332">
        <f t="shared" si="12"/>
        <v>4.4862690597500006</v>
      </c>
    </row>
    <row r="333" spans="1:19" x14ac:dyDescent="0.2">
      <c r="A333" s="9">
        <v>42684</v>
      </c>
      <c r="B333" s="8" t="s">
        <v>73</v>
      </c>
      <c r="C333" s="8">
        <v>50</v>
      </c>
      <c r="D333" s="8" t="s">
        <v>66</v>
      </c>
      <c r="E333">
        <v>274</v>
      </c>
      <c r="F333" s="8">
        <v>2.04</v>
      </c>
      <c r="G333" s="8"/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14.618173000000002</v>
      </c>
      <c r="P333">
        <f t="shared" si="11"/>
        <v>14.618173000000002</v>
      </c>
      <c r="S333">
        <f t="shared" si="12"/>
        <v>3.268510236</v>
      </c>
    </row>
    <row r="334" spans="1:19" x14ac:dyDescent="0.2">
      <c r="A334" s="9">
        <v>42684</v>
      </c>
      <c r="B334" s="8" t="s">
        <v>73</v>
      </c>
      <c r="C334" s="8">
        <v>50</v>
      </c>
      <c r="D334" s="8" t="s">
        <v>66</v>
      </c>
      <c r="E334">
        <v>299</v>
      </c>
      <c r="F334" s="8">
        <v>1.83</v>
      </c>
      <c r="G334" s="8"/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16.370798000000001</v>
      </c>
      <c r="P334">
        <f t="shared" si="11"/>
        <v>16.370798000000001</v>
      </c>
      <c r="S334">
        <f t="shared" si="12"/>
        <v>2.6302176877500001</v>
      </c>
    </row>
    <row r="335" spans="1:19" x14ac:dyDescent="0.2">
      <c r="A335" s="9">
        <v>42684</v>
      </c>
      <c r="B335" s="8" t="s">
        <v>73</v>
      </c>
      <c r="C335" s="8">
        <v>50</v>
      </c>
      <c r="D335" s="8" t="s">
        <v>66</v>
      </c>
      <c r="E335">
        <v>236</v>
      </c>
      <c r="F335" s="8">
        <v>1.4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11.954183</v>
      </c>
      <c r="P335">
        <f t="shared" si="11"/>
        <v>11.954183</v>
      </c>
      <c r="S335">
        <f t="shared" si="12"/>
        <v>1.5393790999999997</v>
      </c>
    </row>
    <row r="336" spans="1:19" x14ac:dyDescent="0.2">
      <c r="A336" s="9">
        <v>42684</v>
      </c>
      <c r="B336" s="8" t="s">
        <v>73</v>
      </c>
      <c r="C336" s="8">
        <v>50</v>
      </c>
      <c r="D336" s="8" t="s">
        <v>66</v>
      </c>
      <c r="E336">
        <v>291</v>
      </c>
      <c r="F336" s="8">
        <v>2.1800000000000002</v>
      </c>
      <c r="G336" s="8"/>
      <c r="I336" s="8"/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15.809958000000002</v>
      </c>
      <c r="P336">
        <f t="shared" si="11"/>
        <v>15.809958000000002</v>
      </c>
      <c r="S336">
        <f t="shared" si="12"/>
        <v>3.7325230790000004</v>
      </c>
    </row>
    <row r="337" spans="1:19" x14ac:dyDescent="0.2">
      <c r="A337" s="9">
        <v>42684</v>
      </c>
      <c r="B337" s="8" t="s">
        <v>73</v>
      </c>
      <c r="C337" s="8">
        <v>50</v>
      </c>
      <c r="D337" s="8" t="s">
        <v>66</v>
      </c>
      <c r="E337">
        <v>338</v>
      </c>
      <c r="F337" s="8">
        <v>2.4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19.104893000000001</v>
      </c>
      <c r="P337">
        <f t="shared" si="11"/>
        <v>19.104893000000001</v>
      </c>
      <c r="S337">
        <f t="shared" si="12"/>
        <v>4.5238895999999995</v>
      </c>
    </row>
    <row r="338" spans="1:19" x14ac:dyDescent="0.2">
      <c r="A338" s="9">
        <v>42684</v>
      </c>
      <c r="B338" s="8" t="s">
        <v>73</v>
      </c>
      <c r="C338" s="8">
        <v>50</v>
      </c>
      <c r="D338" s="8" t="s">
        <v>66</v>
      </c>
      <c r="E338">
        <v>290</v>
      </c>
      <c r="F338" s="8">
        <v>1.86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15.739853</v>
      </c>
      <c r="P338">
        <f t="shared" si="11"/>
        <v>15.739853</v>
      </c>
      <c r="S338">
        <f t="shared" si="12"/>
        <v>2.7171611910000002</v>
      </c>
    </row>
    <row r="339" spans="1:19" x14ac:dyDescent="0.2">
      <c r="A339" s="9">
        <v>42684</v>
      </c>
      <c r="B339" s="8" t="s">
        <v>73</v>
      </c>
      <c r="C339" s="8">
        <v>50</v>
      </c>
      <c r="D339" s="8" t="s">
        <v>66</v>
      </c>
      <c r="E339">
        <v>289</v>
      </c>
      <c r="F339" s="8">
        <v>2.29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15.669748000000002</v>
      </c>
      <c r="P339">
        <f t="shared" si="11"/>
        <v>15.669748000000002</v>
      </c>
      <c r="S339">
        <f t="shared" si="12"/>
        <v>4.1187030297499998</v>
      </c>
    </row>
    <row r="340" spans="1:19" x14ac:dyDescent="0.2">
      <c r="A340" s="9">
        <v>42684</v>
      </c>
      <c r="B340" s="8" t="s">
        <v>73</v>
      </c>
      <c r="C340" s="8">
        <v>50</v>
      </c>
      <c r="D340" s="8" t="s">
        <v>66</v>
      </c>
      <c r="E340">
        <v>96</v>
      </c>
      <c r="F340" s="8">
        <v>0.94</v>
      </c>
      <c r="G340" s="8"/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2.1394830000000002</v>
      </c>
      <c r="P340">
        <f t="shared" si="11"/>
        <v>2.1394830000000002</v>
      </c>
      <c r="S340">
        <f t="shared" si="12"/>
        <v>0.69397723099999997</v>
      </c>
    </row>
    <row r="341" spans="1:19" x14ac:dyDescent="0.2">
      <c r="A341" s="9">
        <v>42684</v>
      </c>
      <c r="B341" s="8" t="s">
        <v>73</v>
      </c>
      <c r="C341" s="8">
        <v>50</v>
      </c>
      <c r="D341" s="8" t="s">
        <v>66</v>
      </c>
      <c r="E341">
        <v>278</v>
      </c>
      <c r="F341" s="8">
        <v>1.92</v>
      </c>
      <c r="G341" s="8"/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14.898593000000002</v>
      </c>
      <c r="P341">
        <f t="shared" si="11"/>
        <v>14.898593000000002</v>
      </c>
      <c r="S341">
        <f t="shared" si="12"/>
        <v>2.8952893439999996</v>
      </c>
    </row>
    <row r="342" spans="1:19" x14ac:dyDescent="0.2">
      <c r="A342" s="9">
        <v>42684</v>
      </c>
      <c r="B342" s="8" t="s">
        <v>73</v>
      </c>
      <c r="C342" s="8">
        <v>50</v>
      </c>
      <c r="D342" s="8" t="s">
        <v>66</v>
      </c>
      <c r="E342">
        <v>275</v>
      </c>
      <c r="F342" s="8">
        <v>2.0299999999999998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14.688278</v>
      </c>
      <c r="P342">
        <f t="shared" si="11"/>
        <v>14.688278</v>
      </c>
      <c r="S342">
        <f t="shared" si="12"/>
        <v>3.2365445577499989</v>
      </c>
    </row>
    <row r="343" spans="1:19" x14ac:dyDescent="0.2">
      <c r="A343" s="9">
        <v>42684</v>
      </c>
      <c r="B343" s="8" t="s">
        <v>73</v>
      </c>
      <c r="C343" s="8">
        <v>50</v>
      </c>
      <c r="D343" s="8" t="s">
        <v>66</v>
      </c>
      <c r="E343">
        <v>292</v>
      </c>
      <c r="F343" s="8">
        <v>2.2200000000000002</v>
      </c>
      <c r="G343" s="8"/>
      <c r="I343" s="8"/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15.880063</v>
      </c>
      <c r="P343">
        <f t="shared" si="11"/>
        <v>15.880063</v>
      </c>
      <c r="S343">
        <f t="shared" si="12"/>
        <v>3.8707530390000007</v>
      </c>
    </row>
    <row r="344" spans="1:19" x14ac:dyDescent="0.2">
      <c r="A344" s="9">
        <v>42684</v>
      </c>
      <c r="B344" s="8" t="s">
        <v>73</v>
      </c>
      <c r="C344" s="8">
        <v>50</v>
      </c>
      <c r="D344" s="8" t="s">
        <v>66</v>
      </c>
      <c r="E344">
        <v>294</v>
      </c>
      <c r="F344" s="8">
        <v>2.54</v>
      </c>
      <c r="G344" s="8"/>
      <c r="I344" s="8"/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16.020273</v>
      </c>
      <c r="P344">
        <f t="shared" si="11"/>
        <v>16.020273</v>
      </c>
      <c r="S344">
        <f t="shared" si="12"/>
        <v>5.0670705109999998</v>
      </c>
    </row>
    <row r="345" spans="1:19" x14ac:dyDescent="0.2">
      <c r="A345" s="9">
        <v>42684</v>
      </c>
      <c r="B345" s="8" t="s">
        <v>73</v>
      </c>
      <c r="C345" s="8">
        <v>50</v>
      </c>
      <c r="D345" s="8" t="s">
        <v>66</v>
      </c>
      <c r="E345">
        <v>190</v>
      </c>
      <c r="F345" s="8">
        <v>1.89</v>
      </c>
      <c r="G345" s="8"/>
      <c r="I345" s="8"/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8.7293529999999997</v>
      </c>
      <c r="P345">
        <f t="shared" si="11"/>
        <v>8.7293529999999997</v>
      </c>
      <c r="S345">
        <f t="shared" si="12"/>
        <v>2.8055184097499999</v>
      </c>
    </row>
    <row r="346" spans="1:19" x14ac:dyDescent="0.2">
      <c r="A346" s="9">
        <v>42684</v>
      </c>
      <c r="B346" s="8" t="s">
        <v>73</v>
      </c>
      <c r="C346" s="8">
        <v>50</v>
      </c>
      <c r="D346" s="8" t="s">
        <v>66</v>
      </c>
      <c r="E346">
        <v>163</v>
      </c>
      <c r="F346" s="8">
        <v>1.18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6.8365180000000008</v>
      </c>
      <c r="P346">
        <f t="shared" si="11"/>
        <v>6.8365180000000008</v>
      </c>
      <c r="S346">
        <f t="shared" si="12"/>
        <v>1.0935874789999998</v>
      </c>
    </row>
    <row r="347" spans="1:19" x14ac:dyDescent="0.2">
      <c r="A347" s="9">
        <v>42684</v>
      </c>
      <c r="B347" s="8" t="s">
        <v>73</v>
      </c>
      <c r="C347" s="8">
        <v>50</v>
      </c>
      <c r="D347" s="8" t="s">
        <v>66</v>
      </c>
      <c r="E347">
        <v>291</v>
      </c>
      <c r="F347" s="8">
        <v>2.44</v>
      </c>
      <c r="I347" s="8"/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15.809958000000002</v>
      </c>
      <c r="P347">
        <f t="shared" si="11"/>
        <v>15.809958000000002</v>
      </c>
      <c r="S347">
        <f t="shared" si="12"/>
        <v>4.6759425559999999</v>
      </c>
    </row>
    <row r="348" spans="1:19" x14ac:dyDescent="0.2">
      <c r="A348" s="9">
        <v>42684</v>
      </c>
      <c r="B348" s="8" t="s">
        <v>73</v>
      </c>
      <c r="C348" s="8">
        <v>50</v>
      </c>
      <c r="D348" s="8" t="s">
        <v>66</v>
      </c>
      <c r="E348">
        <v>242</v>
      </c>
      <c r="F348" s="8">
        <v>2.41</v>
      </c>
      <c r="I348" s="8"/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12.374813</v>
      </c>
      <c r="P348">
        <f t="shared" si="11"/>
        <v>12.374813</v>
      </c>
      <c r="S348">
        <f t="shared" si="12"/>
        <v>4.5616672197500003</v>
      </c>
    </row>
    <row r="349" spans="1:19" x14ac:dyDescent="0.2">
      <c r="A349" s="9">
        <v>42684</v>
      </c>
      <c r="B349" s="8" t="s">
        <v>73</v>
      </c>
      <c r="C349" s="8">
        <v>50</v>
      </c>
      <c r="D349" s="8" t="s">
        <v>66</v>
      </c>
      <c r="E349">
        <v>270</v>
      </c>
      <c r="F349" s="8">
        <v>2.11</v>
      </c>
      <c r="G349" s="8"/>
      <c r="I349" s="8"/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14.337753000000003</v>
      </c>
      <c r="P349">
        <f t="shared" si="11"/>
        <v>14.337753000000003</v>
      </c>
      <c r="S349">
        <f t="shared" si="12"/>
        <v>3.4966682097499997</v>
      </c>
    </row>
    <row r="350" spans="1:19" x14ac:dyDescent="0.2">
      <c r="A350" s="9">
        <v>42684</v>
      </c>
      <c r="B350" s="8" t="s">
        <v>73</v>
      </c>
      <c r="C350" s="8">
        <v>50</v>
      </c>
      <c r="D350" s="8" t="s">
        <v>66</v>
      </c>
      <c r="E350">
        <v>313</v>
      </c>
      <c r="F350" s="8">
        <v>2.37</v>
      </c>
      <c r="G350" s="8"/>
      <c r="I350" s="8"/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17.352268000000002</v>
      </c>
      <c r="P350">
        <f t="shared" si="11"/>
        <v>17.352268000000002</v>
      </c>
      <c r="S350">
        <f t="shared" si="12"/>
        <v>4.4114992177500003</v>
      </c>
    </row>
    <row r="351" spans="1:19" x14ac:dyDescent="0.2">
      <c r="A351" s="9">
        <v>42684</v>
      </c>
      <c r="B351" s="8" t="s">
        <v>73</v>
      </c>
      <c r="C351" s="8">
        <v>50</v>
      </c>
      <c r="D351" s="8" t="s">
        <v>66</v>
      </c>
      <c r="E351">
        <v>69</v>
      </c>
      <c r="F351" s="8">
        <v>0.81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0.24664800000000042</v>
      </c>
      <c r="P351">
        <f t="shared" si="11"/>
        <v>0.24664800000000042</v>
      </c>
      <c r="S351">
        <f t="shared" si="12"/>
        <v>0.51529929975000011</v>
      </c>
    </row>
    <row r="352" spans="1:19" x14ac:dyDescent="0.2">
      <c r="A352" s="9">
        <v>42684</v>
      </c>
      <c r="B352" s="8" t="s">
        <v>73</v>
      </c>
      <c r="C352" s="8">
        <v>50</v>
      </c>
      <c r="D352" s="8" t="s">
        <v>66</v>
      </c>
      <c r="E352">
        <v>246</v>
      </c>
      <c r="F352" s="8">
        <v>1.99</v>
      </c>
      <c r="G352" s="8"/>
      <c r="I352" s="8"/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12.655233000000003</v>
      </c>
      <c r="P352">
        <f t="shared" si="11"/>
        <v>12.655233000000003</v>
      </c>
      <c r="S352">
        <f t="shared" si="12"/>
        <v>3.1102526397500001</v>
      </c>
    </row>
    <row r="353" spans="1:19" x14ac:dyDescent="0.2">
      <c r="A353" s="9">
        <v>42684</v>
      </c>
      <c r="B353" s="8" t="s">
        <v>73</v>
      </c>
      <c r="C353" s="8">
        <v>50</v>
      </c>
      <c r="D353" s="8" t="s">
        <v>66</v>
      </c>
      <c r="E353">
        <v>160</v>
      </c>
      <c r="F353" s="8">
        <v>1.55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6.6262029999999994</v>
      </c>
      <c r="P353">
        <f t="shared" si="11"/>
        <v>6.6262029999999994</v>
      </c>
      <c r="S353">
        <f t="shared" si="12"/>
        <v>1.8869174937500002</v>
      </c>
    </row>
    <row r="354" spans="1:19" x14ac:dyDescent="0.2">
      <c r="A354" s="9">
        <v>42684</v>
      </c>
      <c r="B354" s="8" t="s">
        <v>73</v>
      </c>
      <c r="C354" s="8">
        <v>50</v>
      </c>
      <c r="D354" s="8" t="s">
        <v>66</v>
      </c>
      <c r="E354">
        <v>226</v>
      </c>
      <c r="F354" s="8">
        <v>1.86</v>
      </c>
      <c r="G354" s="8"/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11.253133000000002</v>
      </c>
      <c r="P354">
        <f t="shared" si="11"/>
        <v>11.253133000000002</v>
      </c>
      <c r="S354">
        <f t="shared" si="12"/>
        <v>2.7171611910000002</v>
      </c>
    </row>
    <row r="355" spans="1:19" x14ac:dyDescent="0.2">
      <c r="A355" s="9">
        <v>42684</v>
      </c>
      <c r="B355" s="8" t="s">
        <v>73</v>
      </c>
      <c r="C355" s="8">
        <v>50</v>
      </c>
      <c r="D355" s="8" t="s">
        <v>66</v>
      </c>
      <c r="E355">
        <v>267</v>
      </c>
      <c r="F355" s="8">
        <v>2.0499999999999998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14.127438000000001</v>
      </c>
      <c r="P355">
        <f t="shared" si="11"/>
        <v>14.127438000000001</v>
      </c>
      <c r="S355">
        <f t="shared" si="12"/>
        <v>3.3006329937499994</v>
      </c>
    </row>
    <row r="356" spans="1:19" x14ac:dyDescent="0.2">
      <c r="A356" s="9">
        <v>42684</v>
      </c>
      <c r="B356" s="8" t="s">
        <v>73</v>
      </c>
      <c r="C356" s="8">
        <v>50</v>
      </c>
      <c r="D356" s="8" t="s">
        <v>66</v>
      </c>
      <c r="E356">
        <v>318</v>
      </c>
      <c r="F356" s="8">
        <v>1.94</v>
      </c>
      <c r="G356" s="8"/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17.702793</v>
      </c>
      <c r="P356">
        <f t="shared" si="11"/>
        <v>17.702793</v>
      </c>
      <c r="S356">
        <f t="shared" si="12"/>
        <v>2.9559220309999996</v>
      </c>
    </row>
    <row r="357" spans="1:19" x14ac:dyDescent="0.2">
      <c r="A357" s="9">
        <v>42684</v>
      </c>
      <c r="B357" s="8" t="s">
        <v>73</v>
      </c>
      <c r="C357" s="8">
        <v>50</v>
      </c>
      <c r="D357" s="8" t="s">
        <v>66</v>
      </c>
      <c r="E357">
        <v>112</v>
      </c>
      <c r="F357" s="8">
        <v>1</v>
      </c>
      <c r="G357" s="8"/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3.2611630000000007</v>
      </c>
      <c r="P357">
        <f t="shared" si="11"/>
        <v>3.2611630000000007</v>
      </c>
      <c r="S357">
        <f t="shared" si="12"/>
        <v>0.78539749999999997</v>
      </c>
    </row>
    <row r="358" spans="1:19" x14ac:dyDescent="0.2">
      <c r="A358" s="9">
        <v>42684</v>
      </c>
      <c r="B358" s="8" t="s">
        <v>73</v>
      </c>
      <c r="C358" s="8">
        <v>50</v>
      </c>
      <c r="D358" s="8" t="s">
        <v>66</v>
      </c>
      <c r="E358">
        <v>95</v>
      </c>
      <c r="F358" s="8">
        <v>0.93</v>
      </c>
      <c r="G358" s="8"/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2.0693780000000004</v>
      </c>
      <c r="P358">
        <f t="shared" si="11"/>
        <v>2.0693780000000004</v>
      </c>
      <c r="S358">
        <f t="shared" si="12"/>
        <v>0.67929029775000005</v>
      </c>
    </row>
    <row r="359" spans="1:19" x14ac:dyDescent="0.2">
      <c r="A359" s="9">
        <v>42684</v>
      </c>
      <c r="B359" s="8" t="s">
        <v>73</v>
      </c>
      <c r="C359" s="8">
        <v>50</v>
      </c>
      <c r="D359" s="8" t="s">
        <v>66</v>
      </c>
      <c r="E359">
        <v>237</v>
      </c>
      <c r="F359" s="8">
        <v>1.43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12.024288000000002</v>
      </c>
      <c r="P359">
        <f t="shared" si="11"/>
        <v>12.024288000000002</v>
      </c>
      <c r="S359">
        <f t="shared" si="12"/>
        <v>1.6060593477499998</v>
      </c>
    </row>
    <row r="360" spans="1:19" x14ac:dyDescent="0.2">
      <c r="A360" s="9">
        <v>42684</v>
      </c>
      <c r="B360" s="8" t="s">
        <v>73</v>
      </c>
      <c r="C360" s="8">
        <v>50</v>
      </c>
      <c r="D360" s="8" t="s">
        <v>66</v>
      </c>
      <c r="E360">
        <v>298</v>
      </c>
      <c r="F360" s="8">
        <v>2.41</v>
      </c>
      <c r="G360" s="8"/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16.300693000000003</v>
      </c>
      <c r="P360">
        <f t="shared" si="11"/>
        <v>16.300693000000003</v>
      </c>
      <c r="S360">
        <f t="shared" si="12"/>
        <v>4.5616672197500003</v>
      </c>
    </row>
    <row r="361" spans="1:19" x14ac:dyDescent="0.2">
      <c r="A361" s="9">
        <v>42684</v>
      </c>
      <c r="B361" s="8" t="s">
        <v>73</v>
      </c>
      <c r="C361" s="8">
        <v>50</v>
      </c>
      <c r="D361" s="8" t="s">
        <v>66</v>
      </c>
      <c r="E361">
        <v>108</v>
      </c>
      <c r="F361" s="8">
        <v>0.7</v>
      </c>
      <c r="G361" s="8"/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2.9807430000000004</v>
      </c>
      <c r="P361">
        <f t="shared" si="11"/>
        <v>2.9807430000000004</v>
      </c>
      <c r="S361">
        <f t="shared" si="12"/>
        <v>0.38484477499999992</v>
      </c>
    </row>
    <row r="362" spans="1:19" x14ac:dyDescent="0.2">
      <c r="A362" s="9">
        <v>42684</v>
      </c>
      <c r="B362" s="8" t="s">
        <v>73</v>
      </c>
      <c r="C362" s="8">
        <v>50</v>
      </c>
      <c r="D362" s="8" t="s">
        <v>66</v>
      </c>
      <c r="E362">
        <v>274</v>
      </c>
      <c r="F362" s="8">
        <v>1.97</v>
      </c>
      <c r="G362" s="8"/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14.618173000000002</v>
      </c>
      <c r="P362">
        <f t="shared" si="11"/>
        <v>14.618173000000002</v>
      </c>
      <c r="S362">
        <f t="shared" si="12"/>
        <v>3.04804915775</v>
      </c>
    </row>
    <row r="363" spans="1:19" x14ac:dyDescent="0.2">
      <c r="A363" s="9">
        <v>42684</v>
      </c>
      <c r="B363" s="8" t="s">
        <v>73</v>
      </c>
      <c r="C363" s="8">
        <v>50</v>
      </c>
      <c r="D363" s="8" t="s">
        <v>66</v>
      </c>
      <c r="E363">
        <v>310</v>
      </c>
      <c r="F363" s="8">
        <v>1.77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17.141953000000001</v>
      </c>
      <c r="P363">
        <f t="shared" si="11"/>
        <v>17.141953000000001</v>
      </c>
      <c r="S363">
        <f t="shared" si="12"/>
        <v>2.4605718277499999</v>
      </c>
    </row>
    <row r="364" spans="1:19" x14ac:dyDescent="0.2">
      <c r="A364" s="9">
        <v>42684</v>
      </c>
      <c r="B364" s="8" t="s">
        <v>73</v>
      </c>
      <c r="C364" s="8">
        <v>50</v>
      </c>
      <c r="D364" s="8" t="s">
        <v>66</v>
      </c>
      <c r="E364">
        <v>280</v>
      </c>
      <c r="F364" s="8">
        <v>2.2200000000000002</v>
      </c>
      <c r="G364" s="8"/>
      <c r="I364" s="8"/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15.038803000000001</v>
      </c>
      <c r="P364">
        <f t="shared" si="11"/>
        <v>15.038803000000001</v>
      </c>
      <c r="S364">
        <f t="shared" si="12"/>
        <v>3.8707530390000007</v>
      </c>
    </row>
    <row r="365" spans="1:19" x14ac:dyDescent="0.2">
      <c r="A365" s="9">
        <v>42684</v>
      </c>
      <c r="B365" s="8" t="s">
        <v>73</v>
      </c>
      <c r="C365" s="8">
        <v>50</v>
      </c>
      <c r="D365" s="8" t="s">
        <v>66</v>
      </c>
      <c r="E365">
        <v>269</v>
      </c>
      <c r="F365" s="8">
        <v>2.3199999999999998</v>
      </c>
      <c r="G365" s="8"/>
      <c r="I365" s="8"/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14.267648000000001</v>
      </c>
      <c r="P365">
        <f t="shared" si="11"/>
        <v>14.267648000000001</v>
      </c>
      <c r="S365">
        <f t="shared" si="12"/>
        <v>4.2273235039999992</v>
      </c>
    </row>
    <row r="366" spans="1:19" x14ac:dyDescent="0.2">
      <c r="A366" s="9">
        <v>42684</v>
      </c>
      <c r="B366" s="8" t="s">
        <v>73</v>
      </c>
      <c r="C366" s="8">
        <v>50</v>
      </c>
      <c r="D366" s="8" t="s">
        <v>66</v>
      </c>
      <c r="E366">
        <v>192</v>
      </c>
      <c r="F366" s="8">
        <v>0.35</v>
      </c>
      <c r="G366" s="8"/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8.8695629999999994</v>
      </c>
      <c r="P366">
        <f t="shared" si="11"/>
        <v>8.8695629999999994</v>
      </c>
      <c r="S366">
        <f t="shared" si="12"/>
        <v>9.6211193749999979E-2</v>
      </c>
    </row>
    <row r="367" spans="1:19" x14ac:dyDescent="0.2">
      <c r="A367" s="9">
        <v>42684</v>
      </c>
      <c r="B367" s="8" t="s">
        <v>73</v>
      </c>
      <c r="C367" s="8">
        <v>50</v>
      </c>
      <c r="D367" s="8" t="s">
        <v>66</v>
      </c>
      <c r="E367">
        <v>299</v>
      </c>
      <c r="F367" s="8">
        <v>2.17</v>
      </c>
      <c r="G367" s="8"/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16.370798000000001</v>
      </c>
      <c r="P367">
        <f t="shared" si="11"/>
        <v>16.370798000000001</v>
      </c>
      <c r="S367">
        <f t="shared" si="12"/>
        <v>3.6983582877499996</v>
      </c>
    </row>
    <row r="368" spans="1:19" x14ac:dyDescent="0.2">
      <c r="A368" s="9">
        <v>42684</v>
      </c>
      <c r="B368" s="8" t="s">
        <v>73</v>
      </c>
      <c r="C368" s="8">
        <v>50</v>
      </c>
      <c r="D368" s="8" t="s">
        <v>66</v>
      </c>
      <c r="E368">
        <v>192</v>
      </c>
      <c r="F368" s="8">
        <v>1.69</v>
      </c>
      <c r="G368" s="8"/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8.8695629999999994</v>
      </c>
      <c r="P368">
        <f t="shared" si="11"/>
        <v>8.8695629999999994</v>
      </c>
      <c r="S368">
        <f t="shared" si="12"/>
        <v>2.2431737997499996</v>
      </c>
    </row>
    <row r="369" spans="1:19" x14ac:dyDescent="0.2">
      <c r="A369" s="9">
        <v>42684</v>
      </c>
      <c r="B369" s="8" t="s">
        <v>73</v>
      </c>
      <c r="C369" s="8">
        <v>50</v>
      </c>
      <c r="D369" s="8" t="s">
        <v>66</v>
      </c>
      <c r="E369">
        <v>278</v>
      </c>
      <c r="F369" s="8">
        <v>1.43</v>
      </c>
      <c r="G369" s="8"/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14.898593000000002</v>
      </c>
      <c r="P369">
        <f t="shared" si="11"/>
        <v>14.898593000000002</v>
      </c>
      <c r="S369">
        <f t="shared" si="12"/>
        <v>1.6060593477499998</v>
      </c>
    </row>
    <row r="370" spans="1:19" x14ac:dyDescent="0.2">
      <c r="A370" s="9">
        <v>42684</v>
      </c>
      <c r="B370" s="8" t="s">
        <v>73</v>
      </c>
      <c r="C370" s="8">
        <v>50</v>
      </c>
      <c r="D370" s="8" t="s">
        <v>66</v>
      </c>
      <c r="E370">
        <v>294</v>
      </c>
      <c r="F370" s="8">
        <v>2.0299999999999998</v>
      </c>
      <c r="G370" s="8"/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16.020273</v>
      </c>
      <c r="P370">
        <f t="shared" si="11"/>
        <v>16.020273</v>
      </c>
      <c r="S370">
        <f t="shared" si="12"/>
        <v>3.2365445577499989</v>
      </c>
    </row>
    <row r="371" spans="1:19" x14ac:dyDescent="0.2">
      <c r="A371" s="9">
        <v>42684</v>
      </c>
      <c r="B371" s="8" t="s">
        <v>73</v>
      </c>
      <c r="C371" s="8">
        <v>50</v>
      </c>
      <c r="D371" s="8" t="s">
        <v>66</v>
      </c>
      <c r="E371">
        <v>50</v>
      </c>
      <c r="F371" s="8">
        <v>0.49</v>
      </c>
      <c r="G371" s="8"/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-1.0853469999999996</v>
      </c>
      <c r="P371" t="str">
        <f t="shared" si="11"/>
        <v xml:space="preserve"> </v>
      </c>
      <c r="S371">
        <f t="shared" si="12"/>
        <v>0.18857393974999997</v>
      </c>
    </row>
    <row r="372" spans="1:19" x14ac:dyDescent="0.2">
      <c r="A372" s="9">
        <v>42684</v>
      </c>
      <c r="B372" s="8" t="s">
        <v>73</v>
      </c>
      <c r="C372" s="8">
        <v>50</v>
      </c>
      <c r="D372" s="8" t="s">
        <v>66</v>
      </c>
      <c r="E372">
        <v>208</v>
      </c>
      <c r="F372" s="8">
        <v>1.65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9.9912430000000008</v>
      </c>
      <c r="P372">
        <f t="shared" si="11"/>
        <v>9.9912430000000008</v>
      </c>
      <c r="S372">
        <f t="shared" si="12"/>
        <v>2.1382446937499995</v>
      </c>
    </row>
    <row r="373" spans="1:19" x14ac:dyDescent="0.2">
      <c r="A373" s="9">
        <v>42684</v>
      </c>
      <c r="B373" s="8" t="s">
        <v>73</v>
      </c>
      <c r="C373" s="8">
        <v>50</v>
      </c>
      <c r="D373" s="8" t="s">
        <v>66</v>
      </c>
      <c r="E373">
        <v>211</v>
      </c>
      <c r="F373" s="8">
        <v>1.36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10.201557999999999</v>
      </c>
      <c r="P373">
        <f t="shared" si="11"/>
        <v>10.201557999999999</v>
      </c>
      <c r="S373">
        <f t="shared" si="12"/>
        <v>1.4526712160000002</v>
      </c>
    </row>
    <row r="374" spans="1:19" x14ac:dyDescent="0.2">
      <c r="A374" s="9">
        <v>42684</v>
      </c>
      <c r="B374" s="8" t="s">
        <v>73</v>
      </c>
      <c r="C374" s="8">
        <v>50</v>
      </c>
      <c r="D374" s="8" t="s">
        <v>66</v>
      </c>
      <c r="E374">
        <v>268</v>
      </c>
      <c r="F374" s="8">
        <v>2.5499999999999998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14.197543</v>
      </c>
      <c r="P374">
        <f t="shared" si="11"/>
        <v>14.197543</v>
      </c>
      <c r="S374">
        <f t="shared" si="12"/>
        <v>5.1070472437499994</v>
      </c>
    </row>
    <row r="375" spans="1:19" x14ac:dyDescent="0.2">
      <c r="A375" s="9">
        <v>42684</v>
      </c>
      <c r="B375" s="8" t="s">
        <v>73</v>
      </c>
      <c r="C375" s="8">
        <v>50</v>
      </c>
      <c r="D375" s="8" t="s">
        <v>66</v>
      </c>
      <c r="E375">
        <v>297</v>
      </c>
      <c r="F375" s="8">
        <v>2.21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16.230588000000001</v>
      </c>
      <c r="P375">
        <f t="shared" si="11"/>
        <v>16.230588000000001</v>
      </c>
      <c r="S375">
        <f t="shared" si="12"/>
        <v>3.83595992975</v>
      </c>
    </row>
    <row r="376" spans="1:19" x14ac:dyDescent="0.2">
      <c r="A376" s="9">
        <v>42684</v>
      </c>
      <c r="B376" s="8" t="s">
        <v>73</v>
      </c>
      <c r="C376" s="8">
        <v>24</v>
      </c>
      <c r="D376" s="8" t="s">
        <v>61</v>
      </c>
      <c r="F376" s="8">
        <v>0.67</v>
      </c>
      <c r="J376">
        <f>62+115+142</f>
        <v>319</v>
      </c>
      <c r="K376">
        <v>3</v>
      </c>
      <c r="L376">
        <v>142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-0.89902000000000015</v>
      </c>
      <c r="P376" t="str">
        <f t="shared" si="11"/>
        <v xml:space="preserve"> </v>
      </c>
      <c r="S376">
        <f t="shared" si="12"/>
        <v>0.35256493775000003</v>
      </c>
    </row>
    <row r="377" spans="1:19" x14ac:dyDescent="0.2">
      <c r="A377" s="9">
        <v>42684</v>
      </c>
      <c r="B377" s="8" t="s">
        <v>73</v>
      </c>
      <c r="C377" s="8">
        <v>24</v>
      </c>
      <c r="D377" s="8" t="s">
        <v>61</v>
      </c>
      <c r="F377" s="8">
        <v>1.1399999999999999</v>
      </c>
      <c r="H377" s="8"/>
      <c r="I377" s="8"/>
      <c r="J377">
        <f>50+78+84+124+130</f>
        <v>466</v>
      </c>
      <c r="K377">
        <v>5</v>
      </c>
      <c r="L377">
        <v>130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2.4531989999999979</v>
      </c>
      <c r="P377">
        <f t="shared" si="11"/>
        <v>2.4531989999999979</v>
      </c>
      <c r="S377">
        <f t="shared" si="12"/>
        <v>1.0207025909999998</v>
      </c>
    </row>
    <row r="378" spans="1:19" x14ac:dyDescent="0.2">
      <c r="A378" s="9">
        <v>42684</v>
      </c>
      <c r="B378" s="8" t="s">
        <v>73</v>
      </c>
      <c r="C378" s="8">
        <v>24</v>
      </c>
      <c r="D378" s="8" t="s">
        <v>61</v>
      </c>
      <c r="F378" s="8">
        <v>0.54</v>
      </c>
      <c r="I378" s="8"/>
      <c r="J378">
        <f>52+88</f>
        <v>140</v>
      </c>
      <c r="K378">
        <v>2</v>
      </c>
      <c r="L378">
        <v>88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5.6084179999999968</v>
      </c>
      <c r="P378">
        <f t="shared" si="11"/>
        <v>5.6084179999999968</v>
      </c>
      <c r="S378">
        <f t="shared" si="12"/>
        <v>0.22902191100000002</v>
      </c>
    </row>
    <row r="379" spans="1:19" x14ac:dyDescent="0.2">
      <c r="A379" s="9">
        <v>42684</v>
      </c>
      <c r="B379" s="8" t="s">
        <v>73</v>
      </c>
      <c r="C379" s="8">
        <v>24</v>
      </c>
      <c r="D379" s="8" t="s">
        <v>61</v>
      </c>
      <c r="F379" s="8">
        <v>9.09</v>
      </c>
      <c r="G379" s="8"/>
      <c r="I379" s="8"/>
      <c r="J379">
        <f>189+238+262+274+278+284+300+298+297</f>
        <v>2420</v>
      </c>
      <c r="K379">
        <v>9</v>
      </c>
      <c r="L379">
        <v>300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106.34940700000001</v>
      </c>
      <c r="P379">
        <f t="shared" si="11"/>
        <v>106.34940700000001</v>
      </c>
      <c r="S379">
        <f t="shared" si="12"/>
        <v>64.89590316975</v>
      </c>
    </row>
    <row r="380" spans="1:19" x14ac:dyDescent="0.2">
      <c r="A380" s="9">
        <v>42684</v>
      </c>
      <c r="B380" s="8" t="s">
        <v>73</v>
      </c>
      <c r="C380" s="8">
        <v>24</v>
      </c>
      <c r="D380" s="8" t="s">
        <v>61</v>
      </c>
      <c r="F380" s="8">
        <v>0.8</v>
      </c>
      <c r="J380">
        <f>25+50+56+72</f>
        <v>203</v>
      </c>
      <c r="K380">
        <v>4</v>
      </c>
      <c r="L380">
        <v>72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2.2901970000000027</v>
      </c>
      <c r="P380">
        <f t="shared" si="11"/>
        <v>2.2901970000000027</v>
      </c>
      <c r="S380">
        <f t="shared" si="12"/>
        <v>0.50265440000000006</v>
      </c>
    </row>
    <row r="381" spans="1:19" x14ac:dyDescent="0.2">
      <c r="A381" s="9">
        <v>42684</v>
      </c>
      <c r="B381" s="8" t="s">
        <v>73</v>
      </c>
      <c r="C381" s="8">
        <v>24</v>
      </c>
      <c r="D381" s="8" t="s">
        <v>61</v>
      </c>
      <c r="F381" s="8">
        <v>5.55</v>
      </c>
      <c r="G381" s="8"/>
      <c r="J381">
        <f>185+260+280+282+219+252</f>
        <v>1478</v>
      </c>
      <c r="K381">
        <v>6</v>
      </c>
      <c r="L381">
        <v>282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44.521666000000018</v>
      </c>
      <c r="P381">
        <f t="shared" si="11"/>
        <v>44.521666000000018</v>
      </c>
      <c r="S381">
        <f t="shared" si="12"/>
        <v>24.192206493749996</v>
      </c>
    </row>
    <row r="382" spans="1:19" x14ac:dyDescent="0.2">
      <c r="A382" s="9">
        <v>42684</v>
      </c>
      <c r="B382" s="8" t="s">
        <v>73</v>
      </c>
      <c r="C382" s="8">
        <v>24</v>
      </c>
      <c r="D382" s="8" t="s">
        <v>61</v>
      </c>
      <c r="F382" s="8">
        <v>0.93</v>
      </c>
      <c r="G382" s="8"/>
      <c r="J382">
        <f>57+58+74</f>
        <v>189</v>
      </c>
      <c r="K382">
        <v>3</v>
      </c>
      <c r="L382">
        <v>74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7.3974899999999977</v>
      </c>
      <c r="P382">
        <f t="shared" si="11"/>
        <v>7.3974899999999977</v>
      </c>
      <c r="S382">
        <f t="shared" si="12"/>
        <v>0.67929029775000005</v>
      </c>
    </row>
    <row r="383" spans="1:19" x14ac:dyDescent="0.2">
      <c r="A383" s="9">
        <v>42684</v>
      </c>
      <c r="B383" s="8" t="s">
        <v>73</v>
      </c>
      <c r="C383" s="8">
        <v>24</v>
      </c>
      <c r="D383" s="8" t="s">
        <v>61</v>
      </c>
      <c r="F383" s="8">
        <v>3.64</v>
      </c>
      <c r="G383" s="8"/>
      <c r="J383">
        <f>129+175+224+237+266+296+300</f>
        <v>1627</v>
      </c>
      <c r="K383">
        <v>7</v>
      </c>
      <c r="L383">
        <v>300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46.046398000000018</v>
      </c>
      <c r="P383">
        <f t="shared" si="11"/>
        <v>46.046398000000018</v>
      </c>
      <c r="S383">
        <f t="shared" si="12"/>
        <v>10.406202716000001</v>
      </c>
    </row>
    <row r="384" spans="1:19" x14ac:dyDescent="0.2">
      <c r="A384" s="9">
        <v>42684</v>
      </c>
      <c r="B384" s="8" t="s">
        <v>73</v>
      </c>
      <c r="C384" s="8">
        <v>24</v>
      </c>
      <c r="D384" s="8" t="s">
        <v>61</v>
      </c>
      <c r="F384" s="8">
        <v>2.2599999999999998</v>
      </c>
      <c r="J384">
        <f>125+159+170+199+205</f>
        <v>858</v>
      </c>
      <c r="K384">
        <v>5</v>
      </c>
      <c r="L384">
        <v>205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16.611784</v>
      </c>
      <c r="P384">
        <f t="shared" si="11"/>
        <v>16.611784</v>
      </c>
      <c r="S384">
        <f t="shared" si="12"/>
        <v>4.0114962709999986</v>
      </c>
    </row>
    <row r="385" spans="1:19" x14ac:dyDescent="0.2">
      <c r="A385" s="9">
        <v>42684</v>
      </c>
      <c r="B385" s="8" t="s">
        <v>73</v>
      </c>
      <c r="C385" s="8">
        <v>24</v>
      </c>
      <c r="D385" s="8" t="s">
        <v>61</v>
      </c>
      <c r="F385" s="8">
        <v>1.88</v>
      </c>
      <c r="G385" s="8"/>
      <c r="I385" s="8"/>
      <c r="J385">
        <f>98+166+197+208+213</f>
        <v>882</v>
      </c>
      <c r="K385">
        <v>5</v>
      </c>
      <c r="L385">
        <v>213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16.451944000000012</v>
      </c>
      <c r="P385">
        <f t="shared" si="11"/>
        <v>16.451944000000012</v>
      </c>
      <c r="S385">
        <f t="shared" si="12"/>
        <v>2.7759089239999999</v>
      </c>
    </row>
    <row r="386" spans="1:19" x14ac:dyDescent="0.2">
      <c r="A386" s="9">
        <v>42684</v>
      </c>
      <c r="B386" s="8" t="s">
        <v>73</v>
      </c>
      <c r="C386" s="8">
        <v>17</v>
      </c>
      <c r="D386" s="8" t="s">
        <v>61</v>
      </c>
      <c r="F386" s="8">
        <v>5.14</v>
      </c>
      <c r="G386" s="8"/>
      <c r="I386" s="8"/>
      <c r="J386">
        <f>220+226+229+235+241</f>
        <v>1151</v>
      </c>
      <c r="K386">
        <v>5</v>
      </c>
      <c r="L386">
        <v>241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33.237179000000005</v>
      </c>
      <c r="P386">
        <f t="shared" si="11"/>
        <v>33.237179000000005</v>
      </c>
      <c r="S386">
        <f t="shared" si="12"/>
        <v>20.749887790999995</v>
      </c>
    </row>
    <row r="387" spans="1:19" x14ac:dyDescent="0.2">
      <c r="A387" s="9">
        <v>42684</v>
      </c>
      <c r="B387" s="8" t="s">
        <v>73</v>
      </c>
      <c r="C387" s="8">
        <v>17</v>
      </c>
      <c r="D387" s="8" t="s">
        <v>61</v>
      </c>
      <c r="F387" s="8">
        <v>3.23</v>
      </c>
      <c r="G387" s="8"/>
      <c r="I387" s="8"/>
      <c r="J387">
        <f>139+217+236+239+240</f>
        <v>1071</v>
      </c>
      <c r="K387">
        <v>5</v>
      </c>
      <c r="L387">
        <v>240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26.038024000000014</v>
      </c>
      <c r="P387">
        <f t="shared" si="11"/>
        <v>26.038024000000014</v>
      </c>
      <c r="S387">
        <f t="shared" si="12"/>
        <v>8.1939735777500005</v>
      </c>
    </row>
    <row r="388" spans="1:19" x14ac:dyDescent="0.2">
      <c r="A388" s="9">
        <v>42684</v>
      </c>
      <c r="B388" s="8" t="s">
        <v>73</v>
      </c>
      <c r="C388" s="8">
        <v>17</v>
      </c>
      <c r="D388" s="8" t="s">
        <v>61</v>
      </c>
      <c r="F388" s="8">
        <v>4.88</v>
      </c>
      <c r="J388">
        <f>151+237+254+266+268+270+272</f>
        <v>1718</v>
      </c>
      <c r="K388">
        <v>7</v>
      </c>
      <c r="L388">
        <v>272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63.012963000000006</v>
      </c>
      <c r="P388">
        <f t="shared" si="11"/>
        <v>63.012963000000006</v>
      </c>
      <c r="S388">
        <f t="shared" si="12"/>
        <v>18.703770223999999</v>
      </c>
    </row>
    <row r="389" spans="1:19" x14ac:dyDescent="0.2">
      <c r="A389" s="9">
        <v>42684</v>
      </c>
      <c r="B389" s="8" t="s">
        <v>73</v>
      </c>
      <c r="C389" s="8">
        <v>17</v>
      </c>
      <c r="D389" s="8" t="s">
        <v>61</v>
      </c>
      <c r="F389" s="8">
        <v>3</v>
      </c>
      <c r="J389">
        <f>226+256+262+272+296+301</f>
        <v>1613</v>
      </c>
      <c r="K389">
        <v>6</v>
      </c>
      <c r="L389">
        <v>301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51.454936000000011</v>
      </c>
      <c r="P389">
        <f t="shared" si="11"/>
        <v>51.454936000000011</v>
      </c>
      <c r="S389">
        <f t="shared" si="12"/>
        <v>7.0685775</v>
      </c>
    </row>
    <row r="390" spans="1:19" x14ac:dyDescent="0.2">
      <c r="A390" s="9">
        <v>42684</v>
      </c>
      <c r="B390" s="8" t="s">
        <v>73</v>
      </c>
      <c r="C390" s="8">
        <v>17</v>
      </c>
      <c r="D390" s="8" t="s">
        <v>61</v>
      </c>
      <c r="F390" s="8">
        <v>1.59</v>
      </c>
      <c r="J390">
        <f>81+71+136+166</f>
        <v>454</v>
      </c>
      <c r="K390">
        <v>4</v>
      </c>
      <c r="L390">
        <v>166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-2.494328000000003</v>
      </c>
      <c r="P390" t="str">
        <f t="shared" ref="P390:P453" si="13">IF(O390&lt;0," ",O390)</f>
        <v xml:space="preserve"> </v>
      </c>
      <c r="S390">
        <f t="shared" ref="S390:S453" si="14">3.14159*((F390/2)^2)</f>
        <v>1.9855634197500001</v>
      </c>
    </row>
    <row r="391" spans="1:19" x14ac:dyDescent="0.2">
      <c r="A391" s="9">
        <v>42684</v>
      </c>
      <c r="B391" s="8" t="s">
        <v>73</v>
      </c>
      <c r="C391" s="8">
        <v>17</v>
      </c>
      <c r="D391" s="8" t="s">
        <v>61</v>
      </c>
      <c r="F391" s="8">
        <v>4.0599999999999996</v>
      </c>
      <c r="J391">
        <f>148+172+190+206+221+248+261</f>
        <v>1446</v>
      </c>
      <c r="K391">
        <v>7</v>
      </c>
      <c r="L391">
        <v>261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40.825298000000025</v>
      </c>
      <c r="P391">
        <f t="shared" si="13"/>
        <v>40.825298000000025</v>
      </c>
      <c r="S391">
        <f t="shared" si="14"/>
        <v>12.946178230999996</v>
      </c>
    </row>
    <row r="392" spans="1:19" x14ac:dyDescent="0.2">
      <c r="A392" s="9">
        <v>42684</v>
      </c>
      <c r="B392" s="8" t="s">
        <v>73</v>
      </c>
      <c r="C392" s="8">
        <v>17</v>
      </c>
      <c r="D392" s="8" t="s">
        <v>61</v>
      </c>
      <c r="F392" s="8">
        <v>4.57</v>
      </c>
      <c r="J392">
        <f>256+274+298</f>
        <v>828</v>
      </c>
      <c r="K392">
        <v>3</v>
      </c>
      <c r="L392">
        <v>298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-0.17194499999998669</v>
      </c>
      <c r="P392" t="str">
        <f t="shared" si="13"/>
        <v xml:space="preserve"> </v>
      </c>
      <c r="S392">
        <f t="shared" si="14"/>
        <v>16.40294824775</v>
      </c>
    </row>
    <row r="393" spans="1:19" x14ac:dyDescent="0.2">
      <c r="A393" s="9">
        <v>42684</v>
      </c>
      <c r="B393" s="8" t="s">
        <v>73</v>
      </c>
      <c r="C393" s="8">
        <v>17</v>
      </c>
      <c r="D393" s="8" t="s">
        <v>61</v>
      </c>
      <c r="F393" s="8">
        <v>6.64</v>
      </c>
      <c r="J393">
        <f>209+240+230+260+288+297+302</f>
        <v>1826</v>
      </c>
      <c r="K393">
        <v>7</v>
      </c>
      <c r="L393">
        <v>302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64.101153000000011</v>
      </c>
      <c r="P393">
        <f t="shared" si="13"/>
        <v>64.101153000000011</v>
      </c>
      <c r="S393">
        <f t="shared" si="14"/>
        <v>34.627861615999997</v>
      </c>
    </row>
    <row r="394" spans="1:19" x14ac:dyDescent="0.2">
      <c r="A394" s="9">
        <v>42684</v>
      </c>
      <c r="B394" s="8" t="s">
        <v>73</v>
      </c>
      <c r="C394" s="8">
        <v>17</v>
      </c>
      <c r="D394" s="8" t="s">
        <v>61</v>
      </c>
      <c r="F394" s="8">
        <v>2.64</v>
      </c>
      <c r="J394">
        <f>117+123+122+132+136</f>
        <v>630</v>
      </c>
      <c r="K394">
        <v>5</v>
      </c>
      <c r="L394">
        <v>136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16.021549000000007</v>
      </c>
      <c r="P394">
        <f t="shared" si="13"/>
        <v>16.021549000000007</v>
      </c>
      <c r="S394">
        <f t="shared" si="14"/>
        <v>5.4739064160000002</v>
      </c>
    </row>
    <row r="395" spans="1:19" x14ac:dyDescent="0.2">
      <c r="A395" s="9">
        <v>42684</v>
      </c>
      <c r="B395" s="8" t="s">
        <v>73</v>
      </c>
      <c r="C395" s="8">
        <v>17</v>
      </c>
      <c r="D395" s="8" t="s">
        <v>61</v>
      </c>
      <c r="F395" s="8">
        <v>2.73</v>
      </c>
      <c r="G395" s="8"/>
      <c r="I395" s="8"/>
      <c r="J395">
        <f>184+229+237+255+261</f>
        <v>1166</v>
      </c>
      <c r="K395">
        <v>5</v>
      </c>
      <c r="L395">
        <v>261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28.618604000000012</v>
      </c>
      <c r="P395">
        <f t="shared" si="13"/>
        <v>28.618604000000012</v>
      </c>
      <c r="S395">
        <f t="shared" si="14"/>
        <v>5.8534890277499994</v>
      </c>
    </row>
    <row r="396" spans="1:19" x14ac:dyDescent="0.2">
      <c r="A396" s="9">
        <v>42684</v>
      </c>
      <c r="B396" s="8" t="s">
        <v>73</v>
      </c>
      <c r="C396" s="8">
        <v>7</v>
      </c>
      <c r="D396" s="8" t="s">
        <v>61</v>
      </c>
      <c r="F396" s="8">
        <v>8.44</v>
      </c>
      <c r="G396" s="8"/>
      <c r="I396" s="8"/>
      <c r="J396">
        <f>116+272+294+324+328+333+332</f>
        <v>1999</v>
      </c>
      <c r="K396">
        <v>7</v>
      </c>
      <c r="L396">
        <v>333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70.982172999999989</v>
      </c>
      <c r="P396">
        <f t="shared" si="13"/>
        <v>70.982172999999989</v>
      </c>
      <c r="S396">
        <f t="shared" si="14"/>
        <v>55.946691355999995</v>
      </c>
    </row>
    <row r="397" spans="1:19" x14ac:dyDescent="0.2">
      <c r="A397" s="9">
        <v>42684</v>
      </c>
      <c r="B397" s="8" t="s">
        <v>73</v>
      </c>
      <c r="C397" s="8">
        <v>7</v>
      </c>
      <c r="D397" s="8" t="s">
        <v>66</v>
      </c>
      <c r="E397">
        <v>296</v>
      </c>
      <c r="F397" s="8">
        <v>2.33</v>
      </c>
      <c r="G397" s="8"/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16.160483000000003</v>
      </c>
      <c r="P397">
        <f t="shared" si="13"/>
        <v>16.160483000000003</v>
      </c>
      <c r="S397">
        <f t="shared" si="14"/>
        <v>4.2638444877500001</v>
      </c>
    </row>
    <row r="398" spans="1:19" x14ac:dyDescent="0.2">
      <c r="A398" s="9">
        <v>42684</v>
      </c>
      <c r="B398" s="8" t="s">
        <v>73</v>
      </c>
      <c r="C398" s="8">
        <v>7</v>
      </c>
      <c r="D398" s="8" t="s">
        <v>66</v>
      </c>
      <c r="E398">
        <v>264</v>
      </c>
      <c r="F398" s="8">
        <v>2.48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13.917123</v>
      </c>
      <c r="P398">
        <f t="shared" si="13"/>
        <v>13.917123</v>
      </c>
      <c r="S398">
        <f t="shared" si="14"/>
        <v>4.8305087840000001</v>
      </c>
    </row>
    <row r="399" spans="1:19" x14ac:dyDescent="0.2">
      <c r="A399" s="9">
        <v>42684</v>
      </c>
      <c r="B399" s="8" t="s">
        <v>73</v>
      </c>
      <c r="C399" s="8">
        <v>7</v>
      </c>
      <c r="D399" s="8" t="s">
        <v>66</v>
      </c>
      <c r="E399">
        <v>222</v>
      </c>
      <c r="F399" s="8">
        <v>1.87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10.972712999999999</v>
      </c>
      <c r="P399">
        <f t="shared" si="13"/>
        <v>10.972712999999999</v>
      </c>
      <c r="S399">
        <f t="shared" si="14"/>
        <v>2.7464565177500004</v>
      </c>
    </row>
    <row r="400" spans="1:19" x14ac:dyDescent="0.2">
      <c r="A400" s="9">
        <v>42684</v>
      </c>
      <c r="B400" s="8" t="s">
        <v>73</v>
      </c>
      <c r="C400" s="8">
        <v>7</v>
      </c>
      <c r="D400" s="8" t="s">
        <v>61</v>
      </c>
      <c r="F400" s="8">
        <v>1.8</v>
      </c>
      <c r="J400">
        <f>50+126+130</f>
        <v>306</v>
      </c>
      <c r="K400">
        <v>3</v>
      </c>
      <c r="L400">
        <v>130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1.4971049999999977</v>
      </c>
      <c r="P400">
        <f t="shared" si="13"/>
        <v>1.4971049999999977</v>
      </c>
      <c r="S400">
        <f t="shared" si="14"/>
        <v>2.5446879</v>
      </c>
    </row>
    <row r="401" spans="1:19" x14ac:dyDescent="0.2">
      <c r="A401" s="9">
        <v>42684</v>
      </c>
      <c r="B401" s="8" t="s">
        <v>73</v>
      </c>
      <c r="C401" s="8">
        <v>7</v>
      </c>
      <c r="D401" s="8" t="s">
        <v>66</v>
      </c>
      <c r="E401">
        <v>35</v>
      </c>
      <c r="F401" s="8">
        <v>0.56000000000000005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-2.1369219999999998</v>
      </c>
      <c r="P401" t="str">
        <f t="shared" si="13"/>
        <v xml:space="preserve"> </v>
      </c>
      <c r="S401">
        <f t="shared" si="14"/>
        <v>0.24630065600000003</v>
      </c>
    </row>
    <row r="402" spans="1:19" x14ac:dyDescent="0.2">
      <c r="A402" s="9">
        <v>42684</v>
      </c>
      <c r="B402" s="8" t="s">
        <v>73</v>
      </c>
      <c r="C402" s="8">
        <v>7</v>
      </c>
      <c r="D402" s="8" t="s">
        <v>61</v>
      </c>
      <c r="F402" s="8">
        <v>0.03</v>
      </c>
      <c r="J402">
        <f>51+89+125</f>
        <v>265</v>
      </c>
      <c r="K402">
        <v>3</v>
      </c>
      <c r="L402">
        <v>125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-0.84062500000000284</v>
      </c>
      <c r="P402" t="str">
        <f t="shared" si="13"/>
        <v xml:space="preserve"> </v>
      </c>
      <c r="S402">
        <f t="shared" si="14"/>
        <v>7.068577499999999E-4</v>
      </c>
    </row>
    <row r="403" spans="1:19" x14ac:dyDescent="0.2">
      <c r="A403" s="9">
        <v>42684</v>
      </c>
      <c r="B403" s="8" t="s">
        <v>73</v>
      </c>
      <c r="C403" s="8">
        <v>7</v>
      </c>
      <c r="D403" s="8" t="s">
        <v>66</v>
      </c>
      <c r="E403">
        <v>84</v>
      </c>
      <c r="F403" s="8">
        <v>0.74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1.2982230000000001</v>
      </c>
      <c r="P403">
        <f t="shared" si="13"/>
        <v>1.2982230000000001</v>
      </c>
      <c r="S403">
        <f t="shared" si="14"/>
        <v>0.43008367099999995</v>
      </c>
    </row>
    <row r="404" spans="1:19" x14ac:dyDescent="0.2">
      <c r="A404" s="9">
        <v>42684</v>
      </c>
      <c r="B404" s="8" t="s">
        <v>73</v>
      </c>
      <c r="C404" s="8">
        <v>7</v>
      </c>
      <c r="D404" s="8" t="s">
        <v>66</v>
      </c>
      <c r="E404">
        <v>214</v>
      </c>
      <c r="F404" s="8">
        <v>1.5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10.411873</v>
      </c>
      <c r="P404">
        <f t="shared" si="13"/>
        <v>10.411873</v>
      </c>
      <c r="S404">
        <f t="shared" si="14"/>
        <v>1.767144375</v>
      </c>
    </row>
    <row r="405" spans="1:19" x14ac:dyDescent="0.2">
      <c r="A405" s="9">
        <v>42684</v>
      </c>
      <c r="B405" s="8" t="s">
        <v>73</v>
      </c>
      <c r="C405" s="8">
        <v>7</v>
      </c>
      <c r="D405" s="8" t="s">
        <v>66</v>
      </c>
      <c r="E405">
        <v>335</v>
      </c>
      <c r="F405" s="8">
        <v>1.49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18.894578000000003</v>
      </c>
      <c r="P405">
        <f t="shared" si="13"/>
        <v>18.894578000000003</v>
      </c>
      <c r="S405">
        <f t="shared" si="14"/>
        <v>1.7436609897499999</v>
      </c>
    </row>
    <row r="406" spans="1:19" x14ac:dyDescent="0.2">
      <c r="A406" s="9">
        <v>42684</v>
      </c>
      <c r="B406" s="8" t="s">
        <v>73</v>
      </c>
      <c r="C406" s="8">
        <v>7</v>
      </c>
      <c r="D406" s="8" t="s">
        <v>66</v>
      </c>
      <c r="E406">
        <v>137</v>
      </c>
      <c r="F406" s="8">
        <v>1.38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5.0137880000000008</v>
      </c>
      <c r="P406">
        <f t="shared" si="13"/>
        <v>5.0137880000000008</v>
      </c>
      <c r="S406">
        <f t="shared" si="14"/>
        <v>1.4957109989999997</v>
      </c>
    </row>
    <row r="407" spans="1:19" x14ac:dyDescent="0.2">
      <c r="A407" s="9">
        <v>42684</v>
      </c>
      <c r="B407" s="8" t="s">
        <v>73</v>
      </c>
      <c r="C407" s="8">
        <v>7</v>
      </c>
      <c r="D407" s="8" t="s">
        <v>66</v>
      </c>
      <c r="E407">
        <v>134</v>
      </c>
      <c r="F407" s="8">
        <v>1.1000000000000001</v>
      </c>
      <c r="G407" s="8">
        <v>4</v>
      </c>
      <c r="I407" s="8"/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3.2821424000000001</v>
      </c>
      <c r="P407">
        <f t="shared" si="13"/>
        <v>3.2821424000000001</v>
      </c>
      <c r="S407">
        <f t="shared" si="14"/>
        <v>0.95033097500000008</v>
      </c>
    </row>
    <row r="408" spans="1:19" x14ac:dyDescent="0.2">
      <c r="A408" s="9">
        <v>42684</v>
      </c>
      <c r="B408" s="8" t="s">
        <v>73</v>
      </c>
      <c r="C408" s="8">
        <v>7</v>
      </c>
      <c r="D408" s="8" t="s">
        <v>66</v>
      </c>
      <c r="E408">
        <v>290</v>
      </c>
      <c r="F408" s="8">
        <v>1.4</v>
      </c>
      <c r="G408" s="8"/>
      <c r="I408" s="8"/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15.739853</v>
      </c>
      <c r="P408">
        <f t="shared" si="13"/>
        <v>15.739853</v>
      </c>
      <c r="S408">
        <f t="shared" si="14"/>
        <v>1.5393790999999997</v>
      </c>
    </row>
    <row r="409" spans="1:19" x14ac:dyDescent="0.2">
      <c r="A409" s="9">
        <v>42684</v>
      </c>
      <c r="B409" s="8" t="s">
        <v>73</v>
      </c>
      <c r="C409" s="8">
        <v>7</v>
      </c>
      <c r="D409" s="8" t="s">
        <v>66</v>
      </c>
      <c r="E409">
        <v>300</v>
      </c>
      <c r="F409" s="8">
        <v>1.3</v>
      </c>
      <c r="G409" s="8"/>
      <c r="I409" s="8"/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16.440903000000002</v>
      </c>
      <c r="P409">
        <f t="shared" si="13"/>
        <v>16.440903000000002</v>
      </c>
      <c r="S409">
        <f t="shared" si="14"/>
        <v>1.3273217750000001</v>
      </c>
    </row>
    <row r="410" spans="1:19" x14ac:dyDescent="0.2">
      <c r="A410" s="9">
        <v>42684</v>
      </c>
      <c r="B410" s="8" t="s">
        <v>73</v>
      </c>
      <c r="C410" s="8">
        <v>7</v>
      </c>
      <c r="D410" s="8" t="s">
        <v>66</v>
      </c>
      <c r="E410">
        <v>294</v>
      </c>
      <c r="F410" s="8">
        <v>1.29</v>
      </c>
      <c r="G410" s="8"/>
      <c r="H410" s="8"/>
      <c r="I410" s="8"/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16.020273</v>
      </c>
      <c r="P410">
        <f t="shared" si="13"/>
        <v>16.020273</v>
      </c>
      <c r="S410">
        <f t="shared" si="14"/>
        <v>1.3069799797500001</v>
      </c>
    </row>
    <row r="411" spans="1:19" x14ac:dyDescent="0.2">
      <c r="A411" s="9">
        <v>42684</v>
      </c>
      <c r="B411" s="8" t="s">
        <v>73</v>
      </c>
      <c r="C411" s="8">
        <v>7</v>
      </c>
      <c r="D411" s="8" t="s">
        <v>66</v>
      </c>
      <c r="E411">
        <v>136</v>
      </c>
      <c r="F411" s="8">
        <v>1.1100000000000001</v>
      </c>
      <c r="G411" s="8">
        <v>3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3.3311296000000001</v>
      </c>
      <c r="P411">
        <f t="shared" si="13"/>
        <v>3.3311296000000001</v>
      </c>
      <c r="S411">
        <f t="shared" si="14"/>
        <v>0.96768825975000017</v>
      </c>
    </row>
    <row r="412" spans="1:19" x14ac:dyDescent="0.2">
      <c r="A412" s="9">
        <v>42684</v>
      </c>
      <c r="B412" s="8" t="s">
        <v>73</v>
      </c>
      <c r="C412" s="8">
        <v>7</v>
      </c>
      <c r="D412" s="8" t="s">
        <v>66</v>
      </c>
      <c r="E412">
        <v>283</v>
      </c>
      <c r="F412" s="8">
        <v>1.25</v>
      </c>
      <c r="I412" s="8"/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15.249118000000003</v>
      </c>
      <c r="P412">
        <f t="shared" si="13"/>
        <v>15.249118000000003</v>
      </c>
      <c r="S412">
        <f t="shared" si="14"/>
        <v>1.22718359375</v>
      </c>
    </row>
    <row r="413" spans="1:19" x14ac:dyDescent="0.2">
      <c r="A413" s="9">
        <v>42684</v>
      </c>
      <c r="B413" s="8" t="s">
        <v>73</v>
      </c>
      <c r="C413" s="8">
        <v>7</v>
      </c>
      <c r="D413" s="8" t="s">
        <v>66</v>
      </c>
      <c r="E413">
        <v>256</v>
      </c>
      <c r="F413" s="8">
        <v>1.38</v>
      </c>
      <c r="I413" s="8"/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13.356283000000001</v>
      </c>
      <c r="P413">
        <f t="shared" si="13"/>
        <v>13.356283000000001</v>
      </c>
      <c r="S413">
        <f t="shared" si="14"/>
        <v>1.4957109989999997</v>
      </c>
    </row>
    <row r="414" spans="1:19" x14ac:dyDescent="0.2">
      <c r="A414" s="9">
        <v>42684</v>
      </c>
      <c r="B414" s="8" t="s">
        <v>73</v>
      </c>
      <c r="C414" s="8">
        <v>7</v>
      </c>
      <c r="D414" s="8" t="s">
        <v>66</v>
      </c>
      <c r="E414">
        <v>160</v>
      </c>
      <c r="F414" s="8">
        <v>1.5</v>
      </c>
      <c r="G414" s="8"/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6.6262029999999994</v>
      </c>
      <c r="P414">
        <f t="shared" si="13"/>
        <v>6.6262029999999994</v>
      </c>
      <c r="S414">
        <f t="shared" si="14"/>
        <v>1.767144375</v>
      </c>
    </row>
    <row r="415" spans="1:19" x14ac:dyDescent="0.2">
      <c r="A415" s="9">
        <v>42684</v>
      </c>
      <c r="B415" s="8" t="s">
        <v>73</v>
      </c>
      <c r="C415" s="8">
        <v>7</v>
      </c>
      <c r="D415" s="8" t="s">
        <v>66</v>
      </c>
      <c r="E415">
        <v>316</v>
      </c>
      <c r="F415" s="8">
        <v>1.62</v>
      </c>
      <c r="G415" s="8"/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17.562583</v>
      </c>
      <c r="P415">
        <f t="shared" si="13"/>
        <v>17.562583</v>
      </c>
      <c r="S415">
        <f t="shared" si="14"/>
        <v>2.0611971990000004</v>
      </c>
    </row>
    <row r="416" spans="1:19" x14ac:dyDescent="0.2">
      <c r="A416" s="9">
        <v>42684</v>
      </c>
      <c r="B416" s="8" t="s">
        <v>73</v>
      </c>
      <c r="C416" s="8">
        <v>4</v>
      </c>
      <c r="D416" s="8" t="s">
        <v>64</v>
      </c>
      <c r="E416">
        <v>285</v>
      </c>
      <c r="F416" s="8">
        <v>1.38</v>
      </c>
      <c r="I416" s="8"/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15.389328000000003</v>
      </c>
      <c r="P416">
        <f t="shared" si="13"/>
        <v>15.389328000000003</v>
      </c>
      <c r="S416">
        <f t="shared" si="14"/>
        <v>1.4957109989999997</v>
      </c>
    </row>
    <row r="417" spans="1:19" x14ac:dyDescent="0.2">
      <c r="A417" s="9">
        <v>42684</v>
      </c>
      <c r="B417" s="8" t="s">
        <v>73</v>
      </c>
      <c r="C417" s="8">
        <v>4</v>
      </c>
      <c r="D417" s="8" t="s">
        <v>66</v>
      </c>
      <c r="E417">
        <v>173</v>
      </c>
      <c r="F417" s="8">
        <v>1.25</v>
      </c>
      <c r="G417" s="8"/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7.5375680000000012</v>
      </c>
      <c r="P417">
        <f t="shared" si="13"/>
        <v>7.5375680000000012</v>
      </c>
      <c r="S417">
        <f t="shared" si="14"/>
        <v>1.22718359375</v>
      </c>
    </row>
    <row r="418" spans="1:19" x14ac:dyDescent="0.2">
      <c r="A418" s="9">
        <v>42684</v>
      </c>
      <c r="B418" s="8" t="s">
        <v>73</v>
      </c>
      <c r="C418" s="8">
        <v>4</v>
      </c>
      <c r="D418" s="8" t="s">
        <v>64</v>
      </c>
      <c r="E418">
        <v>309</v>
      </c>
      <c r="F418" s="8">
        <v>1.42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17.071848000000003</v>
      </c>
      <c r="P418">
        <f t="shared" si="13"/>
        <v>17.071848000000003</v>
      </c>
      <c r="S418">
        <f t="shared" si="14"/>
        <v>1.5836755189999998</v>
      </c>
    </row>
    <row r="419" spans="1:19" x14ac:dyDescent="0.2">
      <c r="A419" s="9">
        <v>42684</v>
      </c>
      <c r="B419" s="8" t="s">
        <v>73</v>
      </c>
      <c r="C419" s="8">
        <v>4</v>
      </c>
      <c r="D419" s="8" t="s">
        <v>64</v>
      </c>
      <c r="E419">
        <v>274</v>
      </c>
      <c r="F419" s="8">
        <v>1.32</v>
      </c>
      <c r="G419" s="8"/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14.618173000000002</v>
      </c>
      <c r="P419">
        <f t="shared" si="13"/>
        <v>14.618173000000002</v>
      </c>
      <c r="S419">
        <f t="shared" si="14"/>
        <v>1.368476604</v>
      </c>
    </row>
    <row r="420" spans="1:19" x14ac:dyDescent="0.2">
      <c r="A420" s="9">
        <v>42684</v>
      </c>
      <c r="B420" s="8" t="s">
        <v>73</v>
      </c>
      <c r="C420" s="8">
        <v>4</v>
      </c>
      <c r="D420" s="8" t="s">
        <v>64</v>
      </c>
      <c r="E420">
        <v>212</v>
      </c>
      <c r="F420" s="8">
        <v>1.0900000000000001</v>
      </c>
      <c r="H420" s="8"/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10.271663</v>
      </c>
      <c r="P420">
        <f t="shared" si="13"/>
        <v>10.271663</v>
      </c>
      <c r="S420">
        <f t="shared" si="14"/>
        <v>0.93313076975000009</v>
      </c>
    </row>
    <row r="421" spans="1:19" x14ac:dyDescent="0.2">
      <c r="A421" s="9">
        <v>42684</v>
      </c>
      <c r="B421" s="8" t="s">
        <v>73</v>
      </c>
      <c r="C421" s="8">
        <v>4</v>
      </c>
      <c r="D421" s="8" t="s">
        <v>64</v>
      </c>
      <c r="E421">
        <v>310</v>
      </c>
      <c r="F421" s="8">
        <v>1.4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17.141953000000001</v>
      </c>
      <c r="P421">
        <f t="shared" si="13"/>
        <v>17.141953000000001</v>
      </c>
      <c r="S421">
        <f t="shared" si="14"/>
        <v>1.5393790999999997</v>
      </c>
    </row>
    <row r="422" spans="1:19" x14ac:dyDescent="0.2">
      <c r="A422" s="9">
        <v>42684</v>
      </c>
      <c r="B422" s="8" t="s">
        <v>73</v>
      </c>
      <c r="C422" s="8">
        <v>4</v>
      </c>
      <c r="D422" s="8" t="s">
        <v>64</v>
      </c>
      <c r="E422">
        <v>286</v>
      </c>
      <c r="F422" s="8">
        <v>1.8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15.459433000000001</v>
      </c>
      <c r="P422">
        <f t="shared" si="13"/>
        <v>15.459433000000001</v>
      </c>
      <c r="S422">
        <f t="shared" si="14"/>
        <v>2.5446879</v>
      </c>
    </row>
    <row r="423" spans="1:19" x14ac:dyDescent="0.2">
      <c r="A423" s="9">
        <v>42684</v>
      </c>
      <c r="B423" s="8" t="s">
        <v>73</v>
      </c>
      <c r="C423" s="8">
        <v>4</v>
      </c>
      <c r="D423" s="8" t="s">
        <v>64</v>
      </c>
      <c r="E423">
        <v>273</v>
      </c>
      <c r="F423" s="8">
        <v>1.31</v>
      </c>
      <c r="G423">
        <v>3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10.512438300000001</v>
      </c>
      <c r="P423">
        <f t="shared" si="13"/>
        <v>10.512438300000001</v>
      </c>
      <c r="S423">
        <f t="shared" si="14"/>
        <v>1.34782064975</v>
      </c>
    </row>
    <row r="424" spans="1:19" x14ac:dyDescent="0.2">
      <c r="A424" s="9">
        <v>42684</v>
      </c>
      <c r="B424" s="8" t="s">
        <v>73</v>
      </c>
      <c r="C424" s="8">
        <v>4</v>
      </c>
      <c r="D424" s="8" t="s">
        <v>64</v>
      </c>
      <c r="E424">
        <v>319</v>
      </c>
      <c r="F424" s="8">
        <v>1.56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17.772898000000001</v>
      </c>
      <c r="P424">
        <f t="shared" si="13"/>
        <v>17.772898000000001</v>
      </c>
      <c r="S424">
        <f t="shared" si="14"/>
        <v>1.9113433560000002</v>
      </c>
    </row>
    <row r="425" spans="1:19" x14ac:dyDescent="0.2">
      <c r="A425" s="9">
        <v>42684</v>
      </c>
      <c r="B425" s="8" t="s">
        <v>73</v>
      </c>
      <c r="C425" s="8">
        <v>4</v>
      </c>
      <c r="D425" s="8" t="s">
        <v>64</v>
      </c>
      <c r="E425">
        <v>196</v>
      </c>
      <c r="F425" s="8">
        <v>1.08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9.1499829999999989</v>
      </c>
      <c r="P425">
        <f t="shared" si="13"/>
        <v>9.1499829999999989</v>
      </c>
      <c r="S425">
        <f t="shared" si="14"/>
        <v>0.91608764400000009</v>
      </c>
    </row>
    <row r="426" spans="1:19" x14ac:dyDescent="0.2">
      <c r="A426" s="9">
        <v>42684</v>
      </c>
      <c r="B426" s="8" t="s">
        <v>73</v>
      </c>
      <c r="C426" s="8">
        <v>4</v>
      </c>
      <c r="D426" s="8" t="s">
        <v>64</v>
      </c>
      <c r="E426">
        <v>275</v>
      </c>
      <c r="F426" s="8">
        <v>1.47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14.688278</v>
      </c>
      <c r="P426">
        <f t="shared" si="13"/>
        <v>14.688278</v>
      </c>
      <c r="S426">
        <f t="shared" si="14"/>
        <v>1.6971654577499997</v>
      </c>
    </row>
    <row r="427" spans="1:19" x14ac:dyDescent="0.2">
      <c r="A427" s="9">
        <v>42684</v>
      </c>
      <c r="B427" s="8" t="s">
        <v>73</v>
      </c>
      <c r="C427" s="8">
        <v>4</v>
      </c>
      <c r="D427" s="8" t="s">
        <v>64</v>
      </c>
      <c r="E427">
        <v>127</v>
      </c>
      <c r="F427" s="8">
        <v>1.31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4.3127380000000004</v>
      </c>
      <c r="P427">
        <f t="shared" si="13"/>
        <v>4.3127380000000004</v>
      </c>
      <c r="S427">
        <f t="shared" si="14"/>
        <v>1.34782064975</v>
      </c>
    </row>
    <row r="428" spans="1:19" x14ac:dyDescent="0.2">
      <c r="A428" s="9">
        <v>42684</v>
      </c>
      <c r="B428" s="8" t="s">
        <v>73</v>
      </c>
      <c r="C428" s="8">
        <v>4</v>
      </c>
      <c r="D428" s="8" t="s">
        <v>64</v>
      </c>
      <c r="E428">
        <v>296</v>
      </c>
      <c r="F428" s="8">
        <v>1.48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16.160483000000003</v>
      </c>
      <c r="P428">
        <f t="shared" si="13"/>
        <v>16.160483000000003</v>
      </c>
      <c r="S428">
        <f t="shared" si="14"/>
        <v>1.7203346839999998</v>
      </c>
    </row>
    <row r="429" spans="1:19" x14ac:dyDescent="0.2">
      <c r="A429" s="9">
        <v>42684</v>
      </c>
      <c r="B429" s="8" t="s">
        <v>73</v>
      </c>
      <c r="C429" s="8">
        <v>4</v>
      </c>
      <c r="D429" s="8" t="s">
        <v>64</v>
      </c>
      <c r="E429">
        <v>206</v>
      </c>
      <c r="F429" s="8">
        <v>0.95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9.851033000000001</v>
      </c>
      <c r="P429">
        <f t="shared" si="13"/>
        <v>9.851033000000001</v>
      </c>
      <c r="S429">
        <f t="shared" si="14"/>
        <v>0.70882124375</v>
      </c>
    </row>
    <row r="430" spans="1:19" x14ac:dyDescent="0.2">
      <c r="A430" s="9">
        <v>42684</v>
      </c>
      <c r="B430" s="8" t="s">
        <v>73</v>
      </c>
      <c r="C430" s="8">
        <v>4</v>
      </c>
      <c r="D430" s="8" t="s">
        <v>64</v>
      </c>
      <c r="E430">
        <v>262</v>
      </c>
      <c r="F430" s="8">
        <v>1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13.776913</v>
      </c>
      <c r="P430">
        <f t="shared" si="13"/>
        <v>13.776913</v>
      </c>
      <c r="S430">
        <f t="shared" si="14"/>
        <v>0.78539749999999997</v>
      </c>
    </row>
    <row r="431" spans="1:19" x14ac:dyDescent="0.2">
      <c r="A431" s="9">
        <v>42684</v>
      </c>
      <c r="B431" s="8" t="s">
        <v>73</v>
      </c>
      <c r="C431" s="8">
        <v>4</v>
      </c>
      <c r="D431" s="8" t="s">
        <v>66</v>
      </c>
      <c r="E431">
        <v>121</v>
      </c>
      <c r="F431" s="8">
        <v>1.1000000000000001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3.8921079999999995</v>
      </c>
      <c r="P431">
        <f t="shared" si="13"/>
        <v>3.8921079999999995</v>
      </c>
      <c r="S431">
        <f t="shared" si="14"/>
        <v>0.95033097500000008</v>
      </c>
    </row>
    <row r="432" spans="1:19" x14ac:dyDescent="0.2">
      <c r="A432" s="9">
        <v>42684</v>
      </c>
      <c r="B432" s="8" t="s">
        <v>73</v>
      </c>
      <c r="C432" s="8">
        <v>4</v>
      </c>
      <c r="D432" s="8" t="s">
        <v>64</v>
      </c>
      <c r="E432">
        <v>297</v>
      </c>
      <c r="F432" s="8">
        <v>1.37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16.230588000000001</v>
      </c>
      <c r="P432">
        <f t="shared" si="13"/>
        <v>16.230588000000001</v>
      </c>
      <c r="S432">
        <f t="shared" si="14"/>
        <v>1.4741125677500002</v>
      </c>
    </row>
    <row r="433" spans="1:19" x14ac:dyDescent="0.2">
      <c r="A433" s="9">
        <v>42684</v>
      </c>
      <c r="B433" s="8" t="s">
        <v>73</v>
      </c>
      <c r="C433" s="8">
        <v>4</v>
      </c>
      <c r="D433" s="8" t="s">
        <v>64</v>
      </c>
      <c r="E433">
        <v>278</v>
      </c>
      <c r="F433" s="8">
        <v>1.7</v>
      </c>
      <c r="H433" s="8"/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14.898593000000002</v>
      </c>
      <c r="P433">
        <f t="shared" si="13"/>
        <v>14.898593000000002</v>
      </c>
      <c r="S433">
        <f t="shared" si="14"/>
        <v>2.2697987749999995</v>
      </c>
    </row>
    <row r="434" spans="1:19" x14ac:dyDescent="0.2">
      <c r="A434" s="9">
        <v>42684</v>
      </c>
      <c r="B434" s="8" t="s">
        <v>73</v>
      </c>
      <c r="C434" s="8">
        <v>4</v>
      </c>
      <c r="D434" s="8" t="s">
        <v>64</v>
      </c>
      <c r="E434">
        <v>273</v>
      </c>
      <c r="F434" s="8">
        <v>1.5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14.548068000000001</v>
      </c>
      <c r="P434">
        <f t="shared" si="13"/>
        <v>14.548068000000001</v>
      </c>
      <c r="S434">
        <f t="shared" si="14"/>
        <v>1.767144375</v>
      </c>
    </row>
    <row r="435" spans="1:19" x14ac:dyDescent="0.2">
      <c r="A435" s="9">
        <v>42684</v>
      </c>
      <c r="B435" s="8" t="s">
        <v>73</v>
      </c>
      <c r="C435" s="8">
        <v>4</v>
      </c>
      <c r="D435" s="8" t="s">
        <v>64</v>
      </c>
      <c r="E435">
        <v>326</v>
      </c>
      <c r="F435" s="8">
        <v>1.44</v>
      </c>
      <c r="G435">
        <v>4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12.5533146</v>
      </c>
      <c r="P435">
        <f t="shared" si="13"/>
        <v>12.5533146</v>
      </c>
      <c r="S435">
        <f t="shared" si="14"/>
        <v>1.6286002559999999</v>
      </c>
    </row>
    <row r="436" spans="1:19" x14ac:dyDescent="0.2">
      <c r="A436" s="9">
        <v>42684</v>
      </c>
      <c r="B436" s="8" t="s">
        <v>73</v>
      </c>
      <c r="C436" s="8">
        <v>4</v>
      </c>
      <c r="D436" s="8" t="s">
        <v>64</v>
      </c>
      <c r="E436">
        <v>216</v>
      </c>
      <c r="F436" s="8">
        <v>1.4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10.552083</v>
      </c>
      <c r="P436">
        <f t="shared" si="13"/>
        <v>10.552083</v>
      </c>
      <c r="S436">
        <f t="shared" si="14"/>
        <v>1.5393790999999997</v>
      </c>
    </row>
    <row r="437" spans="1:19" x14ac:dyDescent="0.2">
      <c r="A437" s="9">
        <v>42684</v>
      </c>
      <c r="B437" s="8" t="s">
        <v>73</v>
      </c>
      <c r="C437" s="8">
        <v>4</v>
      </c>
      <c r="D437" s="8" t="s">
        <v>64</v>
      </c>
      <c r="E437">
        <v>396</v>
      </c>
      <c r="F437" s="8">
        <v>1.36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23.170983</v>
      </c>
      <c r="P437">
        <f t="shared" si="13"/>
        <v>23.170983</v>
      </c>
      <c r="S437">
        <f t="shared" si="14"/>
        <v>1.4526712160000002</v>
      </c>
    </row>
    <row r="438" spans="1:19" x14ac:dyDescent="0.2">
      <c r="A438" s="9">
        <v>42684</v>
      </c>
      <c r="B438" s="8" t="s">
        <v>73</v>
      </c>
      <c r="C438" s="8">
        <v>4</v>
      </c>
      <c r="D438" s="8" t="s">
        <v>64</v>
      </c>
      <c r="E438">
        <v>318</v>
      </c>
      <c r="F438" s="8">
        <v>1.46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17.702793</v>
      </c>
      <c r="P438">
        <f t="shared" si="13"/>
        <v>17.702793</v>
      </c>
      <c r="S438">
        <f t="shared" si="14"/>
        <v>1.6741533109999998</v>
      </c>
    </row>
    <row r="439" spans="1:19" x14ac:dyDescent="0.2">
      <c r="A439" s="9">
        <v>42684</v>
      </c>
      <c r="B439" s="8" t="s">
        <v>73</v>
      </c>
      <c r="C439" s="8">
        <v>4</v>
      </c>
      <c r="D439" s="8" t="s">
        <v>64</v>
      </c>
      <c r="E439">
        <v>124</v>
      </c>
      <c r="F439" s="8">
        <v>1.4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4.1024230000000008</v>
      </c>
      <c r="P439">
        <f t="shared" si="13"/>
        <v>4.1024230000000008</v>
      </c>
      <c r="S439">
        <f t="shared" si="14"/>
        <v>1.5393790999999997</v>
      </c>
    </row>
    <row r="440" spans="1:19" x14ac:dyDescent="0.2">
      <c r="A440" s="9">
        <v>42684</v>
      </c>
      <c r="B440" s="8" t="s">
        <v>73</v>
      </c>
      <c r="C440" s="8">
        <v>4</v>
      </c>
      <c r="D440" s="8" t="s">
        <v>64</v>
      </c>
      <c r="E440">
        <v>256</v>
      </c>
      <c r="F440" s="8">
        <v>1.57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13.356283000000001</v>
      </c>
      <c r="P440">
        <f t="shared" si="13"/>
        <v>13.356283000000001</v>
      </c>
      <c r="S440">
        <f t="shared" si="14"/>
        <v>1.93592629775</v>
      </c>
    </row>
    <row r="441" spans="1:19" x14ac:dyDescent="0.2">
      <c r="A441" s="9">
        <v>42684</v>
      </c>
      <c r="B441" s="8" t="s">
        <v>73</v>
      </c>
      <c r="C441" s="8">
        <v>4</v>
      </c>
      <c r="D441" s="8" t="s">
        <v>64</v>
      </c>
      <c r="E441">
        <v>320</v>
      </c>
      <c r="F441" s="8">
        <v>1.71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17.843003</v>
      </c>
      <c r="P441">
        <f t="shared" si="13"/>
        <v>17.843003</v>
      </c>
      <c r="S441">
        <f t="shared" si="14"/>
        <v>2.2965808297499999</v>
      </c>
    </row>
    <row r="442" spans="1:19" x14ac:dyDescent="0.2">
      <c r="A442" s="9">
        <v>42684</v>
      </c>
      <c r="B442" s="8" t="s">
        <v>73</v>
      </c>
      <c r="C442" s="8">
        <v>4</v>
      </c>
      <c r="D442" s="8" t="s">
        <v>66</v>
      </c>
      <c r="E442">
        <v>306</v>
      </c>
      <c r="F442" s="8">
        <v>0.88</v>
      </c>
      <c r="G442">
        <v>3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7.4950416000000004</v>
      </c>
      <c r="P442">
        <f t="shared" si="13"/>
        <v>7.4950416000000004</v>
      </c>
      <c r="S442">
        <f t="shared" si="14"/>
        <v>0.60821182399999996</v>
      </c>
    </row>
    <row r="443" spans="1:19" x14ac:dyDescent="0.2">
      <c r="A443" s="9">
        <v>42684</v>
      </c>
      <c r="B443" s="8" t="s">
        <v>73</v>
      </c>
      <c r="C443" s="8">
        <v>4</v>
      </c>
      <c r="D443" s="8" t="s">
        <v>66</v>
      </c>
      <c r="E443">
        <v>263</v>
      </c>
      <c r="F443" s="8">
        <v>0.98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13.847018000000002</v>
      </c>
      <c r="P443">
        <f t="shared" si="13"/>
        <v>13.847018000000002</v>
      </c>
      <c r="S443">
        <f t="shared" si="14"/>
        <v>0.7542957589999999</v>
      </c>
    </row>
    <row r="444" spans="1:19" x14ac:dyDescent="0.2">
      <c r="A444" s="9">
        <v>42684</v>
      </c>
      <c r="B444" s="8" t="s">
        <v>73</v>
      </c>
      <c r="C444" s="8">
        <v>4</v>
      </c>
      <c r="D444" s="8" t="s">
        <v>66</v>
      </c>
      <c r="E444">
        <v>262</v>
      </c>
      <c r="F444" s="8">
        <v>1.07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13.776913</v>
      </c>
      <c r="P444">
        <f t="shared" si="13"/>
        <v>13.776913</v>
      </c>
      <c r="S444">
        <f t="shared" si="14"/>
        <v>0.89920159774999997</v>
      </c>
    </row>
    <row r="445" spans="1:19" x14ac:dyDescent="0.2">
      <c r="A445" s="9">
        <v>42684</v>
      </c>
      <c r="B445" s="8" t="s">
        <v>73</v>
      </c>
      <c r="C445" s="8">
        <v>4</v>
      </c>
      <c r="D445" s="8" t="s">
        <v>66</v>
      </c>
      <c r="E445">
        <v>330</v>
      </c>
      <c r="F445" s="8">
        <v>1.47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18.544053000000002</v>
      </c>
      <c r="P445">
        <f t="shared" si="13"/>
        <v>18.544053000000002</v>
      </c>
      <c r="S445">
        <f t="shared" si="14"/>
        <v>1.6971654577499997</v>
      </c>
    </row>
    <row r="446" spans="1:19" x14ac:dyDescent="0.2">
      <c r="A446" s="9">
        <v>42684</v>
      </c>
      <c r="B446" s="8" t="s">
        <v>73</v>
      </c>
      <c r="C446" s="8">
        <v>4</v>
      </c>
      <c r="D446" s="8" t="s">
        <v>66</v>
      </c>
      <c r="E446">
        <v>382</v>
      </c>
      <c r="F446" s="8">
        <v>0.99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22.189513000000002</v>
      </c>
      <c r="P446">
        <f t="shared" si="13"/>
        <v>22.189513000000002</v>
      </c>
      <c r="S446">
        <f t="shared" si="14"/>
        <v>0.76976808975</v>
      </c>
    </row>
    <row r="447" spans="1:19" x14ac:dyDescent="0.2">
      <c r="A447" s="9">
        <v>42684</v>
      </c>
      <c r="B447" s="8" t="s">
        <v>73</v>
      </c>
      <c r="C447" s="8">
        <v>4</v>
      </c>
      <c r="D447" s="8" t="s">
        <v>66</v>
      </c>
      <c r="E447">
        <v>301</v>
      </c>
      <c r="F447" s="8">
        <v>1.17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16.511008</v>
      </c>
      <c r="P447">
        <f t="shared" si="13"/>
        <v>16.511008</v>
      </c>
      <c r="S447">
        <f t="shared" si="14"/>
        <v>1.0751306377499998</v>
      </c>
    </row>
    <row r="448" spans="1:19" x14ac:dyDescent="0.2">
      <c r="A448" s="9">
        <v>42684</v>
      </c>
      <c r="B448" s="8" t="s">
        <v>73</v>
      </c>
      <c r="C448" s="8">
        <v>4</v>
      </c>
      <c r="D448" s="8" t="s">
        <v>66</v>
      </c>
      <c r="E448">
        <v>315</v>
      </c>
      <c r="F448" s="8">
        <v>1.33</v>
      </c>
      <c r="G448">
        <v>2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7.715484</v>
      </c>
      <c r="P448">
        <f t="shared" si="13"/>
        <v>7.715484</v>
      </c>
      <c r="S448">
        <f t="shared" si="14"/>
        <v>1.3892896377500001</v>
      </c>
    </row>
    <row r="449" spans="1:19" x14ac:dyDescent="0.2">
      <c r="A449" s="9">
        <v>42684</v>
      </c>
      <c r="B449" s="8" t="s">
        <v>73</v>
      </c>
      <c r="C449" s="8">
        <v>4</v>
      </c>
      <c r="D449" s="8" t="s">
        <v>66</v>
      </c>
      <c r="E449">
        <v>260</v>
      </c>
      <c r="F449" s="8">
        <v>1.17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13.636703000000001</v>
      </c>
      <c r="P449">
        <f t="shared" si="13"/>
        <v>13.636703000000001</v>
      </c>
      <c r="S449">
        <f t="shared" si="14"/>
        <v>1.0751306377499998</v>
      </c>
    </row>
    <row r="450" spans="1:19" x14ac:dyDescent="0.2">
      <c r="A450" s="9">
        <v>42684</v>
      </c>
      <c r="B450" s="8" t="s">
        <v>73</v>
      </c>
      <c r="C450" s="8">
        <v>4</v>
      </c>
      <c r="D450" s="8" t="s">
        <v>66</v>
      </c>
      <c r="E450">
        <v>193</v>
      </c>
      <c r="F450" s="8">
        <v>1.4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8.9396680000000011</v>
      </c>
      <c r="P450">
        <f t="shared" si="13"/>
        <v>8.9396680000000011</v>
      </c>
      <c r="S450">
        <f t="shared" si="14"/>
        <v>1.5393790999999997</v>
      </c>
    </row>
    <row r="451" spans="1:19" x14ac:dyDescent="0.2">
      <c r="A451" s="9">
        <v>42684</v>
      </c>
      <c r="B451" s="8" t="s">
        <v>73</v>
      </c>
      <c r="C451" s="8">
        <v>4</v>
      </c>
      <c r="D451" s="8" t="s">
        <v>61</v>
      </c>
      <c r="F451" s="8">
        <v>0.84</v>
      </c>
      <c r="J451">
        <f>48+50+50</f>
        <v>148</v>
      </c>
      <c r="K451">
        <v>3</v>
      </c>
      <c r="L451">
        <v>50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10.783414999999998</v>
      </c>
      <c r="P451">
        <f t="shared" si="13"/>
        <v>10.783414999999998</v>
      </c>
      <c r="S451">
        <f t="shared" si="14"/>
        <v>0.55417647599999986</v>
      </c>
    </row>
    <row r="452" spans="1:19" x14ac:dyDescent="0.2">
      <c r="A452" s="9">
        <v>42684</v>
      </c>
      <c r="B452" s="8" t="s">
        <v>73</v>
      </c>
      <c r="C452" s="8">
        <v>4</v>
      </c>
      <c r="D452" s="8" t="s">
        <v>64</v>
      </c>
      <c r="E452">
        <v>299</v>
      </c>
      <c r="F452" s="8">
        <v>1.26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16.370798000000001</v>
      </c>
      <c r="P452">
        <f t="shared" si="13"/>
        <v>16.370798000000001</v>
      </c>
      <c r="S452">
        <f t="shared" si="14"/>
        <v>1.246897071</v>
      </c>
    </row>
    <row r="453" spans="1:19" x14ac:dyDescent="0.2">
      <c r="A453" s="9">
        <v>42684</v>
      </c>
      <c r="B453" s="8" t="s">
        <v>73</v>
      </c>
      <c r="C453" s="8">
        <v>4</v>
      </c>
      <c r="D453" s="8" t="s">
        <v>66</v>
      </c>
      <c r="E453">
        <v>34</v>
      </c>
      <c r="F453" s="8">
        <v>0.74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-2.2070269999999996</v>
      </c>
      <c r="P453" t="str">
        <f t="shared" si="13"/>
        <v xml:space="preserve"> </v>
      </c>
      <c r="S453">
        <f t="shared" si="14"/>
        <v>0.43008367099999995</v>
      </c>
    </row>
    <row r="454" spans="1:19" x14ac:dyDescent="0.2">
      <c r="A454" s="9">
        <v>42684</v>
      </c>
      <c r="B454" s="8" t="s">
        <v>73</v>
      </c>
      <c r="C454" s="8">
        <v>4</v>
      </c>
      <c r="D454" s="8" t="s">
        <v>64</v>
      </c>
      <c r="E454">
        <v>347</v>
      </c>
      <c r="F454" s="8">
        <v>1.56</v>
      </c>
      <c r="G454" s="8"/>
      <c r="I454" s="8"/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19.735838000000001</v>
      </c>
      <c r="P454">
        <f t="shared" ref="P454:P517" si="15">IF(O454&lt;0," ",O454)</f>
        <v>19.735838000000001</v>
      </c>
      <c r="S454">
        <f t="shared" ref="S454:S517" si="16">3.14159*((F454/2)^2)</f>
        <v>1.9113433560000002</v>
      </c>
    </row>
    <row r="455" spans="1:19" x14ac:dyDescent="0.2">
      <c r="A455" s="9">
        <v>42684</v>
      </c>
      <c r="B455" s="8" t="s">
        <v>73</v>
      </c>
      <c r="C455" s="8">
        <v>4</v>
      </c>
      <c r="D455" s="8" t="s">
        <v>66</v>
      </c>
      <c r="E455">
        <v>86</v>
      </c>
      <c r="F455" s="8">
        <v>0.86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1.4384329999999999</v>
      </c>
      <c r="P455">
        <f t="shared" si="15"/>
        <v>1.4384329999999999</v>
      </c>
      <c r="S455">
        <f t="shared" si="16"/>
        <v>0.58087999099999987</v>
      </c>
    </row>
    <row r="456" spans="1:19" x14ac:dyDescent="0.2">
      <c r="A456" s="9">
        <v>42684</v>
      </c>
      <c r="B456" s="8" t="s">
        <v>73</v>
      </c>
      <c r="C456" s="8">
        <v>4</v>
      </c>
      <c r="D456" s="8" t="s">
        <v>66</v>
      </c>
      <c r="E456">
        <v>325</v>
      </c>
      <c r="F456" s="8">
        <v>1.47</v>
      </c>
      <c r="G456" s="8"/>
      <c r="I456" s="8"/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18.193528000000001</v>
      </c>
      <c r="P456">
        <f t="shared" si="15"/>
        <v>18.193528000000001</v>
      </c>
      <c r="S456">
        <f t="shared" si="16"/>
        <v>1.6971654577499997</v>
      </c>
    </row>
    <row r="457" spans="1:19" x14ac:dyDescent="0.2">
      <c r="A457" s="9">
        <v>42684</v>
      </c>
      <c r="B457" s="8" t="s">
        <v>73</v>
      </c>
      <c r="C457" s="8">
        <v>4</v>
      </c>
      <c r="D457" s="8" t="s">
        <v>64</v>
      </c>
      <c r="E457">
        <v>319</v>
      </c>
      <c r="F457" s="8">
        <v>1.33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17.772898000000001</v>
      </c>
      <c r="P457">
        <f t="shared" si="15"/>
        <v>17.772898000000001</v>
      </c>
      <c r="S457">
        <f t="shared" si="16"/>
        <v>1.3892896377500001</v>
      </c>
    </row>
    <row r="458" spans="1:19" x14ac:dyDescent="0.2">
      <c r="A458" s="9">
        <v>42684</v>
      </c>
      <c r="B458" s="8" t="s">
        <v>73</v>
      </c>
      <c r="C458" s="8">
        <v>4</v>
      </c>
      <c r="D458" s="8" t="s">
        <v>61</v>
      </c>
      <c r="F458" s="8">
        <v>3.28</v>
      </c>
      <c r="G458" s="8"/>
      <c r="I458" s="8"/>
      <c r="J458">
        <f>199+283+292+299+300+310</f>
        <v>1683</v>
      </c>
      <c r="K458">
        <v>6</v>
      </c>
      <c r="L458">
        <v>310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55.306581000000016</v>
      </c>
      <c r="P458">
        <f t="shared" si="15"/>
        <v>55.306581000000016</v>
      </c>
      <c r="S458">
        <f t="shared" si="16"/>
        <v>8.4496204639999988</v>
      </c>
    </row>
    <row r="459" spans="1:19" x14ac:dyDescent="0.2">
      <c r="A459" s="9">
        <v>42684</v>
      </c>
      <c r="B459" s="8" t="s">
        <v>73</v>
      </c>
      <c r="C459" s="8">
        <v>4</v>
      </c>
      <c r="D459" s="8" t="s">
        <v>64</v>
      </c>
      <c r="E459">
        <v>380</v>
      </c>
      <c r="F459" s="8">
        <v>1.23</v>
      </c>
      <c r="G459" s="8"/>
      <c r="I459" s="8"/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22.049303000000002</v>
      </c>
      <c r="P459">
        <f t="shared" si="15"/>
        <v>22.049303000000002</v>
      </c>
      <c r="S459">
        <f t="shared" si="16"/>
        <v>1.1882278777499999</v>
      </c>
    </row>
    <row r="460" spans="1:19" x14ac:dyDescent="0.2">
      <c r="A460" s="9">
        <v>42684</v>
      </c>
      <c r="B460" s="8" t="s">
        <v>73</v>
      </c>
      <c r="C460" s="8">
        <v>4</v>
      </c>
      <c r="D460" s="8" t="s">
        <v>66</v>
      </c>
      <c r="E460">
        <v>62</v>
      </c>
      <c r="F460" s="8">
        <v>0.64</v>
      </c>
      <c r="I460" s="8"/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-0.2440869999999995</v>
      </c>
      <c r="P460" t="str">
        <f t="shared" si="15"/>
        <v xml:space="preserve"> </v>
      </c>
      <c r="S460">
        <f t="shared" si="16"/>
        <v>0.321698816</v>
      </c>
    </row>
    <row r="461" spans="1:19" x14ac:dyDescent="0.2">
      <c r="A461" s="9">
        <v>42684</v>
      </c>
      <c r="B461" s="8" t="s">
        <v>73</v>
      </c>
      <c r="C461" s="8">
        <v>4</v>
      </c>
      <c r="D461" s="8" t="s">
        <v>66</v>
      </c>
      <c r="E461">
        <v>328</v>
      </c>
      <c r="F461" s="8">
        <v>0.96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18.403843000000002</v>
      </c>
      <c r="P461">
        <f t="shared" si="15"/>
        <v>18.403843000000002</v>
      </c>
      <c r="S461">
        <f t="shared" si="16"/>
        <v>0.7238223359999999</v>
      </c>
    </row>
    <row r="462" spans="1:19" x14ac:dyDescent="0.2">
      <c r="A462" s="9">
        <v>42684</v>
      </c>
      <c r="B462" s="8" t="s">
        <v>73</v>
      </c>
      <c r="C462" s="8">
        <v>4</v>
      </c>
      <c r="D462" s="8" t="s">
        <v>64</v>
      </c>
      <c r="E462">
        <v>305</v>
      </c>
      <c r="F462" s="8">
        <v>1.5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16.791428</v>
      </c>
      <c r="P462">
        <f t="shared" si="15"/>
        <v>16.791428</v>
      </c>
      <c r="S462">
        <f t="shared" si="16"/>
        <v>1.767144375</v>
      </c>
    </row>
    <row r="463" spans="1:19" x14ac:dyDescent="0.2">
      <c r="A463" s="9">
        <v>42692</v>
      </c>
      <c r="B463" s="8" t="s">
        <v>74</v>
      </c>
      <c r="C463">
        <v>47</v>
      </c>
      <c r="D463" s="8" t="s">
        <v>61</v>
      </c>
      <c r="F463" s="8">
        <v>4.41</v>
      </c>
      <c r="J463">
        <f>98+191+159+315+350+380+359</f>
        <v>1852</v>
      </c>
      <c r="K463">
        <v>7</v>
      </c>
      <c r="L463">
        <v>380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43.041673000000024</v>
      </c>
      <c r="P463">
        <f t="shared" si="15"/>
        <v>43.041673000000024</v>
      </c>
      <c r="S463">
        <f t="shared" si="16"/>
        <v>15.274489119749999</v>
      </c>
    </row>
    <row r="464" spans="1:19" x14ac:dyDescent="0.2">
      <c r="A464" s="9">
        <v>42692</v>
      </c>
      <c r="B464" s="8" t="s">
        <v>74</v>
      </c>
      <c r="C464">
        <v>47</v>
      </c>
      <c r="D464" s="8" t="s">
        <v>61</v>
      </c>
      <c r="F464" s="8">
        <v>4.34</v>
      </c>
      <c r="G464" s="8"/>
      <c r="I464" s="8"/>
      <c r="J464">
        <f>190+199+240+251+225+308</f>
        <v>1413</v>
      </c>
      <c r="K464">
        <v>6</v>
      </c>
      <c r="L464">
        <v>308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30.595221000000016</v>
      </c>
      <c r="P464">
        <f t="shared" si="15"/>
        <v>30.595221000000016</v>
      </c>
      <c r="S464">
        <f t="shared" si="16"/>
        <v>14.793433150999999</v>
      </c>
    </row>
    <row r="465" spans="1:19" x14ac:dyDescent="0.2">
      <c r="A465" s="9">
        <v>42692</v>
      </c>
      <c r="B465" s="8" t="s">
        <v>74</v>
      </c>
      <c r="C465">
        <v>47</v>
      </c>
      <c r="D465" s="8" t="s">
        <v>61</v>
      </c>
      <c r="F465" s="8">
        <v>2.4</v>
      </c>
      <c r="J465">
        <f>20+44+58+67</f>
        <v>189</v>
      </c>
      <c r="K465">
        <v>4</v>
      </c>
      <c r="L465">
        <v>67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2.4838519999999988</v>
      </c>
      <c r="P465">
        <f t="shared" si="15"/>
        <v>2.4838519999999988</v>
      </c>
      <c r="S465">
        <f t="shared" si="16"/>
        <v>4.5238895999999995</v>
      </c>
    </row>
    <row r="466" spans="1:19" x14ac:dyDescent="0.2">
      <c r="A466" s="9">
        <v>42692</v>
      </c>
      <c r="B466" s="8" t="s">
        <v>74</v>
      </c>
      <c r="C466">
        <v>47</v>
      </c>
      <c r="D466" s="8" t="s">
        <v>61</v>
      </c>
      <c r="F466" s="8">
        <v>2.54</v>
      </c>
      <c r="H466" s="8"/>
      <c r="J466">
        <f>110+167+173+189+203</f>
        <v>842</v>
      </c>
      <c r="K466">
        <v>5</v>
      </c>
      <c r="L466">
        <v>203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15.714193999999999</v>
      </c>
      <c r="P466">
        <f t="shared" si="15"/>
        <v>15.714193999999999</v>
      </c>
      <c r="S466">
        <f t="shared" si="16"/>
        <v>5.0670705109999998</v>
      </c>
    </row>
    <row r="467" spans="1:19" x14ac:dyDescent="0.2">
      <c r="A467" s="9">
        <v>42692</v>
      </c>
      <c r="B467" s="8" t="s">
        <v>74</v>
      </c>
      <c r="C467">
        <v>47</v>
      </c>
      <c r="D467" s="8" t="s">
        <v>61</v>
      </c>
      <c r="F467" s="8">
        <v>5.57</v>
      </c>
      <c r="J467">
        <f>62+63+36</f>
        <v>161</v>
      </c>
      <c r="K467">
        <v>3</v>
      </c>
      <c r="L467">
        <v>63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8.0860449999999986</v>
      </c>
      <c r="P467">
        <f t="shared" si="15"/>
        <v>8.0860449999999986</v>
      </c>
      <c r="S467">
        <f t="shared" si="16"/>
        <v>24.366878897750002</v>
      </c>
    </row>
    <row r="468" spans="1:19" x14ac:dyDescent="0.2">
      <c r="A468" s="9">
        <v>42692</v>
      </c>
      <c r="B468" s="8" t="s">
        <v>74</v>
      </c>
      <c r="C468">
        <v>47</v>
      </c>
      <c r="D468" s="8" t="s">
        <v>61</v>
      </c>
      <c r="F468" s="8">
        <v>2.56</v>
      </c>
      <c r="J468">
        <f>154+157+196+196</f>
        <v>703</v>
      </c>
      <c r="K468">
        <v>4</v>
      </c>
      <c r="L468">
        <v>196</v>
      </c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11.813317000000012</v>
      </c>
      <c r="P468">
        <f t="shared" si="15"/>
        <v>11.813317000000012</v>
      </c>
      <c r="S468">
        <f t="shared" si="16"/>
        <v>5.147181056</v>
      </c>
    </row>
    <row r="469" spans="1:19" x14ac:dyDescent="0.2">
      <c r="A469" s="9">
        <v>42692</v>
      </c>
      <c r="B469" s="8" t="s">
        <v>74</v>
      </c>
      <c r="C469">
        <v>47</v>
      </c>
      <c r="D469" s="8" t="s">
        <v>61</v>
      </c>
      <c r="F469" s="8">
        <v>7.08</v>
      </c>
      <c r="J469">
        <f>191+296+288+299+302+313</f>
        <v>1689</v>
      </c>
      <c r="K469">
        <v>6</v>
      </c>
      <c r="L469">
        <v>313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54.965375999999999</v>
      </c>
      <c r="P469">
        <f t="shared" si="15"/>
        <v>54.965375999999999</v>
      </c>
      <c r="S469">
        <f t="shared" si="16"/>
        <v>39.369149243999999</v>
      </c>
    </row>
    <row r="470" spans="1:19" x14ac:dyDescent="0.2">
      <c r="A470" s="9">
        <v>42692</v>
      </c>
      <c r="B470" s="8" t="s">
        <v>74</v>
      </c>
      <c r="C470">
        <v>39</v>
      </c>
      <c r="D470" s="8" t="s">
        <v>61</v>
      </c>
      <c r="F470" s="8">
        <v>3.64</v>
      </c>
      <c r="J470">
        <f>255+315+341+357+376+378</f>
        <v>2022</v>
      </c>
      <c r="K470">
        <v>6</v>
      </c>
      <c r="L470">
        <v>378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66.604865999999987</v>
      </c>
      <c r="P470">
        <f t="shared" si="15"/>
        <v>66.604865999999987</v>
      </c>
      <c r="S470">
        <f t="shared" si="16"/>
        <v>10.406202716000001</v>
      </c>
    </row>
    <row r="471" spans="1:19" x14ac:dyDescent="0.2">
      <c r="A471" s="9">
        <v>42692</v>
      </c>
      <c r="B471" s="8" t="s">
        <v>74</v>
      </c>
      <c r="C471">
        <v>39</v>
      </c>
      <c r="D471" s="8" t="s">
        <v>62</v>
      </c>
      <c r="E471">
        <v>415</v>
      </c>
      <c r="F471" s="8">
        <v>5.84</v>
      </c>
      <c r="H471">
        <v>31</v>
      </c>
      <c r="I471">
        <v>2.0099999999999998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204.38233255999995</v>
      </c>
      <c r="P471">
        <f t="shared" si="15"/>
        <v>204.38233255999995</v>
      </c>
      <c r="S471">
        <f t="shared" si="16"/>
        <v>26.786452975999996</v>
      </c>
    </row>
    <row r="472" spans="1:19" x14ac:dyDescent="0.2">
      <c r="A472" s="9">
        <v>42692</v>
      </c>
      <c r="B472" s="8" t="s">
        <v>74</v>
      </c>
      <c r="C472">
        <v>39</v>
      </c>
      <c r="D472" s="8" t="s">
        <v>61</v>
      </c>
      <c r="F472" s="8">
        <v>2.93</v>
      </c>
      <c r="J472">
        <f>160+180+213+248+266</f>
        <v>1067</v>
      </c>
      <c r="K472">
        <v>5</v>
      </c>
      <c r="L472">
        <v>266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17.830634000000011</v>
      </c>
      <c r="P472">
        <f t="shared" si="15"/>
        <v>17.830634000000011</v>
      </c>
      <c r="S472">
        <f t="shared" si="16"/>
        <v>6.7425589977500007</v>
      </c>
    </row>
    <row r="473" spans="1:19" x14ac:dyDescent="0.2">
      <c r="A473" s="9">
        <v>42692</v>
      </c>
      <c r="B473" s="8" t="s">
        <v>74</v>
      </c>
      <c r="C473">
        <v>39</v>
      </c>
      <c r="D473" s="8" t="s">
        <v>61</v>
      </c>
      <c r="F473" s="8">
        <v>2.29</v>
      </c>
      <c r="J473">
        <f>259+263+268+284+296</f>
        <v>1370</v>
      </c>
      <c r="K473">
        <v>5</v>
      </c>
      <c r="L473">
        <v>296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37.201049000000019</v>
      </c>
      <c r="P473">
        <f t="shared" si="15"/>
        <v>37.201049000000019</v>
      </c>
      <c r="S473">
        <f t="shared" si="16"/>
        <v>4.1187030297499998</v>
      </c>
    </row>
    <row r="474" spans="1:19" x14ac:dyDescent="0.2">
      <c r="A474" s="9">
        <v>42692</v>
      </c>
      <c r="B474" s="8" t="s">
        <v>74</v>
      </c>
      <c r="C474">
        <v>39</v>
      </c>
      <c r="D474" s="8" t="s">
        <v>62</v>
      </c>
      <c r="E474">
        <v>369</v>
      </c>
      <c r="F474" s="8">
        <v>2.67</v>
      </c>
      <c r="H474">
        <v>26</v>
      </c>
      <c r="I474">
        <v>0.5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98.300616389999988</v>
      </c>
      <c r="P474">
        <f t="shared" si="15"/>
        <v>98.300616389999988</v>
      </c>
      <c r="S474">
        <f t="shared" si="16"/>
        <v>5.5990202377499996</v>
      </c>
    </row>
    <row r="475" spans="1:19" x14ac:dyDescent="0.2">
      <c r="A475" s="9">
        <v>42692</v>
      </c>
      <c r="B475" s="8" t="s">
        <v>74</v>
      </c>
      <c r="C475">
        <v>39</v>
      </c>
      <c r="D475" s="8" t="s">
        <v>62</v>
      </c>
      <c r="E475">
        <v>381</v>
      </c>
      <c r="F475" s="8">
        <v>3.36</v>
      </c>
      <c r="H475">
        <v>28</v>
      </c>
      <c r="I475">
        <v>0.5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117.09915291999999</v>
      </c>
      <c r="P475">
        <f t="shared" si="15"/>
        <v>117.09915291999999</v>
      </c>
      <c r="S475">
        <f t="shared" si="16"/>
        <v>8.8668236159999978</v>
      </c>
    </row>
    <row r="476" spans="1:19" x14ac:dyDescent="0.2">
      <c r="A476" s="9">
        <v>42692</v>
      </c>
      <c r="B476" s="8" t="s">
        <v>74</v>
      </c>
      <c r="C476" s="8">
        <v>27</v>
      </c>
      <c r="D476" s="8" t="s">
        <v>61</v>
      </c>
      <c r="F476" s="8">
        <v>4.49</v>
      </c>
      <c r="J476">
        <f>100+140+156+237+239+262</f>
        <v>1134</v>
      </c>
      <c r="K476">
        <v>6</v>
      </c>
      <c r="L476">
        <v>262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18.294846000000014</v>
      </c>
      <c r="P476">
        <f t="shared" si="15"/>
        <v>18.294846000000014</v>
      </c>
      <c r="S476">
        <f t="shared" si="16"/>
        <v>15.833692139750003</v>
      </c>
    </row>
    <row r="477" spans="1:19" x14ac:dyDescent="0.2">
      <c r="A477" s="9">
        <v>42692</v>
      </c>
      <c r="B477" s="8" t="s">
        <v>74</v>
      </c>
      <c r="C477" s="8">
        <v>27</v>
      </c>
      <c r="D477" s="8" t="s">
        <v>61</v>
      </c>
      <c r="F477" s="8">
        <v>1.59</v>
      </c>
      <c r="J477">
        <f>127+166</f>
        <v>293</v>
      </c>
      <c r="K477">
        <v>2</v>
      </c>
      <c r="L477">
        <v>166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-3.5441769999999977</v>
      </c>
      <c r="P477" t="str">
        <f t="shared" si="15"/>
        <v xml:space="preserve"> </v>
      </c>
      <c r="S477">
        <f t="shared" si="16"/>
        <v>1.9855634197500001</v>
      </c>
    </row>
    <row r="478" spans="1:19" x14ac:dyDescent="0.2">
      <c r="A478" s="9">
        <v>42692</v>
      </c>
      <c r="B478" s="8" t="s">
        <v>74</v>
      </c>
      <c r="C478" s="8">
        <v>27</v>
      </c>
      <c r="D478" s="8" t="s">
        <v>61</v>
      </c>
      <c r="F478" s="8">
        <v>4.43</v>
      </c>
      <c r="J478">
        <f>110+147+159+160+220+226</f>
        <v>1022</v>
      </c>
      <c r="K478">
        <v>6</v>
      </c>
      <c r="L478">
        <v>226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18.639106000000005</v>
      </c>
      <c r="P478">
        <f t="shared" si="15"/>
        <v>18.639106000000005</v>
      </c>
      <c r="S478">
        <f t="shared" si="16"/>
        <v>15.413347397749996</v>
      </c>
    </row>
    <row r="479" spans="1:19" x14ac:dyDescent="0.2">
      <c r="A479" s="9">
        <v>42692</v>
      </c>
      <c r="B479" s="8" t="s">
        <v>74</v>
      </c>
      <c r="C479" s="8">
        <v>27</v>
      </c>
      <c r="D479" s="8" t="s">
        <v>61</v>
      </c>
      <c r="F479" s="8">
        <v>1.25</v>
      </c>
      <c r="J479">
        <f>46+89+89+133</f>
        <v>357</v>
      </c>
      <c r="K479">
        <v>4</v>
      </c>
      <c r="L479">
        <v>133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-1.6474779999999996</v>
      </c>
      <c r="P479" t="str">
        <f t="shared" si="15"/>
        <v xml:space="preserve"> </v>
      </c>
      <c r="S479">
        <f t="shared" si="16"/>
        <v>1.22718359375</v>
      </c>
    </row>
    <row r="480" spans="1:19" x14ac:dyDescent="0.2">
      <c r="A480" s="9">
        <v>42692</v>
      </c>
      <c r="B480" s="8" t="s">
        <v>74</v>
      </c>
      <c r="C480" s="8">
        <v>27</v>
      </c>
      <c r="D480" s="8" t="s">
        <v>62</v>
      </c>
      <c r="E480">
        <v>331</v>
      </c>
      <c r="F480" s="8">
        <v>2.4900000000000002</v>
      </c>
      <c r="H480">
        <v>38</v>
      </c>
      <c r="I480">
        <v>1.99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120.48699604999999</v>
      </c>
      <c r="P480">
        <f t="shared" si="15"/>
        <v>120.48699604999999</v>
      </c>
      <c r="S480">
        <f t="shared" si="16"/>
        <v>4.8695430397500008</v>
      </c>
    </row>
    <row r="481" spans="1:19" x14ac:dyDescent="0.2">
      <c r="A481" s="9">
        <v>42692</v>
      </c>
      <c r="B481" s="8" t="s">
        <v>74</v>
      </c>
      <c r="C481" s="8">
        <v>27</v>
      </c>
      <c r="D481" s="8" t="s">
        <v>62</v>
      </c>
      <c r="E481">
        <v>342</v>
      </c>
      <c r="F481" s="8">
        <v>2.54</v>
      </c>
      <c r="H481">
        <v>32</v>
      </c>
      <c r="I481">
        <v>2.21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123.05617366000001</v>
      </c>
      <c r="P481">
        <f t="shared" si="15"/>
        <v>123.05617366000001</v>
      </c>
      <c r="S481">
        <f t="shared" si="16"/>
        <v>5.0670705109999998</v>
      </c>
    </row>
    <row r="482" spans="1:19" x14ac:dyDescent="0.2">
      <c r="A482" s="9">
        <v>42692</v>
      </c>
      <c r="B482" s="8" t="s">
        <v>74</v>
      </c>
      <c r="C482" s="8">
        <v>27</v>
      </c>
      <c r="D482" s="8" t="s">
        <v>62</v>
      </c>
      <c r="E482">
        <v>340</v>
      </c>
      <c r="F482" s="8">
        <v>2.34</v>
      </c>
      <c r="H482">
        <v>39</v>
      </c>
      <c r="I482">
        <v>2.27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126.15589374000001</v>
      </c>
      <c r="P482">
        <f t="shared" si="15"/>
        <v>126.15589374000001</v>
      </c>
      <c r="S482">
        <f t="shared" si="16"/>
        <v>4.3005225509999994</v>
      </c>
    </row>
    <row r="483" spans="1:19" x14ac:dyDescent="0.2">
      <c r="A483" s="9">
        <v>42692</v>
      </c>
      <c r="B483" s="8" t="s">
        <v>74</v>
      </c>
      <c r="C483" s="8">
        <v>27</v>
      </c>
      <c r="D483" s="8" t="s">
        <v>61</v>
      </c>
      <c r="F483" s="8">
        <v>1.73</v>
      </c>
      <c r="J483">
        <f>90+90+161+166+217+223</f>
        <v>947</v>
      </c>
      <c r="K483">
        <v>6</v>
      </c>
      <c r="L483">
        <v>223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12.511216000000012</v>
      </c>
      <c r="P483">
        <f t="shared" si="15"/>
        <v>12.511216000000012</v>
      </c>
      <c r="S483">
        <f t="shared" si="16"/>
        <v>2.3506161777500001</v>
      </c>
    </row>
    <row r="484" spans="1:19" x14ac:dyDescent="0.2">
      <c r="A484" s="9">
        <v>42692</v>
      </c>
      <c r="B484" s="8" t="s">
        <v>74</v>
      </c>
      <c r="C484">
        <v>24</v>
      </c>
      <c r="D484" s="8" t="s">
        <v>61</v>
      </c>
      <c r="F484" s="8">
        <v>3.3</v>
      </c>
      <c r="J484">
        <f>47+102+102+125+158+165</f>
        <v>699</v>
      </c>
      <c r="K484">
        <v>6</v>
      </c>
      <c r="L484">
        <v>165</v>
      </c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6.7321859999999987</v>
      </c>
      <c r="P484">
        <f t="shared" si="15"/>
        <v>6.7321859999999987</v>
      </c>
      <c r="S484">
        <f t="shared" si="16"/>
        <v>8.5529787749999979</v>
      </c>
    </row>
    <row r="485" spans="1:19" x14ac:dyDescent="0.2">
      <c r="A485" s="9">
        <v>42692</v>
      </c>
      <c r="B485" s="8" t="s">
        <v>74</v>
      </c>
      <c r="C485">
        <v>24</v>
      </c>
      <c r="D485" s="8" t="s">
        <v>61</v>
      </c>
      <c r="F485" s="8">
        <v>1.67</v>
      </c>
      <c r="J485">
        <f>81+81+122+123</f>
        <v>407</v>
      </c>
      <c r="K485">
        <v>4</v>
      </c>
      <c r="L485">
        <v>123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6.0527219999999993</v>
      </c>
      <c r="P485">
        <f t="shared" si="15"/>
        <v>6.0527219999999993</v>
      </c>
      <c r="S485">
        <f t="shared" si="16"/>
        <v>2.1903950877499998</v>
      </c>
    </row>
    <row r="486" spans="1:19" x14ac:dyDescent="0.2">
      <c r="A486" s="9">
        <v>42692</v>
      </c>
      <c r="B486" s="8" t="s">
        <v>74</v>
      </c>
      <c r="C486">
        <v>24</v>
      </c>
      <c r="D486" s="8" t="s">
        <v>61</v>
      </c>
      <c r="F486" s="8">
        <v>2.19</v>
      </c>
      <c r="J486">
        <f>41+80+85+101+150+162</f>
        <v>619</v>
      </c>
      <c r="K486">
        <v>6</v>
      </c>
      <c r="L486">
        <v>162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0.13552099999999712</v>
      </c>
      <c r="P486">
        <f t="shared" si="15"/>
        <v>0.13552099999999712</v>
      </c>
      <c r="S486">
        <f t="shared" si="16"/>
        <v>3.7668449497499998</v>
      </c>
    </row>
    <row r="487" spans="1:19" x14ac:dyDescent="0.2">
      <c r="A487" s="9">
        <v>42692</v>
      </c>
      <c r="B487" s="8" t="s">
        <v>74</v>
      </c>
      <c r="C487">
        <v>24</v>
      </c>
      <c r="D487" s="8" t="s">
        <v>61</v>
      </c>
      <c r="F487" s="8">
        <v>0.93</v>
      </c>
      <c r="J487">
        <f>22+29</f>
        <v>51</v>
      </c>
      <c r="K487">
        <v>2</v>
      </c>
      <c r="L487">
        <v>29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15.037678</v>
      </c>
      <c r="P487">
        <f t="shared" si="15"/>
        <v>15.037678</v>
      </c>
      <c r="S487">
        <f t="shared" si="16"/>
        <v>0.67929029775000005</v>
      </c>
    </row>
    <row r="488" spans="1:19" x14ac:dyDescent="0.2">
      <c r="A488" s="9">
        <v>42692</v>
      </c>
      <c r="B488" s="8" t="s">
        <v>74</v>
      </c>
      <c r="C488">
        <v>24</v>
      </c>
      <c r="D488" s="8" t="s">
        <v>62</v>
      </c>
      <c r="E488">
        <v>330</v>
      </c>
      <c r="F488" s="8">
        <v>3.48</v>
      </c>
      <c r="H488">
        <v>38</v>
      </c>
      <c r="I488">
        <v>2.35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145.54471756000001</v>
      </c>
      <c r="P488">
        <f t="shared" si="15"/>
        <v>145.54471756000001</v>
      </c>
      <c r="S488">
        <f t="shared" si="16"/>
        <v>9.5114778839999996</v>
      </c>
    </row>
    <row r="489" spans="1:19" x14ac:dyDescent="0.2">
      <c r="A489" s="9">
        <v>42692</v>
      </c>
      <c r="B489" s="8" t="s">
        <v>74</v>
      </c>
      <c r="C489">
        <v>16</v>
      </c>
      <c r="D489" s="8"/>
      <c r="F489" s="8"/>
      <c r="H489" s="8"/>
      <c r="N489" t="s">
        <v>65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0</v>
      </c>
      <c r="P489">
        <f t="shared" si="15"/>
        <v>0</v>
      </c>
      <c r="S489">
        <f t="shared" si="16"/>
        <v>0</v>
      </c>
    </row>
    <row r="490" spans="1:19" x14ac:dyDescent="0.2">
      <c r="A490" s="9">
        <v>42692</v>
      </c>
      <c r="B490" s="8" t="s">
        <v>75</v>
      </c>
      <c r="C490">
        <v>46</v>
      </c>
      <c r="D490" s="8" t="s">
        <v>62</v>
      </c>
      <c r="E490">
        <v>342</v>
      </c>
      <c r="F490" s="8">
        <v>3.59</v>
      </c>
      <c r="H490" s="8">
        <v>45</v>
      </c>
      <c r="I490">
        <v>2.23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155.72474227000004</v>
      </c>
      <c r="P490">
        <f t="shared" si="15"/>
        <v>155.72474227000004</v>
      </c>
      <c r="S490">
        <f t="shared" si="16"/>
        <v>10.122281519749999</v>
      </c>
    </row>
    <row r="491" spans="1:19" x14ac:dyDescent="0.2">
      <c r="A491" s="9">
        <v>42692</v>
      </c>
      <c r="B491" s="8" t="s">
        <v>75</v>
      </c>
      <c r="C491">
        <v>46</v>
      </c>
      <c r="D491" s="8" t="s">
        <v>61</v>
      </c>
      <c r="F491" s="8">
        <v>5.75</v>
      </c>
      <c r="J491">
        <f>250+213+233+333+46+42+402</f>
        <v>1519</v>
      </c>
      <c r="K491">
        <v>7</v>
      </c>
      <c r="L491">
        <v>402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5.1938680000000161</v>
      </c>
      <c r="P491">
        <f t="shared" si="15"/>
        <v>5.1938680000000161</v>
      </c>
      <c r="S491">
        <f t="shared" si="16"/>
        <v>25.96720484375</v>
      </c>
    </row>
    <row r="492" spans="1:19" x14ac:dyDescent="0.2">
      <c r="A492" s="9">
        <v>42692</v>
      </c>
      <c r="B492" s="8" t="s">
        <v>75</v>
      </c>
      <c r="C492">
        <v>46</v>
      </c>
      <c r="D492" s="8" t="s">
        <v>61</v>
      </c>
      <c r="F492" s="8">
        <v>3.2</v>
      </c>
      <c r="H492" s="8"/>
      <c r="J492">
        <f>128+212+258+336</f>
        <v>934</v>
      </c>
      <c r="K492">
        <v>4</v>
      </c>
      <c r="L492">
        <v>336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-8.703577999999986</v>
      </c>
      <c r="P492" t="str">
        <f t="shared" si="15"/>
        <v xml:space="preserve"> </v>
      </c>
      <c r="S492">
        <f t="shared" si="16"/>
        <v>8.0424704000000009</v>
      </c>
    </row>
    <row r="493" spans="1:19" x14ac:dyDescent="0.2">
      <c r="A493" s="9">
        <v>42692</v>
      </c>
      <c r="B493" s="8" t="s">
        <v>75</v>
      </c>
      <c r="C493">
        <v>46</v>
      </c>
      <c r="D493" s="8" t="s">
        <v>61</v>
      </c>
      <c r="F493" s="8">
        <v>8.33</v>
      </c>
      <c r="J493">
        <f>297+324+398+357+409+406+416</f>
        <v>2607</v>
      </c>
      <c r="K493">
        <v>7</v>
      </c>
      <c r="L493">
        <v>416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102.98187799999999</v>
      </c>
      <c r="P493">
        <f t="shared" si="15"/>
        <v>102.98187799999999</v>
      </c>
      <c r="S493">
        <f t="shared" si="16"/>
        <v>54.497868587750006</v>
      </c>
    </row>
    <row r="494" spans="1:19" x14ac:dyDescent="0.2">
      <c r="A494" s="9">
        <v>42692</v>
      </c>
      <c r="B494" s="8" t="s">
        <v>75</v>
      </c>
      <c r="C494">
        <v>46</v>
      </c>
      <c r="D494" s="8" t="s">
        <v>61</v>
      </c>
      <c r="F494" s="8">
        <v>7.5</v>
      </c>
      <c r="H494" s="8"/>
      <c r="J494">
        <f>343+364+365+376</f>
        <v>1448</v>
      </c>
      <c r="K494">
        <v>4</v>
      </c>
      <c r="L494">
        <v>376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27.436692000000001</v>
      </c>
      <c r="P494">
        <f t="shared" si="15"/>
        <v>27.436692000000001</v>
      </c>
      <c r="S494">
        <f t="shared" si="16"/>
        <v>44.178609375000001</v>
      </c>
    </row>
    <row r="495" spans="1:19" x14ac:dyDescent="0.2">
      <c r="A495" s="9">
        <v>42692</v>
      </c>
      <c r="B495" s="8" t="s">
        <v>75</v>
      </c>
      <c r="C495">
        <v>46</v>
      </c>
      <c r="D495" s="8" t="s">
        <v>61</v>
      </c>
      <c r="F495" s="8">
        <v>6.71</v>
      </c>
      <c r="J495">
        <f>239+253+266+384+403+421+409</f>
        <v>2375</v>
      </c>
      <c r="K495">
        <v>7</v>
      </c>
      <c r="L495">
        <v>421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79.724493000000024</v>
      </c>
      <c r="P495">
        <f t="shared" si="15"/>
        <v>79.724493000000024</v>
      </c>
      <c r="S495">
        <f t="shared" si="16"/>
        <v>35.361815579749994</v>
      </c>
    </row>
    <row r="496" spans="1:19" x14ac:dyDescent="0.2">
      <c r="A496" s="9">
        <v>42692</v>
      </c>
      <c r="B496" s="8" t="s">
        <v>75</v>
      </c>
      <c r="C496" s="8">
        <v>34</v>
      </c>
      <c r="D496" s="8" t="s">
        <v>61</v>
      </c>
      <c r="F496" s="8">
        <v>3.69</v>
      </c>
      <c r="G496" s="8"/>
      <c r="I496" s="8"/>
      <c r="J496">
        <f>156+257+271+270+313+317+314</f>
        <v>1898</v>
      </c>
      <c r="K496">
        <v>7</v>
      </c>
      <c r="L496">
        <v>317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66.33283800000001</v>
      </c>
      <c r="P496">
        <f t="shared" si="15"/>
        <v>66.33283800000001</v>
      </c>
      <c r="S496">
        <f t="shared" si="16"/>
        <v>10.69405089975</v>
      </c>
    </row>
    <row r="497" spans="1:19" x14ac:dyDescent="0.2">
      <c r="A497" s="9">
        <v>42692</v>
      </c>
      <c r="B497" s="8" t="s">
        <v>75</v>
      </c>
      <c r="C497" s="8">
        <v>34</v>
      </c>
      <c r="D497" s="8" t="s">
        <v>62</v>
      </c>
      <c r="E497">
        <v>301</v>
      </c>
      <c r="F497" s="8">
        <v>3.58</v>
      </c>
      <c r="G497" s="8"/>
      <c r="H497">
        <v>30</v>
      </c>
      <c r="I497" s="8">
        <v>2.23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129.11952689999998</v>
      </c>
      <c r="P497">
        <f t="shared" si="15"/>
        <v>129.11952689999998</v>
      </c>
      <c r="S497">
        <f t="shared" si="16"/>
        <v>10.065968519</v>
      </c>
    </row>
    <row r="498" spans="1:19" x14ac:dyDescent="0.2">
      <c r="A498" s="9">
        <v>42692</v>
      </c>
      <c r="B498" s="8" t="s">
        <v>75</v>
      </c>
      <c r="C498" s="8">
        <v>34</v>
      </c>
      <c r="D498" s="8" t="s">
        <v>62</v>
      </c>
      <c r="E498">
        <v>291</v>
      </c>
      <c r="F498" s="8">
        <v>3.11</v>
      </c>
      <c r="G498" s="8"/>
      <c r="H498">
        <v>22</v>
      </c>
      <c r="I498" s="8">
        <v>1.88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103.46882651000001</v>
      </c>
      <c r="P498">
        <f t="shared" si="15"/>
        <v>103.46882651000001</v>
      </c>
      <c r="S498">
        <f t="shared" si="16"/>
        <v>7.5964431597499988</v>
      </c>
    </row>
    <row r="499" spans="1:19" x14ac:dyDescent="0.2">
      <c r="A499" s="9">
        <v>42692</v>
      </c>
      <c r="B499" s="8" t="s">
        <v>75</v>
      </c>
      <c r="C499" s="8">
        <v>34</v>
      </c>
      <c r="D499" s="8" t="s">
        <v>61</v>
      </c>
      <c r="F499" s="8">
        <v>4.5999999999999996</v>
      </c>
      <c r="G499" s="8"/>
      <c r="H499" s="8"/>
      <c r="I499" s="8"/>
      <c r="J499">
        <f>235+283+327+354+362+361</f>
        <v>1922</v>
      </c>
      <c r="K499">
        <v>6</v>
      </c>
      <c r="L499">
        <v>362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62.049286000000016</v>
      </c>
      <c r="P499">
        <f t="shared" si="15"/>
        <v>62.049286000000016</v>
      </c>
      <c r="S499">
        <f t="shared" si="16"/>
        <v>16.619011099999998</v>
      </c>
    </row>
    <row r="500" spans="1:19" x14ac:dyDescent="0.2">
      <c r="A500" s="9">
        <v>42692</v>
      </c>
      <c r="B500" s="8" t="s">
        <v>75</v>
      </c>
      <c r="C500" s="8">
        <v>34</v>
      </c>
      <c r="D500" s="8" t="s">
        <v>61</v>
      </c>
      <c r="F500" s="8">
        <v>3.1</v>
      </c>
      <c r="G500" s="8"/>
      <c r="I500" s="8"/>
      <c r="J500">
        <f>280+354+357+368</f>
        <v>1359</v>
      </c>
      <c r="K500">
        <v>4</v>
      </c>
      <c r="L500">
        <v>368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21.502457000000014</v>
      </c>
      <c r="P500">
        <f t="shared" si="15"/>
        <v>21.502457000000014</v>
      </c>
      <c r="S500">
        <f t="shared" si="16"/>
        <v>7.5476699750000007</v>
      </c>
    </row>
    <row r="501" spans="1:19" x14ac:dyDescent="0.2">
      <c r="A501" s="9">
        <v>42692</v>
      </c>
      <c r="B501" s="8" t="s">
        <v>75</v>
      </c>
      <c r="C501" s="8">
        <v>34</v>
      </c>
      <c r="D501" s="8" t="s">
        <v>61</v>
      </c>
      <c r="F501" s="8">
        <v>1.58</v>
      </c>
      <c r="J501">
        <f>104+131+189+154</f>
        <v>578</v>
      </c>
      <c r="K501">
        <v>4</v>
      </c>
      <c r="L501">
        <v>154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12.746232000000003</v>
      </c>
      <c r="P501">
        <f t="shared" si="15"/>
        <v>12.746232000000003</v>
      </c>
      <c r="S501">
        <f t="shared" si="16"/>
        <v>1.9606663190000002</v>
      </c>
    </row>
    <row r="502" spans="1:19" x14ac:dyDescent="0.2">
      <c r="A502" s="9">
        <v>42692</v>
      </c>
      <c r="B502" s="8" t="s">
        <v>75</v>
      </c>
      <c r="C502" s="8">
        <v>34</v>
      </c>
      <c r="D502" s="8" t="s">
        <v>61</v>
      </c>
      <c r="F502" s="8">
        <v>5.4</v>
      </c>
      <c r="G502" s="8"/>
      <c r="H502" s="8"/>
      <c r="I502" s="8"/>
      <c r="J502">
        <f>340+397+422+461+451+455+448</f>
        <v>2974</v>
      </c>
      <c r="K502">
        <v>7</v>
      </c>
      <c r="L502">
        <v>461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123.83393800000002</v>
      </c>
      <c r="P502">
        <f t="shared" si="15"/>
        <v>123.83393800000002</v>
      </c>
      <c r="S502">
        <f t="shared" si="16"/>
        <v>22.902191100000003</v>
      </c>
    </row>
    <row r="503" spans="1:19" x14ac:dyDescent="0.2">
      <c r="A503" s="9">
        <v>42692</v>
      </c>
      <c r="B503" s="8" t="s">
        <v>75</v>
      </c>
      <c r="C503" s="8">
        <v>21</v>
      </c>
      <c r="D503" s="8" t="s">
        <v>61</v>
      </c>
      <c r="F503" s="8">
        <v>2.9</v>
      </c>
      <c r="G503" s="8"/>
      <c r="I503" s="8"/>
      <c r="J503">
        <f>184+244+272+297</f>
        <v>997</v>
      </c>
      <c r="K503">
        <v>4</v>
      </c>
      <c r="L503">
        <v>297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8.9515420000000105</v>
      </c>
      <c r="P503">
        <f t="shared" si="15"/>
        <v>8.9515420000000105</v>
      </c>
      <c r="S503">
        <f t="shared" si="16"/>
        <v>6.6051929749999996</v>
      </c>
    </row>
    <row r="504" spans="1:19" x14ac:dyDescent="0.2">
      <c r="A504" s="9">
        <v>42692</v>
      </c>
      <c r="B504" s="8" t="s">
        <v>75</v>
      </c>
      <c r="C504" s="8">
        <v>21</v>
      </c>
      <c r="D504" s="8" t="s">
        <v>61</v>
      </c>
      <c r="F504" s="8">
        <v>5.55</v>
      </c>
      <c r="G504" s="8"/>
      <c r="I504" s="8"/>
      <c r="J504">
        <f>227+320+355+394+415+426+416</f>
        <v>2553</v>
      </c>
      <c r="K504">
        <v>7</v>
      </c>
      <c r="L504">
        <v>426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94.906657999999993</v>
      </c>
      <c r="P504">
        <f t="shared" si="15"/>
        <v>94.906657999999993</v>
      </c>
      <c r="S504">
        <f t="shared" si="16"/>
        <v>24.192206493749996</v>
      </c>
    </row>
    <row r="505" spans="1:19" x14ac:dyDescent="0.2">
      <c r="A505" s="9">
        <v>42692</v>
      </c>
      <c r="B505" s="8" t="s">
        <v>75</v>
      </c>
      <c r="C505" s="8">
        <v>21</v>
      </c>
      <c r="D505" s="8" t="s">
        <v>61</v>
      </c>
      <c r="F505" s="8">
        <v>1.86</v>
      </c>
      <c r="G505" s="8"/>
      <c r="I505" s="8"/>
      <c r="J505">
        <f>28+29+153+223</f>
        <v>433</v>
      </c>
      <c r="K505">
        <v>4</v>
      </c>
      <c r="L505">
        <v>223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-21.634147999999989</v>
      </c>
      <c r="P505" t="str">
        <f t="shared" si="15"/>
        <v xml:space="preserve"> </v>
      </c>
      <c r="S505">
        <f t="shared" si="16"/>
        <v>2.7171611910000002</v>
      </c>
    </row>
    <row r="506" spans="1:19" x14ac:dyDescent="0.2">
      <c r="A506" s="9">
        <v>42692</v>
      </c>
      <c r="B506" s="8" t="s">
        <v>75</v>
      </c>
      <c r="C506" s="8">
        <v>21</v>
      </c>
      <c r="D506" s="8" t="s">
        <v>61</v>
      </c>
      <c r="F506" s="8">
        <v>4.16</v>
      </c>
      <c r="I506" s="8"/>
      <c r="J506">
        <f>286+338+335+374+387</f>
        <v>1720</v>
      </c>
      <c r="K506">
        <v>5</v>
      </c>
      <c r="L506">
        <v>387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42.602004000000015</v>
      </c>
      <c r="P506">
        <f t="shared" si="15"/>
        <v>42.602004000000015</v>
      </c>
      <c r="S506">
        <f t="shared" si="16"/>
        <v>13.591774976000002</v>
      </c>
    </row>
    <row r="507" spans="1:19" x14ac:dyDescent="0.2">
      <c r="A507" s="9">
        <v>42692</v>
      </c>
      <c r="B507" s="8" t="s">
        <v>75</v>
      </c>
      <c r="C507" s="8">
        <v>21</v>
      </c>
      <c r="D507" s="8" t="s">
        <v>61</v>
      </c>
      <c r="F507" s="8">
        <v>4.7</v>
      </c>
      <c r="G507" s="8"/>
      <c r="J507">
        <f>184+302+357+368+401</f>
        <v>1612</v>
      </c>
      <c r="K507">
        <v>5</v>
      </c>
      <c r="L507">
        <v>401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28.259034000000007</v>
      </c>
      <c r="P507">
        <f t="shared" si="15"/>
        <v>28.259034000000007</v>
      </c>
      <c r="S507">
        <f t="shared" si="16"/>
        <v>17.349430775000002</v>
      </c>
    </row>
    <row r="508" spans="1:19" x14ac:dyDescent="0.2">
      <c r="A508" s="9">
        <v>42692</v>
      </c>
      <c r="B508" s="8" t="s">
        <v>75</v>
      </c>
      <c r="C508" s="8">
        <v>21</v>
      </c>
      <c r="D508" s="8" t="s">
        <v>61</v>
      </c>
      <c r="F508" s="8">
        <v>8.6199999999999992</v>
      </c>
      <c r="G508" s="8"/>
      <c r="I508" s="8"/>
      <c r="J508">
        <f>347+368+376+424+381+391+397+385+394</f>
        <v>3463</v>
      </c>
      <c r="K508">
        <v>9</v>
      </c>
      <c r="L508">
        <v>424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166.78149200000001</v>
      </c>
      <c r="P508">
        <f t="shared" si="15"/>
        <v>166.78149200000001</v>
      </c>
      <c r="S508">
        <f t="shared" si="16"/>
        <v>58.358489998999985</v>
      </c>
    </row>
    <row r="509" spans="1:19" x14ac:dyDescent="0.2">
      <c r="A509" s="9">
        <v>42692</v>
      </c>
      <c r="B509" s="8" t="s">
        <v>75</v>
      </c>
      <c r="C509" s="8">
        <v>21</v>
      </c>
      <c r="D509" s="8" t="s">
        <v>61</v>
      </c>
      <c r="F509" s="8">
        <v>5.29</v>
      </c>
      <c r="H509" s="8"/>
      <c r="J509">
        <f>256+278+323+356+363</f>
        <v>1576</v>
      </c>
      <c r="K509">
        <v>5</v>
      </c>
      <c r="L509">
        <v>363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36.331164000000008</v>
      </c>
      <c r="P509">
        <f t="shared" si="15"/>
        <v>36.331164000000008</v>
      </c>
      <c r="S509">
        <f t="shared" si="16"/>
        <v>21.97864217975</v>
      </c>
    </row>
    <row r="510" spans="1:19" x14ac:dyDescent="0.2">
      <c r="A510" s="9">
        <v>42692</v>
      </c>
      <c r="B510" s="8" t="s">
        <v>75</v>
      </c>
      <c r="C510" s="8">
        <v>18</v>
      </c>
      <c r="D510" s="8"/>
      <c r="F510" s="8"/>
      <c r="N510" t="s">
        <v>65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0</v>
      </c>
      <c r="P510">
        <f t="shared" si="15"/>
        <v>0</v>
      </c>
      <c r="S510">
        <f t="shared" si="16"/>
        <v>0</v>
      </c>
    </row>
    <row r="511" spans="1:19" x14ac:dyDescent="0.2">
      <c r="A511" s="9">
        <v>42692</v>
      </c>
      <c r="B511" s="8" t="s">
        <v>75</v>
      </c>
      <c r="C511" s="8">
        <v>6</v>
      </c>
      <c r="D511" s="8" t="s">
        <v>64</v>
      </c>
      <c r="E511">
        <v>198</v>
      </c>
      <c r="F511" s="8">
        <v>1.3</v>
      </c>
      <c r="G511" s="8">
        <v>2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7.6244058000000008</v>
      </c>
      <c r="P511">
        <f t="shared" si="15"/>
        <v>7.6244058000000008</v>
      </c>
      <c r="S511">
        <f t="shared" si="16"/>
        <v>1.3273217750000001</v>
      </c>
    </row>
    <row r="512" spans="1:19" x14ac:dyDescent="0.2">
      <c r="A512" s="9">
        <v>42692</v>
      </c>
      <c r="B512" s="8" t="s">
        <v>75</v>
      </c>
      <c r="C512" s="8">
        <v>6</v>
      </c>
      <c r="D512" s="8" t="s">
        <v>64</v>
      </c>
      <c r="E512">
        <v>238</v>
      </c>
      <c r="F512" s="8">
        <v>1.29</v>
      </c>
      <c r="G512">
        <v>2</v>
      </c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9.1646898000000014</v>
      </c>
      <c r="P512">
        <f t="shared" si="15"/>
        <v>9.1646898000000014</v>
      </c>
      <c r="S512">
        <f t="shared" si="16"/>
        <v>1.3069799797500001</v>
      </c>
    </row>
    <row r="513" spans="1:19" x14ac:dyDescent="0.2">
      <c r="A513" s="9">
        <v>42692</v>
      </c>
      <c r="B513" s="8" t="s">
        <v>75</v>
      </c>
      <c r="C513" s="8">
        <v>6</v>
      </c>
      <c r="D513" s="8" t="s">
        <v>64</v>
      </c>
      <c r="E513">
        <v>206</v>
      </c>
      <c r="F513" s="8">
        <v>1.38</v>
      </c>
      <c r="H513" s="8"/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9.851033000000001</v>
      </c>
      <c r="P513">
        <f t="shared" si="15"/>
        <v>9.851033000000001</v>
      </c>
      <c r="S513">
        <f t="shared" si="16"/>
        <v>1.4957109989999997</v>
      </c>
    </row>
    <row r="514" spans="1:19" x14ac:dyDescent="0.2">
      <c r="A514" s="9">
        <v>42692</v>
      </c>
      <c r="B514" s="8" t="s">
        <v>75</v>
      </c>
      <c r="C514" s="8">
        <v>6</v>
      </c>
      <c r="D514" s="8" t="s">
        <v>64</v>
      </c>
      <c r="E514">
        <v>227</v>
      </c>
      <c r="F514" s="8">
        <v>0.81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11.323238</v>
      </c>
      <c r="P514">
        <f t="shared" si="15"/>
        <v>11.323238</v>
      </c>
      <c r="S514">
        <f t="shared" si="16"/>
        <v>0.51529929975000011</v>
      </c>
    </row>
    <row r="515" spans="1:19" x14ac:dyDescent="0.2">
      <c r="A515" s="9">
        <v>42692</v>
      </c>
      <c r="B515" s="8" t="s">
        <v>75</v>
      </c>
      <c r="C515" s="8">
        <v>6</v>
      </c>
      <c r="D515" s="8" t="s">
        <v>64</v>
      </c>
      <c r="E515">
        <v>208</v>
      </c>
      <c r="F515" s="8">
        <v>1.42</v>
      </c>
      <c r="G515">
        <v>3</v>
      </c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8.0094767999999998</v>
      </c>
      <c r="P515">
        <f t="shared" si="15"/>
        <v>8.0094767999999998</v>
      </c>
      <c r="S515">
        <f t="shared" si="16"/>
        <v>1.5836755189999998</v>
      </c>
    </row>
    <row r="516" spans="1:19" x14ac:dyDescent="0.2">
      <c r="A516" s="9">
        <v>42692</v>
      </c>
      <c r="B516" s="8" t="s">
        <v>75</v>
      </c>
      <c r="C516" s="8">
        <v>6</v>
      </c>
      <c r="D516" s="8" t="s">
        <v>64</v>
      </c>
      <c r="E516">
        <v>198</v>
      </c>
      <c r="F516" s="8">
        <v>1.05</v>
      </c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9.2901929999999986</v>
      </c>
      <c r="P516">
        <f t="shared" si="15"/>
        <v>9.2901929999999986</v>
      </c>
      <c r="S516">
        <f t="shared" si="16"/>
        <v>0.86590074375000003</v>
      </c>
    </row>
    <row r="517" spans="1:19" x14ac:dyDescent="0.2">
      <c r="A517" s="9">
        <v>42692</v>
      </c>
      <c r="B517" s="8" t="s">
        <v>75</v>
      </c>
      <c r="C517" s="8">
        <v>6</v>
      </c>
      <c r="D517" s="8" t="s">
        <v>64</v>
      </c>
      <c r="E517">
        <v>237</v>
      </c>
      <c r="F517" s="8">
        <v>1.32</v>
      </c>
      <c r="G517">
        <v>3</v>
      </c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9.1261827000000011</v>
      </c>
      <c r="P517">
        <f t="shared" si="15"/>
        <v>9.1261827000000011</v>
      </c>
      <c r="S517">
        <f t="shared" si="16"/>
        <v>1.368476604</v>
      </c>
    </row>
    <row r="518" spans="1:19" x14ac:dyDescent="0.2">
      <c r="A518" s="9">
        <v>42692</v>
      </c>
      <c r="B518" s="8" t="s">
        <v>75</v>
      </c>
      <c r="C518" s="8">
        <v>6</v>
      </c>
      <c r="D518" s="8" t="s">
        <v>64</v>
      </c>
      <c r="E518">
        <v>136</v>
      </c>
      <c r="F518" s="8">
        <v>0.67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4.9436830000000009</v>
      </c>
      <c r="P518">
        <f t="shared" ref="P518:P565" si="17">IF(O518&lt;0," ",O518)</f>
        <v>4.9436830000000009</v>
      </c>
      <c r="S518">
        <f t="shared" ref="S518:S570" si="18">3.14159*((F518/2)^2)</f>
        <v>0.35256493775000003</v>
      </c>
    </row>
    <row r="519" spans="1:19" x14ac:dyDescent="0.2">
      <c r="A519" s="9">
        <v>42692</v>
      </c>
      <c r="B519" s="8" t="s">
        <v>75</v>
      </c>
      <c r="C519" s="8">
        <v>6</v>
      </c>
      <c r="D519" s="8" t="s">
        <v>64</v>
      </c>
      <c r="E519">
        <v>192</v>
      </c>
      <c r="F519" s="8">
        <v>1.42</v>
      </c>
      <c r="G519">
        <v>3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7.3933632000000005</v>
      </c>
      <c r="P519">
        <f t="shared" si="17"/>
        <v>7.3933632000000005</v>
      </c>
      <c r="S519">
        <f t="shared" si="18"/>
        <v>1.5836755189999998</v>
      </c>
    </row>
    <row r="520" spans="1:19" x14ac:dyDescent="0.2">
      <c r="A520" s="9">
        <v>42692</v>
      </c>
      <c r="B520" s="8" t="s">
        <v>75</v>
      </c>
      <c r="C520" s="8">
        <v>6</v>
      </c>
      <c r="D520" s="8" t="s">
        <v>64</v>
      </c>
      <c r="E520">
        <v>194</v>
      </c>
      <c r="F520" s="8">
        <v>1.07</v>
      </c>
      <c r="G520">
        <v>3</v>
      </c>
      <c r="H520" s="8"/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7.4703774000000003</v>
      </c>
      <c r="P520">
        <f t="shared" si="17"/>
        <v>7.4703774000000003</v>
      </c>
      <c r="S520">
        <f t="shared" si="18"/>
        <v>0.89920159774999997</v>
      </c>
    </row>
    <row r="521" spans="1:19" x14ac:dyDescent="0.2">
      <c r="A521" s="9">
        <v>42692</v>
      </c>
      <c r="B521" s="8" t="s">
        <v>75</v>
      </c>
      <c r="C521" s="8">
        <v>6</v>
      </c>
      <c r="D521" s="8" t="s">
        <v>64</v>
      </c>
      <c r="E521" s="8">
        <v>206</v>
      </c>
      <c r="F521" s="8">
        <v>1.24</v>
      </c>
      <c r="H521" s="8"/>
      <c r="I521" s="8"/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9.851033000000001</v>
      </c>
      <c r="P521">
        <f t="shared" si="17"/>
        <v>9.851033000000001</v>
      </c>
      <c r="S521">
        <f t="shared" si="18"/>
        <v>1.207627196</v>
      </c>
    </row>
    <row r="522" spans="1:19" x14ac:dyDescent="0.2">
      <c r="A522" s="9">
        <v>42692</v>
      </c>
      <c r="B522" s="8" t="s">
        <v>75</v>
      </c>
      <c r="C522" s="8">
        <v>6</v>
      </c>
      <c r="D522" s="8" t="s">
        <v>64</v>
      </c>
      <c r="E522">
        <v>236</v>
      </c>
      <c r="F522" s="8">
        <v>1.35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11.954183</v>
      </c>
      <c r="P522">
        <f t="shared" si="17"/>
        <v>11.954183</v>
      </c>
      <c r="S522">
        <f t="shared" si="18"/>
        <v>1.4313869437500002</v>
      </c>
    </row>
    <row r="523" spans="1:19" x14ac:dyDescent="0.2">
      <c r="A523" s="9">
        <v>42692</v>
      </c>
      <c r="B523" s="8" t="s">
        <v>75</v>
      </c>
      <c r="C523" s="8">
        <v>6</v>
      </c>
      <c r="D523" s="8" t="s">
        <v>64</v>
      </c>
      <c r="E523">
        <v>207</v>
      </c>
      <c r="F523" s="8">
        <v>1.23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9.9211379999999991</v>
      </c>
      <c r="P523">
        <f t="shared" si="17"/>
        <v>9.9211379999999991</v>
      </c>
      <c r="S523">
        <f t="shared" si="18"/>
        <v>1.1882278777499999</v>
      </c>
    </row>
    <row r="524" spans="1:19" x14ac:dyDescent="0.2">
      <c r="A524" s="9">
        <v>42692</v>
      </c>
      <c r="B524" s="8" t="s">
        <v>75</v>
      </c>
      <c r="C524" s="8">
        <v>6</v>
      </c>
      <c r="D524" s="8" t="s">
        <v>64</v>
      </c>
      <c r="E524">
        <v>173</v>
      </c>
      <c r="F524" s="8">
        <v>1.22</v>
      </c>
      <c r="H524" s="8"/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7.5375680000000012</v>
      </c>
      <c r="P524">
        <f t="shared" si="17"/>
        <v>7.5375680000000012</v>
      </c>
      <c r="S524">
        <f t="shared" si="18"/>
        <v>1.168985639</v>
      </c>
    </row>
    <row r="525" spans="1:19" x14ac:dyDescent="0.2">
      <c r="A525" s="9">
        <v>42692</v>
      </c>
      <c r="B525" s="8" t="s">
        <v>75</v>
      </c>
      <c r="C525" s="8">
        <v>6</v>
      </c>
      <c r="D525" s="8" t="s">
        <v>64</v>
      </c>
      <c r="E525">
        <v>178</v>
      </c>
      <c r="F525" s="8">
        <v>0.72</v>
      </c>
      <c r="H525" s="8"/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7.8880930000000005</v>
      </c>
      <c r="P525">
        <f t="shared" si="17"/>
        <v>7.8880930000000005</v>
      </c>
      <c r="S525">
        <f t="shared" si="18"/>
        <v>0.40715006399999998</v>
      </c>
    </row>
    <row r="526" spans="1:19" x14ac:dyDescent="0.2">
      <c r="A526" s="9">
        <v>42704</v>
      </c>
      <c r="B526" s="8" t="s">
        <v>76</v>
      </c>
      <c r="C526" s="8">
        <v>47</v>
      </c>
      <c r="D526" s="8" t="s">
        <v>64</v>
      </c>
      <c r="E526">
        <v>351</v>
      </c>
      <c r="F526" s="8">
        <v>1.58</v>
      </c>
      <c r="G526" s="8"/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20.016258000000001</v>
      </c>
      <c r="P526">
        <f t="shared" si="17"/>
        <v>20.016258000000001</v>
      </c>
      <c r="S526">
        <f t="shared" si="18"/>
        <v>1.9606663190000002</v>
      </c>
    </row>
    <row r="527" spans="1:19" x14ac:dyDescent="0.2">
      <c r="A527" s="9">
        <v>42704</v>
      </c>
      <c r="B527" s="8" t="s">
        <v>76</v>
      </c>
      <c r="C527" s="8">
        <v>47</v>
      </c>
      <c r="D527" s="8" t="s">
        <v>64</v>
      </c>
      <c r="E527">
        <v>103</v>
      </c>
      <c r="F527" s="8">
        <v>1.1499999999999999</v>
      </c>
      <c r="H527" s="8"/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2.6302180000000002</v>
      </c>
      <c r="P527">
        <f t="shared" si="17"/>
        <v>2.6302180000000002</v>
      </c>
      <c r="S527">
        <f t="shared" si="18"/>
        <v>1.0386881937499999</v>
      </c>
    </row>
    <row r="528" spans="1:19" x14ac:dyDescent="0.2">
      <c r="A528" s="9">
        <v>42704</v>
      </c>
      <c r="B528" s="8" t="s">
        <v>76</v>
      </c>
      <c r="C528" s="8">
        <v>47</v>
      </c>
      <c r="D528" s="8" t="s">
        <v>64</v>
      </c>
      <c r="E528">
        <v>155</v>
      </c>
      <c r="F528" s="8">
        <v>1.37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6.2756780000000001</v>
      </c>
      <c r="P528">
        <f t="shared" si="17"/>
        <v>6.2756780000000001</v>
      </c>
      <c r="S528">
        <f t="shared" si="18"/>
        <v>1.4741125677500002</v>
      </c>
    </row>
    <row r="529" spans="1:19" x14ac:dyDescent="0.2">
      <c r="A529" s="9">
        <v>42704</v>
      </c>
      <c r="B529" s="8" t="s">
        <v>76</v>
      </c>
      <c r="C529" s="8">
        <v>47</v>
      </c>
      <c r="D529" s="8" t="s">
        <v>64</v>
      </c>
      <c r="E529">
        <v>83</v>
      </c>
      <c r="F529" s="8">
        <v>1.08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1.2281180000000003</v>
      </c>
      <c r="P529">
        <f t="shared" si="17"/>
        <v>1.2281180000000003</v>
      </c>
      <c r="S529">
        <f t="shared" si="18"/>
        <v>0.91608764400000009</v>
      </c>
    </row>
    <row r="530" spans="1:19" x14ac:dyDescent="0.2">
      <c r="A530" s="9">
        <v>42704</v>
      </c>
      <c r="B530" s="8" t="s">
        <v>76</v>
      </c>
      <c r="C530" s="8">
        <v>47</v>
      </c>
      <c r="D530" s="8" t="s">
        <v>64</v>
      </c>
      <c r="E530">
        <v>325</v>
      </c>
      <c r="F530" s="8">
        <v>1.51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18.193528000000001</v>
      </c>
      <c r="P530">
        <f t="shared" si="17"/>
        <v>18.193528000000001</v>
      </c>
      <c r="S530">
        <f t="shared" si="18"/>
        <v>1.7907848397499999</v>
      </c>
    </row>
    <row r="531" spans="1:19" x14ac:dyDescent="0.2">
      <c r="A531" s="9">
        <v>42704</v>
      </c>
      <c r="B531" s="8" t="s">
        <v>76</v>
      </c>
      <c r="C531" s="8">
        <v>47</v>
      </c>
      <c r="D531" s="8" t="s">
        <v>64</v>
      </c>
      <c r="E531">
        <v>108</v>
      </c>
      <c r="F531" s="8">
        <v>1.04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2.9807430000000004</v>
      </c>
      <c r="P531">
        <f t="shared" si="17"/>
        <v>2.9807430000000004</v>
      </c>
      <c r="S531">
        <f t="shared" si="18"/>
        <v>0.84948593600000011</v>
      </c>
    </row>
    <row r="532" spans="1:19" x14ac:dyDescent="0.2">
      <c r="A532" s="9">
        <v>42704</v>
      </c>
      <c r="B532" s="8" t="s">
        <v>76</v>
      </c>
      <c r="C532" s="8">
        <v>47</v>
      </c>
      <c r="D532" s="8" t="s">
        <v>61</v>
      </c>
      <c r="F532" s="8">
        <v>1.84</v>
      </c>
      <c r="J532">
        <f>31+46+56+78+87</f>
        <v>298</v>
      </c>
      <c r="K532">
        <v>5</v>
      </c>
      <c r="L532">
        <v>87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-0.34410600000000358</v>
      </c>
      <c r="P532" t="str">
        <f t="shared" si="17"/>
        <v xml:space="preserve"> </v>
      </c>
      <c r="S532">
        <f t="shared" si="18"/>
        <v>2.659041776</v>
      </c>
    </row>
    <row r="533" spans="1:19" x14ac:dyDescent="0.2">
      <c r="A533" s="9">
        <v>42704</v>
      </c>
      <c r="B533" s="8" t="s">
        <v>76</v>
      </c>
      <c r="C533" s="8">
        <v>47</v>
      </c>
      <c r="D533" s="8" t="s">
        <v>61</v>
      </c>
      <c r="F533" s="8">
        <v>0.53</v>
      </c>
      <c r="J533">
        <v>19</v>
      </c>
      <c r="K533">
        <v>1</v>
      </c>
      <c r="L533">
        <v>19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22.072320999999995</v>
      </c>
      <c r="P533">
        <f t="shared" si="17"/>
        <v>22.072320999999995</v>
      </c>
      <c r="S533">
        <f t="shared" si="18"/>
        <v>0.22061815775000002</v>
      </c>
    </row>
    <row r="534" spans="1:19" x14ac:dyDescent="0.2">
      <c r="A534" s="9">
        <v>42704</v>
      </c>
      <c r="B534" s="8" t="s">
        <v>76</v>
      </c>
      <c r="C534" s="8">
        <v>47</v>
      </c>
      <c r="D534" s="8" t="s">
        <v>61</v>
      </c>
      <c r="F534" s="8">
        <v>1.42</v>
      </c>
      <c r="J534">
        <f>59+65+66+74</f>
        <v>264</v>
      </c>
      <c r="K534">
        <v>4</v>
      </c>
      <c r="L534">
        <v>74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7.406761999999997</v>
      </c>
      <c r="P534">
        <f t="shared" si="17"/>
        <v>7.406761999999997</v>
      </c>
      <c r="S534">
        <f t="shared" si="18"/>
        <v>1.5836755189999998</v>
      </c>
    </row>
    <row r="535" spans="1:19" x14ac:dyDescent="0.2">
      <c r="A535" s="9">
        <v>42704</v>
      </c>
      <c r="B535" s="8" t="s">
        <v>76</v>
      </c>
      <c r="C535" s="8">
        <v>47</v>
      </c>
      <c r="D535" s="8" t="s">
        <v>61</v>
      </c>
      <c r="F535" s="8">
        <v>0.87</v>
      </c>
      <c r="J535">
        <f>15+17</f>
        <v>32</v>
      </c>
      <c r="K535">
        <v>2</v>
      </c>
      <c r="L535">
        <v>17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16.871272999999995</v>
      </c>
      <c r="P535">
        <f t="shared" si="17"/>
        <v>16.871272999999995</v>
      </c>
      <c r="S535">
        <f t="shared" si="18"/>
        <v>0.59446736774999998</v>
      </c>
    </row>
    <row r="536" spans="1:19" x14ac:dyDescent="0.2">
      <c r="A536" s="9">
        <v>42704</v>
      </c>
      <c r="B536" s="8" t="s">
        <v>76</v>
      </c>
      <c r="C536" s="8">
        <v>47</v>
      </c>
      <c r="D536" s="8" t="s">
        <v>62</v>
      </c>
      <c r="E536">
        <v>328</v>
      </c>
      <c r="F536" s="8">
        <v>1.91</v>
      </c>
      <c r="H536">
        <v>29</v>
      </c>
      <c r="I536">
        <v>1.8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96.710428270000023</v>
      </c>
      <c r="P536">
        <f t="shared" si="17"/>
        <v>96.710428270000023</v>
      </c>
      <c r="S536">
        <f t="shared" si="18"/>
        <v>2.8652086197499997</v>
      </c>
    </row>
    <row r="537" spans="1:19" x14ac:dyDescent="0.2">
      <c r="A537" s="9">
        <v>42704</v>
      </c>
      <c r="B537" s="8" t="s">
        <v>76</v>
      </c>
      <c r="C537" s="8">
        <v>47</v>
      </c>
      <c r="D537" s="8" t="s">
        <v>62</v>
      </c>
      <c r="E537">
        <v>321</v>
      </c>
      <c r="F537" s="8">
        <v>2.19</v>
      </c>
      <c r="H537">
        <v>33</v>
      </c>
      <c r="I537">
        <v>2.2999999999999998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112.43557643</v>
      </c>
      <c r="P537">
        <f t="shared" si="17"/>
        <v>112.43557643</v>
      </c>
      <c r="S537">
        <f t="shared" si="18"/>
        <v>3.7668449497499998</v>
      </c>
    </row>
    <row r="538" spans="1:19" x14ac:dyDescent="0.2">
      <c r="A538" s="9">
        <v>42704</v>
      </c>
      <c r="B538" s="8" t="s">
        <v>76</v>
      </c>
      <c r="C538" s="8">
        <v>47</v>
      </c>
      <c r="D538" s="8" t="s">
        <v>62</v>
      </c>
      <c r="E538">
        <v>423</v>
      </c>
      <c r="F538" s="8">
        <v>2.36</v>
      </c>
      <c r="H538">
        <v>36</v>
      </c>
      <c r="I538">
        <v>2.4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151.24470511999996</v>
      </c>
      <c r="P538">
        <f t="shared" si="17"/>
        <v>151.24470511999996</v>
      </c>
      <c r="S538">
        <f t="shared" si="18"/>
        <v>4.374349915999999</v>
      </c>
    </row>
    <row r="539" spans="1:19" x14ac:dyDescent="0.2">
      <c r="A539" s="9">
        <v>42704</v>
      </c>
      <c r="B539" s="8" t="s">
        <v>76</v>
      </c>
      <c r="C539" s="8">
        <v>39</v>
      </c>
      <c r="D539" s="8" t="s">
        <v>64</v>
      </c>
      <c r="E539">
        <v>23</v>
      </c>
      <c r="F539" s="8">
        <v>0.77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-2.9781819999999999</v>
      </c>
      <c r="P539" t="str">
        <f t="shared" si="17"/>
        <v xml:space="preserve"> </v>
      </c>
      <c r="S539">
        <f t="shared" si="18"/>
        <v>0.46566217774999996</v>
      </c>
    </row>
    <row r="540" spans="1:19" x14ac:dyDescent="0.2">
      <c r="A540" s="9">
        <v>42704</v>
      </c>
      <c r="B540" s="8" t="s">
        <v>76</v>
      </c>
      <c r="C540" s="8">
        <v>39</v>
      </c>
      <c r="D540" s="8" t="s">
        <v>64</v>
      </c>
      <c r="E540">
        <v>225</v>
      </c>
      <c r="F540" s="8">
        <v>1.02</v>
      </c>
      <c r="H540" s="8"/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11.183028</v>
      </c>
      <c r="P540">
        <f t="shared" si="17"/>
        <v>11.183028</v>
      </c>
      <c r="S540">
        <f t="shared" si="18"/>
        <v>0.817127559</v>
      </c>
    </row>
    <row r="541" spans="1:19" x14ac:dyDescent="0.2">
      <c r="A541" s="9">
        <v>42704</v>
      </c>
      <c r="B541" s="8" t="s">
        <v>76</v>
      </c>
      <c r="C541" s="8">
        <v>39</v>
      </c>
      <c r="D541" s="8" t="s">
        <v>64</v>
      </c>
      <c r="E541">
        <v>415</v>
      </c>
      <c r="F541" s="8">
        <v>1.33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24.502978000000002</v>
      </c>
      <c r="P541">
        <f t="shared" si="17"/>
        <v>24.502978000000002</v>
      </c>
      <c r="S541">
        <f t="shared" si="18"/>
        <v>1.3892896377500001</v>
      </c>
    </row>
    <row r="542" spans="1:19" x14ac:dyDescent="0.2">
      <c r="A542" s="9">
        <v>42704</v>
      </c>
      <c r="B542" s="8" t="s">
        <v>76</v>
      </c>
      <c r="C542" s="8">
        <v>39</v>
      </c>
      <c r="D542" s="8" t="s">
        <v>64</v>
      </c>
      <c r="E542">
        <v>261</v>
      </c>
      <c r="F542" s="8">
        <v>1.61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13.706808000000002</v>
      </c>
      <c r="P542">
        <f t="shared" si="17"/>
        <v>13.706808000000002</v>
      </c>
      <c r="S542">
        <f t="shared" si="18"/>
        <v>2.0358288597500001</v>
      </c>
    </row>
    <row r="543" spans="1:19" x14ac:dyDescent="0.2">
      <c r="A543" s="9">
        <v>42704</v>
      </c>
      <c r="B543" s="8" t="s">
        <v>76</v>
      </c>
      <c r="C543" s="8">
        <v>39</v>
      </c>
      <c r="D543" s="8" t="s">
        <v>64</v>
      </c>
      <c r="E543">
        <v>380</v>
      </c>
      <c r="F543" s="8">
        <v>1.99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22.049303000000002</v>
      </c>
      <c r="P543">
        <f t="shared" si="17"/>
        <v>22.049303000000002</v>
      </c>
      <c r="S543">
        <f t="shared" si="18"/>
        <v>3.1102526397500001</v>
      </c>
    </row>
    <row r="544" spans="1:19" x14ac:dyDescent="0.2">
      <c r="A544" s="9">
        <v>42704</v>
      </c>
      <c r="B544" s="8" t="s">
        <v>76</v>
      </c>
      <c r="C544" s="8">
        <v>39</v>
      </c>
      <c r="D544" s="8" t="s">
        <v>64</v>
      </c>
      <c r="E544">
        <v>238</v>
      </c>
      <c r="F544" s="8">
        <v>1.06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12.094393</v>
      </c>
      <c r="P544">
        <f t="shared" si="17"/>
        <v>12.094393</v>
      </c>
      <c r="S544">
        <f t="shared" si="18"/>
        <v>0.88247263100000006</v>
      </c>
    </row>
    <row r="545" spans="1:19" x14ac:dyDescent="0.2">
      <c r="A545" s="9">
        <v>42704</v>
      </c>
      <c r="B545" s="8" t="s">
        <v>76</v>
      </c>
      <c r="C545" s="8">
        <v>39</v>
      </c>
      <c r="D545" s="8" t="s">
        <v>64</v>
      </c>
      <c r="E545">
        <v>287</v>
      </c>
      <c r="F545" s="8">
        <v>0.85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15.529538000000002</v>
      </c>
      <c r="P545">
        <f t="shared" si="17"/>
        <v>15.529538000000002</v>
      </c>
      <c r="S545">
        <f t="shared" si="18"/>
        <v>0.56744969374999987</v>
      </c>
    </row>
    <row r="546" spans="1:19" x14ac:dyDescent="0.2">
      <c r="A546" s="9">
        <v>42704</v>
      </c>
      <c r="B546" s="8" t="s">
        <v>76</v>
      </c>
      <c r="C546" s="8">
        <v>39</v>
      </c>
      <c r="D546" s="8" t="s">
        <v>64</v>
      </c>
      <c r="E546">
        <v>265</v>
      </c>
      <c r="F546" s="8">
        <v>1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13.987228000000002</v>
      </c>
      <c r="P546">
        <f t="shared" si="17"/>
        <v>13.987228000000002</v>
      </c>
      <c r="S546">
        <f t="shared" si="18"/>
        <v>0.78539749999999997</v>
      </c>
    </row>
    <row r="547" spans="1:19" x14ac:dyDescent="0.2">
      <c r="A547" s="9">
        <v>42704</v>
      </c>
      <c r="B547" s="8" t="s">
        <v>76</v>
      </c>
      <c r="C547" s="8">
        <v>39</v>
      </c>
      <c r="D547" s="8" t="s">
        <v>64</v>
      </c>
      <c r="E547">
        <v>265</v>
      </c>
      <c r="F547" s="8">
        <v>1.2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13.987228000000002</v>
      </c>
      <c r="P547">
        <f t="shared" si="17"/>
        <v>13.987228000000002</v>
      </c>
      <c r="S547">
        <f t="shared" si="18"/>
        <v>1.1309723999999999</v>
      </c>
    </row>
    <row r="548" spans="1:19" x14ac:dyDescent="0.2">
      <c r="A548" s="9">
        <v>42704</v>
      </c>
      <c r="B548" s="8" t="s">
        <v>76</v>
      </c>
      <c r="C548" s="8">
        <v>39</v>
      </c>
      <c r="D548" s="8" t="s">
        <v>64</v>
      </c>
      <c r="E548">
        <v>330</v>
      </c>
      <c r="F548" s="8">
        <v>0.79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18.544053000000002</v>
      </c>
      <c r="P548">
        <f t="shared" si="17"/>
        <v>18.544053000000002</v>
      </c>
      <c r="S548">
        <f t="shared" si="18"/>
        <v>0.49016657975000005</v>
      </c>
    </row>
    <row r="549" spans="1:19" x14ac:dyDescent="0.2">
      <c r="A549" s="9">
        <v>42704</v>
      </c>
      <c r="B549" s="8" t="s">
        <v>76</v>
      </c>
      <c r="C549" s="8">
        <v>39</v>
      </c>
      <c r="D549" s="8" t="s">
        <v>64</v>
      </c>
      <c r="E549">
        <v>292</v>
      </c>
      <c r="F549" s="8">
        <v>1.29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15.880063</v>
      </c>
      <c r="P549">
        <f t="shared" si="17"/>
        <v>15.880063</v>
      </c>
      <c r="S549">
        <f t="shared" si="18"/>
        <v>1.3069799797500001</v>
      </c>
    </row>
    <row r="550" spans="1:19" x14ac:dyDescent="0.2">
      <c r="A550" s="9">
        <v>42704</v>
      </c>
      <c r="B550" s="8" t="s">
        <v>76</v>
      </c>
      <c r="C550" s="8">
        <v>39</v>
      </c>
      <c r="D550" s="8" t="s">
        <v>64</v>
      </c>
      <c r="E550">
        <v>293</v>
      </c>
      <c r="F550" s="8">
        <v>1.25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15.950168000000001</v>
      </c>
      <c r="P550">
        <f t="shared" si="17"/>
        <v>15.950168000000001</v>
      </c>
      <c r="S550">
        <f t="shared" si="18"/>
        <v>1.22718359375</v>
      </c>
    </row>
    <row r="551" spans="1:19" x14ac:dyDescent="0.2">
      <c r="A551" s="9">
        <v>42704</v>
      </c>
      <c r="B551" s="8" t="s">
        <v>76</v>
      </c>
      <c r="C551" s="8">
        <v>39</v>
      </c>
      <c r="D551" s="8" t="s">
        <v>64</v>
      </c>
      <c r="E551">
        <v>222</v>
      </c>
      <c r="F551" s="8">
        <v>0.81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10.972712999999999</v>
      </c>
      <c r="P551">
        <f t="shared" si="17"/>
        <v>10.972712999999999</v>
      </c>
      <c r="S551">
        <f t="shared" si="18"/>
        <v>0.51529929975000011</v>
      </c>
    </row>
    <row r="552" spans="1:19" x14ac:dyDescent="0.2">
      <c r="A552" s="9">
        <v>42704</v>
      </c>
      <c r="B552" s="8" t="s">
        <v>76</v>
      </c>
      <c r="C552" s="8">
        <v>39</v>
      </c>
      <c r="D552" s="8" t="s">
        <v>64</v>
      </c>
      <c r="E552">
        <v>198</v>
      </c>
      <c r="F552" s="8">
        <v>0.77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9.2901929999999986</v>
      </c>
      <c r="P552">
        <f t="shared" si="17"/>
        <v>9.2901929999999986</v>
      </c>
      <c r="S552">
        <f t="shared" si="18"/>
        <v>0.46566217774999996</v>
      </c>
    </row>
    <row r="553" spans="1:19" x14ac:dyDescent="0.2">
      <c r="A553" s="9">
        <v>42704</v>
      </c>
      <c r="B553" s="8" t="s">
        <v>76</v>
      </c>
      <c r="C553" s="8">
        <v>39</v>
      </c>
      <c r="D553" s="8" t="s">
        <v>64</v>
      </c>
      <c r="E553">
        <v>252</v>
      </c>
      <c r="F553" s="8">
        <v>1.1499999999999999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13.075863000000002</v>
      </c>
      <c r="P553">
        <f t="shared" si="17"/>
        <v>13.075863000000002</v>
      </c>
      <c r="S553">
        <f t="shared" si="18"/>
        <v>1.0386881937499999</v>
      </c>
    </row>
    <row r="554" spans="1:19" x14ac:dyDescent="0.2">
      <c r="A554" s="9">
        <v>42704</v>
      </c>
      <c r="B554" s="8" t="s">
        <v>76</v>
      </c>
      <c r="C554" s="8">
        <v>39</v>
      </c>
      <c r="D554" s="8" t="s">
        <v>64</v>
      </c>
      <c r="E554">
        <v>124</v>
      </c>
      <c r="F554" s="8">
        <v>1.02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4.1024230000000008</v>
      </c>
      <c r="P554">
        <f t="shared" si="17"/>
        <v>4.1024230000000008</v>
      </c>
      <c r="S554">
        <f t="shared" si="18"/>
        <v>0.817127559</v>
      </c>
    </row>
    <row r="555" spans="1:19" x14ac:dyDescent="0.2">
      <c r="A555" s="9">
        <v>42704</v>
      </c>
      <c r="B555" s="8" t="s">
        <v>76</v>
      </c>
      <c r="C555" s="8">
        <v>39</v>
      </c>
      <c r="D555" s="8" t="s">
        <v>64</v>
      </c>
      <c r="E555">
        <v>178</v>
      </c>
      <c r="F555" s="8">
        <v>1.1000000000000001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7.8880930000000005</v>
      </c>
      <c r="P555">
        <f t="shared" si="17"/>
        <v>7.8880930000000005</v>
      </c>
      <c r="S555">
        <f t="shared" si="18"/>
        <v>0.95033097500000008</v>
      </c>
    </row>
    <row r="556" spans="1:19" x14ac:dyDescent="0.2">
      <c r="A556" s="9">
        <v>42704</v>
      </c>
      <c r="B556" s="8" t="s">
        <v>76</v>
      </c>
      <c r="C556" s="8">
        <v>39</v>
      </c>
      <c r="D556" s="8" t="s">
        <v>64</v>
      </c>
      <c r="E556">
        <v>16</v>
      </c>
      <c r="F556" s="8">
        <v>0.42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-3.4689169999999998</v>
      </c>
      <c r="P556" t="str">
        <f t="shared" si="17"/>
        <v xml:space="preserve"> </v>
      </c>
      <c r="S556">
        <f t="shared" si="18"/>
        <v>0.13854411899999997</v>
      </c>
    </row>
    <row r="557" spans="1:19" x14ac:dyDescent="0.2">
      <c r="A557" s="9">
        <v>42704</v>
      </c>
      <c r="B557" s="8" t="s">
        <v>76</v>
      </c>
      <c r="C557">
        <v>27</v>
      </c>
      <c r="D557" s="8" t="s">
        <v>62</v>
      </c>
      <c r="F557" s="8">
        <v>2.2000000000000002</v>
      </c>
      <c r="J557">
        <f>215+229+237+241</f>
        <v>922</v>
      </c>
      <c r="K557">
        <v>4</v>
      </c>
      <c r="L557">
        <v>241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18.789637000000006</v>
      </c>
      <c r="P557">
        <f t="shared" si="17"/>
        <v>18.789637000000006</v>
      </c>
      <c r="S557">
        <f t="shared" si="18"/>
        <v>3.8013239000000003</v>
      </c>
    </row>
    <row r="558" spans="1:19" x14ac:dyDescent="0.2">
      <c r="A558" s="9">
        <v>42704</v>
      </c>
      <c r="B558" s="8" t="s">
        <v>76</v>
      </c>
      <c r="C558">
        <v>27</v>
      </c>
      <c r="D558" s="8" t="s">
        <v>61</v>
      </c>
      <c r="F558" s="8">
        <v>1.04</v>
      </c>
      <c r="J558">
        <f>20+31+43+58</f>
        <v>152</v>
      </c>
      <c r="K558">
        <v>4</v>
      </c>
      <c r="L558">
        <v>58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1.7261219999999966</v>
      </c>
      <c r="P558">
        <f t="shared" si="17"/>
        <v>1.7261219999999966</v>
      </c>
      <c r="S558">
        <f t="shared" si="18"/>
        <v>0.84948593600000011</v>
      </c>
    </row>
    <row r="559" spans="1:19" x14ac:dyDescent="0.2">
      <c r="A559" s="9">
        <v>42704</v>
      </c>
      <c r="B559" s="8" t="s">
        <v>76</v>
      </c>
      <c r="C559">
        <v>27</v>
      </c>
      <c r="D559" s="8" t="s">
        <v>61</v>
      </c>
      <c r="F559" s="8">
        <v>1.27</v>
      </c>
      <c r="J559">
        <f>33+52+67</f>
        <v>152</v>
      </c>
      <c r="K559">
        <v>3</v>
      </c>
      <c r="L559">
        <v>67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6.0372699999999995</v>
      </c>
      <c r="P559">
        <f t="shared" si="17"/>
        <v>6.0372699999999995</v>
      </c>
      <c r="S559">
        <f t="shared" si="18"/>
        <v>1.26676762775</v>
      </c>
    </row>
    <row r="560" spans="1:19" x14ac:dyDescent="0.2">
      <c r="A560" s="9">
        <v>42704</v>
      </c>
      <c r="B560" s="8" t="s">
        <v>76</v>
      </c>
      <c r="C560">
        <v>27</v>
      </c>
      <c r="D560" s="8" t="s">
        <v>61</v>
      </c>
      <c r="F560" s="8">
        <v>0.06</v>
      </c>
      <c r="J560">
        <f>13+19+23</f>
        <v>55</v>
      </c>
      <c r="K560">
        <v>3</v>
      </c>
      <c r="L560">
        <v>23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10.197814999999999</v>
      </c>
      <c r="P560">
        <f t="shared" si="17"/>
        <v>10.197814999999999</v>
      </c>
      <c r="S560">
        <f t="shared" si="18"/>
        <v>2.8274309999999996E-3</v>
      </c>
    </row>
    <row r="561" spans="1:19" x14ac:dyDescent="0.2">
      <c r="A561" s="9">
        <v>42704</v>
      </c>
      <c r="B561" s="8" t="s">
        <v>76</v>
      </c>
      <c r="C561">
        <v>27</v>
      </c>
      <c r="D561" s="8" t="s">
        <v>61</v>
      </c>
      <c r="F561" s="8">
        <v>0.9</v>
      </c>
      <c r="J561">
        <f>24+35+38</f>
        <v>97</v>
      </c>
      <c r="K561">
        <v>3</v>
      </c>
      <c r="L561">
        <v>38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9.6168499999999995</v>
      </c>
      <c r="P561">
        <f t="shared" si="17"/>
        <v>9.6168499999999995</v>
      </c>
      <c r="S561">
        <f t="shared" si="18"/>
        <v>0.636171975</v>
      </c>
    </row>
    <row r="562" spans="1:19" x14ac:dyDescent="0.2">
      <c r="A562" s="9">
        <v>42704</v>
      </c>
      <c r="B562" s="8" t="s">
        <v>76</v>
      </c>
      <c r="C562">
        <v>27</v>
      </c>
      <c r="D562" s="8" t="s">
        <v>62</v>
      </c>
      <c r="F562" s="8">
        <v>1.7</v>
      </c>
      <c r="J562">
        <f>163+187+211+214</f>
        <v>775</v>
      </c>
      <c r="K562">
        <v>4</v>
      </c>
      <c r="L562">
        <v>214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13.141267000000006</v>
      </c>
      <c r="P562">
        <f t="shared" si="17"/>
        <v>13.141267000000006</v>
      </c>
      <c r="S562">
        <f t="shared" si="18"/>
        <v>2.2697987749999995</v>
      </c>
    </row>
    <row r="563" spans="1:19" x14ac:dyDescent="0.2">
      <c r="A563" s="9">
        <v>42704</v>
      </c>
      <c r="B563" s="8" t="s">
        <v>76</v>
      </c>
      <c r="C563">
        <v>27</v>
      </c>
      <c r="D563" s="8" t="s">
        <v>62</v>
      </c>
      <c r="F563" s="8">
        <v>1.17</v>
      </c>
      <c r="J563">
        <f>122+126+211+220</f>
        <v>679</v>
      </c>
      <c r="K563">
        <v>4</v>
      </c>
      <c r="L563">
        <v>220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2.333317000000001</v>
      </c>
      <c r="P563">
        <f t="shared" si="17"/>
        <v>2.333317000000001</v>
      </c>
      <c r="S563">
        <f t="shared" si="18"/>
        <v>1.0751306377499998</v>
      </c>
    </row>
    <row r="564" spans="1:19" x14ac:dyDescent="0.2">
      <c r="A564" s="9">
        <v>42704</v>
      </c>
      <c r="B564" s="8" t="s">
        <v>76</v>
      </c>
      <c r="C564">
        <v>27</v>
      </c>
      <c r="D564" s="8" t="s">
        <v>62</v>
      </c>
      <c r="F564" s="8">
        <v>1.9</v>
      </c>
      <c r="J564">
        <f>221+239+240+239</f>
        <v>939</v>
      </c>
      <c r="K564">
        <v>4</v>
      </c>
      <c r="L564">
        <v>240</v>
      </c>
      <c r="O564">
        <f>IF(AND(OR(D564="S. acutus",D564="S. californicus",D564="S. tabernaemontani"),G564=0),E564*[1]Sheet1!$D$7+[1]Sheet1!$L$7,IF(AND(OR(D564="S. acutus",D564="S. tabernaemontani"),G564&gt;0),E564*[1]Sheet1!$D$8+N564*[1]Sheet1!$E$8,IF(AND(D564="S. californicus",G564&gt;0),E564*[1]Sheet1!$D$9+N564*[1]Sheet1!$E$9,IF(D564="S.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latifolia"),E564&gt;0),F564*[1]Sheet1!$C$4+E564*[1]Sheet1!$D$4+H564*[1]Sheet1!$J$4+I564*[1]Sheet1!$K$4+[1]Sheet1!$L$4,IF(AND(OR(D564="T. domingensis",D564="T. latifolia"),J564&gt;0),J564*[1]Sheet1!$G$5+K564*[1]Sheet1!$H$5+L564*[1]Sheet1!$I$5+[1]Sheet1!$L$5,0)))))))</f>
        <v>20.684716999999999</v>
      </c>
      <c r="P564">
        <f t="shared" si="17"/>
        <v>20.684716999999999</v>
      </c>
      <c r="S564">
        <f t="shared" si="18"/>
        <v>2.835284975</v>
      </c>
    </row>
    <row r="565" spans="1:19" x14ac:dyDescent="0.2">
      <c r="A565" s="9">
        <v>42704</v>
      </c>
      <c r="B565" s="8" t="s">
        <v>76</v>
      </c>
      <c r="C565">
        <v>27</v>
      </c>
      <c r="D565" s="8" t="s">
        <v>62</v>
      </c>
      <c r="F565" s="8">
        <v>1.26</v>
      </c>
      <c r="J565">
        <f>47+51+56</f>
        <v>154</v>
      </c>
      <c r="K565">
        <v>3</v>
      </c>
      <c r="L565">
        <v>56</v>
      </c>
      <c r="O565">
        <f>IF(AND(OR(D565="S. acutus",D565="S. californicus",D565="S. tabernaemontani"),G565=0),E565*[1]Sheet1!$D$7+[1]Sheet1!$L$7,IF(AND(OR(D565="S. acutus",D565="S. tabernaemontani"),G565&gt;0),E565*[1]Sheet1!$D$8+N565*[1]Sheet1!$E$8,IF(AND(D565="S. californicus",G565&gt;0),E565*[1]Sheet1!$D$9+N565*[1]Sheet1!$E$9,IF(D565="S.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latifolia"),E565&gt;0),F565*[1]Sheet1!$C$4+E565*[1]Sheet1!$D$4+H565*[1]Sheet1!$J$4+I565*[1]Sheet1!$K$4+[1]Sheet1!$L$4,IF(AND(OR(D565="T. domingensis",D565="T. latifolia"),J565&gt;0),J565*[1]Sheet1!$G$5+K565*[1]Sheet1!$H$5+L565*[1]Sheet1!$I$5+[1]Sheet1!$L$5,0)))))))</f>
        <v>9.5384749999999983</v>
      </c>
      <c r="P565">
        <f t="shared" si="17"/>
        <v>9.5384749999999983</v>
      </c>
      <c r="S565">
        <f t="shared" si="18"/>
        <v>1.246897071</v>
      </c>
    </row>
    <row r="566" spans="1:19" x14ac:dyDescent="0.2">
      <c r="A566" s="9">
        <v>42704</v>
      </c>
      <c r="B566" s="8" t="s">
        <v>76</v>
      </c>
      <c r="C566">
        <v>27</v>
      </c>
      <c r="D566" s="8" t="s">
        <v>62</v>
      </c>
      <c r="F566" s="8">
        <v>1.71</v>
      </c>
      <c r="J566">
        <f>231+240</f>
        <v>471</v>
      </c>
      <c r="K566">
        <v>2</v>
      </c>
      <c r="L566">
        <v>240</v>
      </c>
      <c r="O566">
        <f>IF(AND(OR(D566="S. acutus",D566="S. californicus",D566="S. tabernaemontani"),G566=0),E566*[1]Sheet1!$D$7+[1]Sheet1!$L$7,IF(AND(OR(D566="S. acutus",D566="S. tabernaemontani"),G566&gt;0),E566*[1]Sheet1!$D$8+N566*[1]Sheet1!$E$8,IF(AND(D566="S. californicus",G566&gt;0),E566*[1]Sheet1!$D$9+N566*[1]Sheet1!$E$9,IF(D566="S.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latifolia"),E566&gt;0),F566*[1]Sheet1!$C$4+E566*[1]Sheet1!$D$4+H566*[1]Sheet1!$J$4+I566*[1]Sheet1!$K$4+[1]Sheet1!$L$4,IF(AND(OR(D566="T. domingensis",D566="T. latifolia"),J566&gt;0),J566*[1]Sheet1!$G$5+K566*[1]Sheet1!$H$5+L566*[1]Sheet1!$I$5+[1]Sheet1!$L$5,0)))))))</f>
        <v>-9.1479169999999996</v>
      </c>
      <c r="P566" t="str">
        <f t="shared" ref="P566:P610" si="19">IF(O566&lt;0," ",O566)</f>
        <v xml:space="preserve"> </v>
      </c>
      <c r="S566">
        <f t="shared" si="18"/>
        <v>2.2965808297499999</v>
      </c>
    </row>
    <row r="567" spans="1:19" x14ac:dyDescent="0.2">
      <c r="A567" s="9">
        <v>42704</v>
      </c>
      <c r="B567" s="8" t="s">
        <v>76</v>
      </c>
      <c r="C567">
        <v>27</v>
      </c>
      <c r="D567" s="8" t="s">
        <v>62</v>
      </c>
      <c r="F567" s="8">
        <v>1.1200000000000001</v>
      </c>
      <c r="J567">
        <f>74+126+127</f>
        <v>327</v>
      </c>
      <c r="K567">
        <v>3</v>
      </c>
      <c r="L567">
        <v>127</v>
      </c>
      <c r="O567">
        <f>IF(AND(OR(D567="S. acutus",D567="S. californicus",D567="S. tabernaemontani"),G567=0),E567*[1]Sheet1!$D$7+[1]Sheet1!$L$7,IF(AND(OR(D567="S. acutus",D567="S. tabernaemontani"),G567&gt;0),E567*[1]Sheet1!$D$8+N567*[1]Sheet1!$E$8,IF(AND(D567="S. californicus",G567&gt;0),E567*[1]Sheet1!$D$9+N567*[1]Sheet1!$E$9,IF(D567="S.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latifolia"),E567&gt;0),F567*[1]Sheet1!$C$4+E567*[1]Sheet1!$D$4+H567*[1]Sheet1!$J$4+I567*[1]Sheet1!$K$4+[1]Sheet1!$L$4,IF(AND(OR(D567="T. domingensis",D567="T. latifolia"),J567&gt;0),J567*[1]Sheet1!$G$5+K567*[1]Sheet1!$H$5+L567*[1]Sheet1!$I$5+[1]Sheet1!$L$5,0)))))))</f>
        <v>4.3696950000000001</v>
      </c>
      <c r="P567">
        <f t="shared" si="19"/>
        <v>4.3696950000000001</v>
      </c>
      <c r="S567">
        <f t="shared" si="18"/>
        <v>0.98520262400000014</v>
      </c>
    </row>
    <row r="568" spans="1:19" x14ac:dyDescent="0.2">
      <c r="A568" s="9">
        <v>42704</v>
      </c>
      <c r="B568" s="8" t="s">
        <v>76</v>
      </c>
      <c r="C568">
        <v>27</v>
      </c>
      <c r="D568" s="8" t="s">
        <v>62</v>
      </c>
      <c r="F568" s="8">
        <v>2.2799999999999998</v>
      </c>
      <c r="J568">
        <f>110+125+147+151</f>
        <v>533</v>
      </c>
      <c r="K568">
        <v>4</v>
      </c>
      <c r="L568">
        <v>151</v>
      </c>
      <c r="O568">
        <f>IF(AND(OR(D568="S. acutus",D568="S. californicus",D568="S. tabernaemontani"),G568=0),E568*[1]Sheet1!$D$7+[1]Sheet1!$L$7,IF(AND(OR(D568="S. acutus",D568="S. tabernaemontani"),G568&gt;0),E568*[1]Sheet1!$D$8+N568*[1]Sheet1!$E$8,IF(AND(D568="S. californicus",G568&gt;0),E568*[1]Sheet1!$D$9+N568*[1]Sheet1!$E$9,IF(D568="S.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latifolia"),E568&gt;0),F568*[1]Sheet1!$C$4+E568*[1]Sheet1!$D$4+H568*[1]Sheet1!$J$4+I568*[1]Sheet1!$K$4+[1]Sheet1!$L$4,IF(AND(OR(D568="T. domingensis",D568="T. latifolia"),J568&gt;0),J568*[1]Sheet1!$G$5+K568*[1]Sheet1!$H$5+L568*[1]Sheet1!$I$5+[1]Sheet1!$L$5,0)))))))</f>
        <v>9.4309919999999998</v>
      </c>
      <c r="P568">
        <f t="shared" si="19"/>
        <v>9.4309919999999998</v>
      </c>
      <c r="S568">
        <f t="shared" si="18"/>
        <v>4.0828103639999993</v>
      </c>
    </row>
    <row r="569" spans="1:19" x14ac:dyDescent="0.2">
      <c r="A569" s="9">
        <v>42704</v>
      </c>
      <c r="B569" s="8" t="s">
        <v>76</v>
      </c>
      <c r="C569">
        <v>27</v>
      </c>
      <c r="D569" s="8" t="s">
        <v>62</v>
      </c>
      <c r="F569" s="8">
        <v>1.18</v>
      </c>
      <c r="J569">
        <f>54+54+96+105</f>
        <v>309</v>
      </c>
      <c r="K569">
        <v>4</v>
      </c>
      <c r="L569">
        <v>105</v>
      </c>
      <c r="O569">
        <f>IF(AND(OR(D569="S. acutus",D569="S. californicus",D569="S. tabernaemontani"),G569=0),E569*[1]Sheet1!$D$7+[1]Sheet1!$L$7,IF(AND(OR(D569="S. acutus",D569="S. tabernaemontani"),G569&gt;0),E569*[1]Sheet1!$D$8+N569*[1]Sheet1!$E$8,IF(AND(D569="S. californicus",G569&gt;0),E569*[1]Sheet1!$D$9+N569*[1]Sheet1!$E$9,IF(D569="S.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latifolia"),E569&gt;0),F569*[1]Sheet1!$C$4+E569*[1]Sheet1!$D$4+H569*[1]Sheet1!$J$4+I569*[1]Sheet1!$K$4+[1]Sheet1!$L$4,IF(AND(OR(D569="T. domingensis",D569="T. latifolia"),J569&gt;0),J569*[1]Sheet1!$G$5+K569*[1]Sheet1!$H$5+L569*[1]Sheet1!$I$5+[1]Sheet1!$L$5,0)))))))</f>
        <v>2.2871419999999993</v>
      </c>
      <c r="P569">
        <f t="shared" si="19"/>
        <v>2.2871419999999993</v>
      </c>
      <c r="S569">
        <f t="shared" si="18"/>
        <v>1.0935874789999998</v>
      </c>
    </row>
    <row r="570" spans="1:19" x14ac:dyDescent="0.2">
      <c r="A570" s="9">
        <v>42704</v>
      </c>
      <c r="B570" s="8" t="s">
        <v>76</v>
      </c>
      <c r="C570">
        <v>27</v>
      </c>
      <c r="D570" s="8" t="s">
        <v>62</v>
      </c>
      <c r="F570" s="8">
        <v>1.85</v>
      </c>
      <c r="J570">
        <f>207+220+224+234</f>
        <v>885</v>
      </c>
      <c r="K570">
        <v>4</v>
      </c>
      <c r="L570">
        <v>234</v>
      </c>
      <c r="O570">
        <f>IF(AND(OR(D570="S. acutus",D570="S. californicus",D570="S. tabernaemontani"),G570=0),E570*[1]Sheet1!$D$7+[1]Sheet1!$L$7,IF(AND(OR(D570="S. acutus",D570="S. tabernaemontani"),G570&gt;0),E570*[1]Sheet1!$D$8+N570*[1]Sheet1!$E$8,IF(AND(D570="S. californicus",G570&gt;0),E570*[1]Sheet1!$D$9+N570*[1]Sheet1!$E$9,IF(D570="S.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latifolia"),E570&gt;0),F570*[1]Sheet1!$C$4+E570*[1]Sheet1!$D$4+H570*[1]Sheet1!$J$4+I570*[1]Sheet1!$K$4+[1]Sheet1!$L$4,IF(AND(OR(D570="T. domingensis",D570="T. latifolia"),J570&gt;0),J570*[1]Sheet1!$G$5+K570*[1]Sheet1!$H$5+L570*[1]Sheet1!$I$5+[1]Sheet1!$L$5,0)))))))</f>
        <v>17.429417000000008</v>
      </c>
      <c r="P570">
        <f t="shared" si="19"/>
        <v>17.429417000000008</v>
      </c>
      <c r="S570">
        <f t="shared" si="18"/>
        <v>2.6880229437500001</v>
      </c>
    </row>
    <row r="571" spans="1:19" x14ac:dyDescent="0.2">
      <c r="A571" s="9">
        <v>42704</v>
      </c>
      <c r="B571" s="8" t="s">
        <v>76</v>
      </c>
      <c r="C571">
        <v>24</v>
      </c>
      <c r="D571" s="8"/>
      <c r="N571" t="s">
        <v>63</v>
      </c>
      <c r="O571">
        <f>IF(AND(OR(D571="S. acutus",D571="S. californicus",D571="S. tabernaemontani"),G571=0),E571*[1]Sheet1!$D$7+[1]Sheet1!$L$7,IF(AND(OR(D571="S. acutus",D571="S. tabernaemontani"),G571&gt;0),E571*[1]Sheet1!$D$8+N571*[1]Sheet1!$E$8,IF(AND(D571="S. californicus",G571&gt;0),E571*[1]Sheet1!$D$9+N571*[1]Sheet1!$E$9,IF(D571="S.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latifolia"),E571&gt;0),F571*[1]Sheet1!$C$4+E571*[1]Sheet1!$D$4+H571*[1]Sheet1!$J$4+I571*[1]Sheet1!$K$4+[1]Sheet1!$L$4,IF(AND(OR(D571="T. domingensis",D571="T. latifolia"),J571&gt;0),J571*[1]Sheet1!$G$5+K571*[1]Sheet1!$H$5+L571*[1]Sheet1!$I$5+[1]Sheet1!$L$5,0)))))))</f>
        <v>0</v>
      </c>
      <c r="P571">
        <f t="shared" si="19"/>
        <v>0</v>
      </c>
    </row>
    <row r="572" spans="1:19" x14ac:dyDescent="0.2">
      <c r="A572" s="9">
        <v>42704</v>
      </c>
      <c r="B572" s="8" t="s">
        <v>76</v>
      </c>
      <c r="C572">
        <v>16</v>
      </c>
      <c r="D572" s="8" t="s">
        <v>61</v>
      </c>
      <c r="F572" s="8">
        <v>3.22</v>
      </c>
      <c r="J572">
        <f>81+119+127+140+148</f>
        <v>615</v>
      </c>
      <c r="K572">
        <v>5</v>
      </c>
      <c r="L572">
        <v>148</v>
      </c>
      <c r="O572">
        <f>IF(AND(OR(D572="S. acutus",D572="S. californicus",D572="S. tabernaemontani"),G572=0),E572*[1]Sheet1!$D$7+[1]Sheet1!$L$7,IF(AND(OR(D572="S. acutus",D572="S. tabernaemontani"),G572&gt;0),E572*[1]Sheet1!$D$8+N572*[1]Sheet1!$E$8,IF(AND(D572="S. californicus",G572&gt;0),E572*[1]Sheet1!$D$9+N572*[1]Sheet1!$E$9,IF(D572="S.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latifolia"),E572&gt;0),F572*[1]Sheet1!$C$4+E572*[1]Sheet1!$D$4+H572*[1]Sheet1!$J$4+I572*[1]Sheet1!$K$4+[1]Sheet1!$L$4,IF(AND(OR(D572="T. domingensis",D572="T. latifolia"),J572&gt;0),J572*[1]Sheet1!$G$5+K572*[1]Sheet1!$H$5+L572*[1]Sheet1!$I$5+[1]Sheet1!$L$5,0)))))))</f>
        <v>11.000284000000001</v>
      </c>
      <c r="P572">
        <f t="shared" si="19"/>
        <v>11.000284000000001</v>
      </c>
    </row>
    <row r="573" spans="1:19" x14ac:dyDescent="0.2">
      <c r="A573" s="9">
        <v>42704</v>
      </c>
      <c r="B573" s="8" t="s">
        <v>76</v>
      </c>
      <c r="C573">
        <v>16</v>
      </c>
      <c r="D573" s="8" t="s">
        <v>61</v>
      </c>
      <c r="F573" s="8">
        <v>3.72</v>
      </c>
      <c r="J573">
        <f>134+148+149+153+177+183</f>
        <v>944</v>
      </c>
      <c r="K573">
        <v>6</v>
      </c>
      <c r="L573">
        <v>183</v>
      </c>
      <c r="O573">
        <f>IF(AND(OR(D573="S. acutus",D573="S. californicus",D573="S. tabernaemontani"),G573=0),E573*[1]Sheet1!$D$7+[1]Sheet1!$L$7,IF(AND(OR(D573="S. acutus",D573="S. tabernaemontani"),G573&gt;0),E573*[1]Sheet1!$D$8+N573*[1]Sheet1!$E$8,IF(AND(D573="S. californicus",G573&gt;0),E573*[1]Sheet1!$D$9+N573*[1]Sheet1!$E$9,IF(D573="S.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latifolia"),E573&gt;0),F573*[1]Sheet1!$C$4+E573*[1]Sheet1!$D$4+H573*[1]Sheet1!$J$4+I573*[1]Sheet1!$K$4+[1]Sheet1!$L$4,IF(AND(OR(D573="T. domingensis",D573="T. latifolia"),J573&gt;0),J573*[1]Sheet1!$G$5+K573*[1]Sheet1!$H$5+L573*[1]Sheet1!$I$5+[1]Sheet1!$L$5,0)))))))</f>
        <v>24.279751000000005</v>
      </c>
      <c r="P573">
        <f t="shared" si="19"/>
        <v>24.279751000000005</v>
      </c>
    </row>
    <row r="574" spans="1:19" x14ac:dyDescent="0.2">
      <c r="A574" s="9">
        <v>42704</v>
      </c>
      <c r="B574" s="8" t="s">
        <v>76</v>
      </c>
      <c r="C574">
        <v>16</v>
      </c>
      <c r="D574" s="8" t="s">
        <v>61</v>
      </c>
      <c r="F574" s="8">
        <v>0.78</v>
      </c>
      <c r="J574">
        <f>48+63+88</f>
        <v>199</v>
      </c>
      <c r="K574">
        <v>3</v>
      </c>
      <c r="L574">
        <v>88</v>
      </c>
      <c r="O574">
        <f>IF(AND(OR(D574="S. acutus",D574="S. californicus",D574="S. tabernaemontani"),G574=0),E574*[1]Sheet1!$D$7+[1]Sheet1!$L$7,IF(AND(OR(D574="S. acutus",D574="S. tabernaemontani"),G574&gt;0),E574*[1]Sheet1!$D$8+N574*[1]Sheet1!$E$8,IF(AND(D574="S. californicus",G574&gt;0),E574*[1]Sheet1!$D$9+N574*[1]Sheet1!$E$9,IF(D574="S.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latifolia"),E574&gt;0),F574*[1]Sheet1!$C$4+E574*[1]Sheet1!$D$4+H574*[1]Sheet1!$J$4+I574*[1]Sheet1!$K$4+[1]Sheet1!$L$4,IF(AND(OR(D574="T. domingensis",D574="T. latifolia"),J574&gt;0),J574*[1]Sheet1!$G$5+K574*[1]Sheet1!$H$5+L574*[1]Sheet1!$I$5+[1]Sheet1!$L$5,0)))))))</f>
        <v>4.1176099999999956</v>
      </c>
      <c r="P574">
        <f t="shared" si="19"/>
        <v>4.1176099999999956</v>
      </c>
    </row>
    <row r="575" spans="1:19" x14ac:dyDescent="0.2">
      <c r="A575" s="9">
        <v>42704</v>
      </c>
      <c r="B575" s="8" t="s">
        <v>76</v>
      </c>
      <c r="C575">
        <v>16</v>
      </c>
      <c r="D575" s="8" t="s">
        <v>61</v>
      </c>
      <c r="F575" s="8">
        <v>5.37</v>
      </c>
      <c r="J575">
        <f>145+153+170+193+206+208+209+212</f>
        <v>1496</v>
      </c>
      <c r="K575">
        <v>8</v>
      </c>
      <c r="L575">
        <v>212</v>
      </c>
      <c r="O575">
        <f>IF(AND(OR(D575="S. acutus",D575="S. californicus",D575="S. tabernaemontani"),G575=0),E575*[1]Sheet1!$D$7+[1]Sheet1!$L$7,IF(AND(OR(D575="S. acutus",D575="S. tabernaemontani"),G575&gt;0),E575*[1]Sheet1!$D$8+N575*[1]Sheet1!$E$8,IF(AND(D575="S. californicus",G575&gt;0),E575*[1]Sheet1!$D$9+N575*[1]Sheet1!$E$9,IF(D575="S.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latifolia"),E575&gt;0),F575*[1]Sheet1!$C$4+E575*[1]Sheet1!$D$4+H575*[1]Sheet1!$J$4+I575*[1]Sheet1!$K$4+[1]Sheet1!$L$4,IF(AND(OR(D575="T. domingensis",D575="T. latifolia"),J575&gt;0),J575*[1]Sheet1!$G$5+K575*[1]Sheet1!$H$5+L575*[1]Sheet1!$I$5+[1]Sheet1!$L$5,0)))))))</f>
        <v>53.251700000000021</v>
      </c>
      <c r="P575">
        <f t="shared" si="19"/>
        <v>53.251700000000021</v>
      </c>
    </row>
    <row r="576" spans="1:19" x14ac:dyDescent="0.2">
      <c r="A576" s="9">
        <v>42704</v>
      </c>
      <c r="B576" s="8" t="s">
        <v>76</v>
      </c>
      <c r="C576">
        <v>16</v>
      </c>
      <c r="D576" s="8" t="s">
        <v>61</v>
      </c>
      <c r="F576" s="8">
        <v>5.31</v>
      </c>
      <c r="J576">
        <f>140+143+149+151+152+155+159+173+176</f>
        <v>1398</v>
      </c>
      <c r="K576">
        <v>9</v>
      </c>
      <c r="L576">
        <v>176</v>
      </c>
      <c r="O576">
        <f>IF(AND(OR(D576="S. acutus",D576="S. californicus",D576="S. tabernaemontani"),G576=0),E576*[1]Sheet1!$D$7+[1]Sheet1!$L$7,IF(AND(OR(D576="S. acutus",D576="S. tabernaemontani"),G576&gt;0),E576*[1]Sheet1!$D$8+N576*[1]Sheet1!$E$8,IF(AND(D576="S. californicus",G576&gt;0),E576*[1]Sheet1!$D$9+N576*[1]Sheet1!$E$9,IF(D576="S.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latifolia"),E576&gt;0),F576*[1]Sheet1!$C$4+E576*[1]Sheet1!$D$4+H576*[1]Sheet1!$J$4+I576*[1]Sheet1!$K$4+[1]Sheet1!$L$4,IF(AND(OR(D576="T. domingensis",D576="T. latifolia"),J576&gt;0),J576*[1]Sheet1!$G$5+K576*[1]Sheet1!$H$5+L576*[1]Sheet1!$I$5+[1]Sheet1!$L$5,0)))))))</f>
        <v>47.886176999999996</v>
      </c>
      <c r="P576">
        <f t="shared" si="19"/>
        <v>47.886176999999996</v>
      </c>
    </row>
    <row r="577" spans="1:16" x14ac:dyDescent="0.2">
      <c r="A577" s="9">
        <v>42704</v>
      </c>
      <c r="B577" s="8" t="s">
        <v>76</v>
      </c>
      <c r="C577">
        <v>16</v>
      </c>
      <c r="D577" s="8" t="s">
        <v>61</v>
      </c>
      <c r="F577" s="8">
        <v>4.2</v>
      </c>
      <c r="J577">
        <f>130+152+181+182+196+198</f>
        <v>1039</v>
      </c>
      <c r="K577">
        <v>6</v>
      </c>
      <c r="L577">
        <v>198</v>
      </c>
      <c r="O577">
        <f>IF(AND(OR(D577="S. acutus",D577="S. californicus",D577="S. tabernaemontani"),G577=0),E577*[1]Sheet1!$D$7+[1]Sheet1!$L$7,IF(AND(OR(D577="S. acutus",D577="S. tabernaemontani"),G577&gt;0),E577*[1]Sheet1!$D$8+N577*[1]Sheet1!$E$8,IF(AND(D577="S. californicus",G577&gt;0),E577*[1]Sheet1!$D$9+N577*[1]Sheet1!$E$9,IF(D577="S.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latifolia"),E577&gt;0),F577*[1]Sheet1!$C$4+E577*[1]Sheet1!$D$4+H577*[1]Sheet1!$J$4+I577*[1]Sheet1!$K$4+[1]Sheet1!$L$4,IF(AND(OR(D577="T. domingensis",D577="T. latifolia"),J577&gt;0),J577*[1]Sheet1!$G$5+K577*[1]Sheet1!$H$5+L577*[1]Sheet1!$I$5+[1]Sheet1!$L$5,0)))))))</f>
        <v>28.667800999999997</v>
      </c>
      <c r="P577">
        <f t="shared" si="19"/>
        <v>28.667800999999997</v>
      </c>
    </row>
    <row r="578" spans="1:16" x14ac:dyDescent="0.2">
      <c r="A578" s="9">
        <v>42704</v>
      </c>
      <c r="B578" s="8" t="s">
        <v>76</v>
      </c>
      <c r="C578">
        <v>16</v>
      </c>
      <c r="D578" s="8" t="s">
        <v>61</v>
      </c>
      <c r="F578" s="8">
        <v>1.74</v>
      </c>
      <c r="J578">
        <f>94+121+136+153</f>
        <v>504</v>
      </c>
      <c r="K578">
        <v>4</v>
      </c>
      <c r="L578">
        <v>153</v>
      </c>
      <c r="O578">
        <f>IF(AND(OR(D578="S. acutus",D578="S. californicus",D578="S. tabernaemontani"),G578=0),E578*[1]Sheet1!$D$7+[1]Sheet1!$L$7,IF(AND(OR(D578="S. acutus",D578="S. tabernaemontani"),G578&gt;0),E578*[1]Sheet1!$D$8+N578*[1]Sheet1!$E$8,IF(AND(D578="S. californicus",G578&gt;0),E578*[1]Sheet1!$D$9+N578*[1]Sheet1!$E$9,IF(D578="S.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latifolia"),E578&gt;0),F578*[1]Sheet1!$C$4+E578*[1]Sheet1!$D$4+H578*[1]Sheet1!$J$4+I578*[1]Sheet1!$K$4+[1]Sheet1!$L$4,IF(AND(OR(D578="T. domingensis",D578="T. latifolia"),J578&gt;0),J578*[1]Sheet1!$G$5+K578*[1]Sheet1!$H$5+L578*[1]Sheet1!$I$5+[1]Sheet1!$L$5,0)))))))</f>
        <v>6.1096070000000005</v>
      </c>
      <c r="P578">
        <f t="shared" si="19"/>
        <v>6.1096070000000005</v>
      </c>
    </row>
    <row r="579" spans="1:16" x14ac:dyDescent="0.2">
      <c r="A579" s="9">
        <v>42704</v>
      </c>
      <c r="B579" s="8" t="s">
        <v>77</v>
      </c>
      <c r="C579">
        <v>24</v>
      </c>
      <c r="D579" s="8" t="s">
        <v>61</v>
      </c>
      <c r="F579" s="8">
        <v>3.85</v>
      </c>
      <c r="J579">
        <f>112+238+263+267+298</f>
        <v>1178</v>
      </c>
      <c r="K579">
        <v>5</v>
      </c>
      <c r="L579">
        <v>298</v>
      </c>
      <c r="O579">
        <f>IF(AND(OR(D579="S. acutus",D579="S. californicus",D579="S. tabernaemontani"),G579=0),E579*[1]Sheet1!$D$7+[1]Sheet1!$L$7,IF(AND(OR(D579="S. acutus",D579="S. tabernaemontani"),G579&gt;0),E579*[1]Sheet1!$D$8+N579*[1]Sheet1!$E$8,IF(AND(D579="S. californicus",G579&gt;0),E579*[1]Sheet1!$D$9+N579*[1]Sheet1!$E$9,IF(D579="S.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latifolia"),E579&gt;0),F579*[1]Sheet1!$C$4+E579*[1]Sheet1!$D$4+H579*[1]Sheet1!$J$4+I579*[1]Sheet1!$K$4+[1]Sheet1!$L$4,IF(AND(OR(D579="T. domingensis",D579="T. latifolia"),J579&gt;0),J579*[1]Sheet1!$G$5+K579*[1]Sheet1!$H$5+L579*[1]Sheet1!$I$5+[1]Sheet1!$L$5,0)))))))</f>
        <v>18.59759900000001</v>
      </c>
      <c r="P579">
        <f t="shared" si="19"/>
        <v>18.59759900000001</v>
      </c>
    </row>
    <row r="580" spans="1:16" x14ac:dyDescent="0.2">
      <c r="A580" s="9">
        <v>42704</v>
      </c>
      <c r="B580" s="8" t="s">
        <v>77</v>
      </c>
      <c r="C580">
        <v>24</v>
      </c>
      <c r="D580" s="8" t="s">
        <v>61</v>
      </c>
      <c r="F580" s="8">
        <v>1.1200000000000001</v>
      </c>
      <c r="J580">
        <f>186+214</f>
        <v>400</v>
      </c>
      <c r="K580">
        <v>2</v>
      </c>
      <c r="L580">
        <v>214</v>
      </c>
      <c r="O580">
        <f>IF(AND(OR(D580="S. acutus",D580="S. californicus",D580="S. tabernaemontani"),G580=0),E580*[1]Sheet1!$D$7+[1]Sheet1!$L$7,IF(AND(OR(D580="S. acutus",D580="S. tabernaemontani"),G580&gt;0),E580*[1]Sheet1!$D$8+N580*[1]Sheet1!$E$8,IF(AND(D580="S. californicus",G580&gt;0),E580*[1]Sheet1!$D$9+N580*[1]Sheet1!$E$9,IF(D580="S.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latifolia"),E580&gt;0),F580*[1]Sheet1!$C$4+E580*[1]Sheet1!$D$4+H580*[1]Sheet1!$J$4+I580*[1]Sheet1!$K$4+[1]Sheet1!$L$4,IF(AND(OR(D580="T. domingensis",D580="T. latifolia"),J580&gt;0),J580*[1]Sheet1!$G$5+K580*[1]Sheet1!$H$5+L580*[1]Sheet1!$I$5+[1]Sheet1!$L$5,0)))))))</f>
        <v>-7.9721520000000012</v>
      </c>
      <c r="P580" t="str">
        <f t="shared" si="19"/>
        <v xml:space="preserve"> </v>
      </c>
    </row>
    <row r="581" spans="1:16" x14ac:dyDescent="0.2">
      <c r="A581" s="9">
        <v>42704</v>
      </c>
      <c r="B581" s="8" t="s">
        <v>77</v>
      </c>
      <c r="C581">
        <v>24</v>
      </c>
      <c r="D581" s="8" t="s">
        <v>61</v>
      </c>
      <c r="F581" s="8">
        <v>3.86</v>
      </c>
      <c r="J581">
        <f>219+248+273+276+282+287</f>
        <v>1585</v>
      </c>
      <c r="K581">
        <v>6</v>
      </c>
      <c r="L581">
        <v>287</v>
      </c>
      <c r="O581">
        <f>IF(AND(OR(D581="S. acutus",D581="S. californicus",D581="S. tabernaemontani"),G581=0),E581*[1]Sheet1!$D$7+[1]Sheet1!$L$7,IF(AND(OR(D581="S. acutus",D581="S. tabernaemontani"),G581&gt;0),E581*[1]Sheet1!$D$8+N581*[1]Sheet1!$E$8,IF(AND(D581="S. californicus",G581&gt;0),E581*[1]Sheet1!$D$9+N581*[1]Sheet1!$E$9,IF(D581="S.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latifolia"),E581&gt;0),F581*[1]Sheet1!$C$4+E581*[1]Sheet1!$D$4+H581*[1]Sheet1!$J$4+I581*[1]Sheet1!$K$4+[1]Sheet1!$L$4,IF(AND(OR(D581="T. domingensis",D581="T. latifolia"),J581&gt;0),J581*[1]Sheet1!$G$5+K581*[1]Sheet1!$H$5+L581*[1]Sheet1!$I$5+[1]Sheet1!$L$5,0)))))))</f>
        <v>53.047226000000002</v>
      </c>
      <c r="P581">
        <f t="shared" si="19"/>
        <v>53.047226000000002</v>
      </c>
    </row>
    <row r="582" spans="1:16" x14ac:dyDescent="0.2">
      <c r="A582" s="9">
        <v>42704</v>
      </c>
      <c r="B582" s="8" t="s">
        <v>77</v>
      </c>
      <c r="C582">
        <v>24</v>
      </c>
      <c r="D582" s="8" t="s">
        <v>61</v>
      </c>
      <c r="F582" s="8">
        <v>4.5</v>
      </c>
      <c r="J582">
        <f>373+237+297+131+211+257+344</f>
        <v>1850</v>
      </c>
      <c r="K582">
        <v>7</v>
      </c>
      <c r="L582">
        <v>373</v>
      </c>
      <c r="O582">
        <f>IF(AND(OR(D582="S. acutus",D582="S. californicus",D582="S. tabernaemontani"),G582=0),E582*[1]Sheet1!$D$7+[1]Sheet1!$L$7,IF(AND(OR(D582="S. acutus",D582="S. tabernaemontani"),G582&gt;0),E582*[1]Sheet1!$D$8+N582*[1]Sheet1!$E$8,IF(AND(D582="S. californicus",G582&gt;0),E582*[1]Sheet1!$D$9+N582*[1]Sheet1!$E$9,IF(D582="S.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latifolia"),E582&gt;0),F582*[1]Sheet1!$C$4+E582*[1]Sheet1!$D$4+H582*[1]Sheet1!$J$4+I582*[1]Sheet1!$K$4+[1]Sheet1!$L$4,IF(AND(OR(D582="T. domingensis",D582="T. latifolia"),J582&gt;0),J582*[1]Sheet1!$G$5+K582*[1]Sheet1!$H$5+L582*[1]Sheet1!$I$5+[1]Sheet1!$L$5,0)))))))</f>
        <v>44.962878000000011</v>
      </c>
      <c r="P582">
        <f t="shared" si="19"/>
        <v>44.962878000000011</v>
      </c>
    </row>
    <row r="583" spans="1:16" x14ac:dyDescent="0.2">
      <c r="A583" s="9">
        <v>42704</v>
      </c>
      <c r="B583" s="8" t="s">
        <v>77</v>
      </c>
      <c r="C583">
        <v>17</v>
      </c>
      <c r="D583" s="8" t="s">
        <v>61</v>
      </c>
      <c r="F583" s="8">
        <v>4.33</v>
      </c>
      <c r="J583">
        <f>127+182+199+216+221+223+232</f>
        <v>1400</v>
      </c>
      <c r="K583">
        <v>7</v>
      </c>
      <c r="L583">
        <v>232</v>
      </c>
      <c r="O583">
        <f>IF(AND(OR(D583="S. acutus",D583="S. californicus",D583="S. tabernaemontani"),G583=0),E583*[1]Sheet1!$D$7+[1]Sheet1!$L$7,IF(AND(OR(D583="S. acutus",D583="S. tabernaemontani"),G583&gt;0),E583*[1]Sheet1!$D$8+N583*[1]Sheet1!$E$8,IF(AND(D583="S. californicus",G583&gt;0),E583*[1]Sheet1!$D$9+N583*[1]Sheet1!$E$9,IF(D583="S.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latifolia"),E583&gt;0),F583*[1]Sheet1!$C$4+E583*[1]Sheet1!$D$4+H583*[1]Sheet1!$J$4+I583*[1]Sheet1!$K$4+[1]Sheet1!$L$4,IF(AND(OR(D583="T. domingensis",D583="T. latifolia"),J583&gt;0),J583*[1]Sheet1!$G$5+K583*[1]Sheet1!$H$5+L583*[1]Sheet1!$I$5+[1]Sheet1!$L$5,0)))))))</f>
        <v>45.248673000000004</v>
      </c>
      <c r="P583">
        <f t="shared" si="19"/>
        <v>45.248673000000004</v>
      </c>
    </row>
    <row r="584" spans="1:16" x14ac:dyDescent="0.2">
      <c r="A584" s="9">
        <v>42704</v>
      </c>
      <c r="B584" s="8" t="s">
        <v>77</v>
      </c>
      <c r="C584">
        <v>17</v>
      </c>
      <c r="D584" s="8" t="s">
        <v>61</v>
      </c>
      <c r="F584" s="8">
        <v>3.19</v>
      </c>
      <c r="J584">
        <f>96+133+146+53+107+138+122</f>
        <v>795</v>
      </c>
      <c r="K584">
        <v>7</v>
      </c>
      <c r="L584">
        <v>146</v>
      </c>
      <c r="O584">
        <f>IF(AND(OR(D584="S. acutus",D584="S. californicus",D584="S. tabernaemontani"),G584=0),E584*[1]Sheet1!$D$7+[1]Sheet1!$L$7,IF(AND(OR(D584="S. acutus",D584="S. tabernaemontani"),G584&gt;0),E584*[1]Sheet1!$D$8+N584*[1]Sheet1!$E$8,IF(AND(D584="S. californicus",G584&gt;0),E584*[1]Sheet1!$D$9+N584*[1]Sheet1!$E$9,IF(D584="S.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latifolia"),E584&gt;0),F584*[1]Sheet1!$C$4+E584*[1]Sheet1!$D$4+H584*[1]Sheet1!$J$4+I584*[1]Sheet1!$K$4+[1]Sheet1!$L$4,IF(AND(OR(D584="T. domingensis",D584="T. latifolia"),J584&gt;0),J584*[1]Sheet1!$G$5+K584*[1]Sheet1!$H$5+L584*[1]Sheet1!$I$5+[1]Sheet1!$L$5,0)))))))</f>
        <v>14.433968</v>
      </c>
      <c r="P584">
        <f t="shared" si="19"/>
        <v>14.433968</v>
      </c>
    </row>
    <row r="585" spans="1:16" x14ac:dyDescent="0.2">
      <c r="A585" s="9">
        <v>42704</v>
      </c>
      <c r="B585" s="8" t="s">
        <v>77</v>
      </c>
      <c r="C585">
        <v>17</v>
      </c>
      <c r="D585" s="8" t="s">
        <v>61</v>
      </c>
      <c r="F585" s="8">
        <v>5.18</v>
      </c>
      <c r="J585">
        <f>145+206+239+252+253+270+270+271+272+272+276</f>
        <v>2726</v>
      </c>
      <c r="K585">
        <v>11</v>
      </c>
      <c r="L585">
        <v>276</v>
      </c>
      <c r="O585">
        <f>IF(AND(OR(D585="S. acutus",D585="S. californicus",D585="S. tabernaemontani"),G585=0),E585*[1]Sheet1!$D$7+[1]Sheet1!$L$7,IF(AND(OR(D585="S. acutus",D585="S. tabernaemontani"),G585&gt;0),E585*[1]Sheet1!$D$8+N585*[1]Sheet1!$E$8,IF(AND(D585="S. californicus",G585&gt;0),E585*[1]Sheet1!$D$9+N585*[1]Sheet1!$E$9,IF(D585="S.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latifolia"),E585&gt;0),F585*[1]Sheet1!$C$4+E585*[1]Sheet1!$D$4+H585*[1]Sheet1!$J$4+I585*[1]Sheet1!$K$4+[1]Sheet1!$L$4,IF(AND(OR(D585="T. domingensis",D585="T. latifolia"),J585&gt;0),J585*[1]Sheet1!$G$5+K585*[1]Sheet1!$H$5+L585*[1]Sheet1!$I$5+[1]Sheet1!$L$5,0)))))))</f>
        <v>128.22361100000001</v>
      </c>
      <c r="P585">
        <f t="shared" si="19"/>
        <v>128.22361100000001</v>
      </c>
    </row>
    <row r="586" spans="1:16" x14ac:dyDescent="0.2">
      <c r="A586" s="9">
        <v>42704</v>
      </c>
      <c r="B586" s="8" t="s">
        <v>77</v>
      </c>
      <c r="C586">
        <v>17</v>
      </c>
      <c r="D586" s="8" t="s">
        <v>61</v>
      </c>
      <c r="F586" s="8">
        <v>2.19</v>
      </c>
      <c r="J586">
        <f>55+129+117+138+99</f>
        <v>538</v>
      </c>
      <c r="K586">
        <v>5</v>
      </c>
      <c r="L586">
        <v>138</v>
      </c>
      <c r="O586">
        <f>IF(AND(OR(D586="S. acutus",D586="S. californicus",D586="S. tabernaemontani"),G586=0),E586*[1]Sheet1!$D$7+[1]Sheet1!$L$7,IF(AND(OR(D586="S. acutus",D586="S. tabernaemontani"),G586&gt;0),E586*[1]Sheet1!$D$8+N586*[1]Sheet1!$E$8,IF(AND(D586="S. californicus",G586&gt;0),E586*[1]Sheet1!$D$9+N586*[1]Sheet1!$E$9,IF(D586="S.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latifolia"),E586&gt;0),F586*[1]Sheet1!$C$4+E586*[1]Sheet1!$D$4+H586*[1]Sheet1!$J$4+I586*[1]Sheet1!$K$4+[1]Sheet1!$L$4,IF(AND(OR(D586="T. domingensis",D586="T. latifolia"),J586&gt;0),J586*[1]Sheet1!$G$5+K586*[1]Sheet1!$H$5+L586*[1]Sheet1!$I$5+[1]Sheet1!$L$5,0)))))))</f>
        <v>6.7935990000000004</v>
      </c>
      <c r="P586">
        <f t="shared" si="19"/>
        <v>6.7935990000000004</v>
      </c>
    </row>
    <row r="587" spans="1:16" x14ac:dyDescent="0.2">
      <c r="A587" s="9">
        <v>42704</v>
      </c>
      <c r="B587" s="8" t="s">
        <v>77</v>
      </c>
      <c r="C587">
        <v>17</v>
      </c>
      <c r="D587" s="8" t="s">
        <v>61</v>
      </c>
      <c r="F587" s="8">
        <v>1.02</v>
      </c>
      <c r="J587">
        <f>48+69+76</f>
        <v>193</v>
      </c>
      <c r="K587">
        <v>3</v>
      </c>
      <c r="L587">
        <v>76</v>
      </c>
      <c r="O587">
        <f>IF(AND(OR(D587="S. acutus",D587="S. californicus",D587="S. tabernaemontani"),G587=0),E587*[1]Sheet1!$D$7+[1]Sheet1!$L$7,IF(AND(OR(D587="S. acutus",D587="S. tabernaemontani"),G587&gt;0),E587*[1]Sheet1!$D$8+N587*[1]Sheet1!$E$8,IF(AND(D587="S. californicus",G587&gt;0),E587*[1]Sheet1!$D$9+N587*[1]Sheet1!$E$9,IF(D587="S.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latifolia"),E587&gt;0),F587*[1]Sheet1!$C$4+E587*[1]Sheet1!$D$4+H587*[1]Sheet1!$J$4+I587*[1]Sheet1!$K$4+[1]Sheet1!$L$4,IF(AND(OR(D587="T. domingensis",D587="T. latifolia"),J587&gt;0),J587*[1]Sheet1!$G$5+K587*[1]Sheet1!$H$5+L587*[1]Sheet1!$I$5+[1]Sheet1!$L$5,0)))))))</f>
        <v>7.1700199999999974</v>
      </c>
      <c r="P587">
        <f t="shared" si="19"/>
        <v>7.1700199999999974</v>
      </c>
    </row>
    <row r="588" spans="1:16" x14ac:dyDescent="0.2">
      <c r="A588" s="9">
        <v>42704</v>
      </c>
      <c r="B588" s="8" t="s">
        <v>77</v>
      </c>
      <c r="C588">
        <v>17</v>
      </c>
      <c r="D588" s="8" t="s">
        <v>61</v>
      </c>
      <c r="F588" s="8">
        <v>3.94</v>
      </c>
      <c r="J588">
        <f>139+207+221+224+225+227</f>
        <v>1243</v>
      </c>
      <c r="K588">
        <v>6</v>
      </c>
      <c r="L588">
        <v>227</v>
      </c>
      <c r="O588">
        <f>IF(AND(OR(D588="S. acutus",D588="S. californicus",D588="S. tabernaemontani"),G588=0),E588*[1]Sheet1!$D$7+[1]Sheet1!$L$7,IF(AND(OR(D588="S. acutus",D588="S. tabernaemontani"),G588&gt;0),E588*[1]Sheet1!$D$8+N588*[1]Sheet1!$E$8,IF(AND(D588="S. californicus",G588&gt;0),E588*[1]Sheet1!$D$9+N588*[1]Sheet1!$E$9,IF(D588="S.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latifolia"),E588&gt;0),F588*[1]Sheet1!$C$4+E588*[1]Sheet1!$D$4+H588*[1]Sheet1!$J$4+I588*[1]Sheet1!$K$4+[1]Sheet1!$L$4,IF(AND(OR(D588="T. domingensis",D588="T. latifolia"),J588&gt;0),J588*[1]Sheet1!$G$5+K588*[1]Sheet1!$H$5+L588*[1]Sheet1!$I$5+[1]Sheet1!$L$5,0)))))))</f>
        <v>39.057716000000006</v>
      </c>
      <c r="P588">
        <f t="shared" si="19"/>
        <v>39.057716000000006</v>
      </c>
    </row>
    <row r="589" spans="1:16" x14ac:dyDescent="0.2">
      <c r="A589" s="9">
        <v>42704</v>
      </c>
      <c r="B589" s="8" t="s">
        <v>77</v>
      </c>
      <c r="C589">
        <v>17</v>
      </c>
      <c r="D589" s="8" t="s">
        <v>61</v>
      </c>
      <c r="F589" s="8">
        <v>6.05</v>
      </c>
      <c r="J589">
        <f>147+175+209+221+271+311+310+284</f>
        <v>1928</v>
      </c>
      <c r="K589">
        <v>8</v>
      </c>
      <c r="L589">
        <v>311</v>
      </c>
      <c r="O589">
        <f>IF(AND(OR(D589="S. acutus",D589="S. californicus",D589="S. tabernaemontani"),G589=0),E589*[1]Sheet1!$D$7+[1]Sheet1!$L$7,IF(AND(OR(D589="S. acutus",D589="S. tabernaemontani"),G589&gt;0),E589*[1]Sheet1!$D$8+N589*[1]Sheet1!$E$8,IF(AND(D589="S. californicus",G589&gt;0),E589*[1]Sheet1!$D$9+N589*[1]Sheet1!$E$9,IF(D589="S.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latifolia"),E589&gt;0),F589*[1]Sheet1!$C$4+E589*[1]Sheet1!$D$4+H589*[1]Sheet1!$J$4+I589*[1]Sheet1!$K$4+[1]Sheet1!$L$4,IF(AND(OR(D589="T. domingensis",D589="T. latifolia"),J589&gt;0),J589*[1]Sheet1!$G$5+K589*[1]Sheet1!$H$5+L589*[1]Sheet1!$I$5+[1]Sheet1!$L$5,0)))))))</f>
        <v>63.930605000000035</v>
      </c>
      <c r="P589">
        <f t="shared" si="19"/>
        <v>63.930605000000035</v>
      </c>
    </row>
    <row r="590" spans="1:16" x14ac:dyDescent="0.2">
      <c r="A590" s="9">
        <v>42704</v>
      </c>
      <c r="B590" s="8" t="s">
        <v>77</v>
      </c>
      <c r="C590">
        <v>17</v>
      </c>
      <c r="D590" s="8" t="s">
        <v>61</v>
      </c>
      <c r="F590" s="8">
        <v>2.42</v>
      </c>
      <c r="J590">
        <f>88+151+178+187+192</f>
        <v>796</v>
      </c>
      <c r="K590">
        <v>5</v>
      </c>
      <c r="L590">
        <v>192</v>
      </c>
      <c r="O590">
        <f>IF(AND(OR(D590="S. acutus",D590="S. californicus",D590="S. tabernaemontani"),G590=0),E590*[1]Sheet1!$D$7+[1]Sheet1!$L$7,IF(AND(OR(D590="S. acutus",D590="S. tabernaemontani"),G590&gt;0),E590*[1]Sheet1!$D$8+N590*[1]Sheet1!$E$8,IF(AND(D590="S. californicus",G590&gt;0),E590*[1]Sheet1!$D$9+N590*[1]Sheet1!$E$9,IF(D590="S.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latifolia"),E590&gt;0),F590*[1]Sheet1!$C$4+E590*[1]Sheet1!$D$4+H590*[1]Sheet1!$J$4+I590*[1]Sheet1!$K$4+[1]Sheet1!$L$4,IF(AND(OR(D590="T. domingensis",D590="T. latifolia"),J590&gt;0),J590*[1]Sheet1!$G$5+K590*[1]Sheet1!$H$5+L590*[1]Sheet1!$I$5+[1]Sheet1!$L$5,0)))))))</f>
        <v>14.715159</v>
      </c>
      <c r="P590">
        <f t="shared" si="19"/>
        <v>14.715159</v>
      </c>
    </row>
    <row r="591" spans="1:16" x14ac:dyDescent="0.2">
      <c r="A591" s="9">
        <v>42704</v>
      </c>
      <c r="B591" s="8" t="s">
        <v>77</v>
      </c>
      <c r="C591">
        <v>14</v>
      </c>
      <c r="D591" s="8" t="s">
        <v>61</v>
      </c>
      <c r="F591" s="8">
        <v>2.91</v>
      </c>
      <c r="J591">
        <f>213+220+227+230+238</f>
        <v>1128</v>
      </c>
      <c r="K591">
        <v>5</v>
      </c>
      <c r="L591">
        <v>238</v>
      </c>
      <c r="O591">
        <f>IF(AND(OR(D591="S. acutus",D591="S. californicus",D591="S. tabernaemontani"),G591=0),E591*[1]Sheet1!$D$7+[1]Sheet1!$L$7,IF(AND(OR(D591="S. acutus",D591="S. tabernaemontani"),G591&gt;0),E591*[1]Sheet1!$D$8+N591*[1]Sheet1!$E$8,IF(AND(D591="S. californicus",G591&gt;0),E591*[1]Sheet1!$D$9+N591*[1]Sheet1!$E$9,IF(D591="S.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latifolia"),E591&gt;0),F591*[1]Sheet1!$C$4+E591*[1]Sheet1!$D$4+H591*[1]Sheet1!$J$4+I591*[1]Sheet1!$K$4+[1]Sheet1!$L$4,IF(AND(OR(D591="T. domingensis",D591="T. latifolia"),J591&gt;0),J591*[1]Sheet1!$G$5+K591*[1]Sheet1!$H$5+L591*[1]Sheet1!$I$5+[1]Sheet1!$L$5,0)))))))</f>
        <v>31.984549000000008</v>
      </c>
      <c r="P591">
        <f t="shared" si="19"/>
        <v>31.984549000000008</v>
      </c>
    </row>
    <row r="592" spans="1:16" x14ac:dyDescent="0.2">
      <c r="A592" s="9">
        <v>42704</v>
      </c>
      <c r="B592" s="8" t="s">
        <v>77</v>
      </c>
      <c r="C592">
        <v>14</v>
      </c>
      <c r="D592" s="8" t="s">
        <v>61</v>
      </c>
      <c r="F592" s="8">
        <v>2.21</v>
      </c>
      <c r="J592">
        <f>17+75</f>
        <v>92</v>
      </c>
      <c r="K592">
        <v>2</v>
      </c>
      <c r="L592">
        <v>75</v>
      </c>
      <c r="O592">
        <f>IF(AND(OR(D592="S. acutus",D592="S. californicus",D592="S. tabernaemontani"),G592=0),E592*[1]Sheet1!$D$7+[1]Sheet1!$L$7,IF(AND(OR(D592="S. acutus",D592="S. tabernaemontani"),G592&gt;0),E592*[1]Sheet1!$D$8+N592*[1]Sheet1!$E$8,IF(AND(D592="S. californicus",G592&gt;0),E592*[1]Sheet1!$D$9+N592*[1]Sheet1!$E$9,IF(D592="S.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latifolia"),E592&gt;0),F592*[1]Sheet1!$C$4+E592*[1]Sheet1!$D$4+H592*[1]Sheet1!$J$4+I592*[1]Sheet1!$K$4+[1]Sheet1!$L$4,IF(AND(OR(D592="T. domingensis",D592="T. latifolia"),J592&gt;0),J592*[1]Sheet1!$G$5+K592*[1]Sheet1!$H$5+L592*[1]Sheet1!$I$5+[1]Sheet1!$L$5,0)))))))</f>
        <v>5.024363000000001</v>
      </c>
      <c r="P592">
        <f t="shared" si="19"/>
        <v>5.024363000000001</v>
      </c>
    </row>
    <row r="593" spans="1:16" x14ac:dyDescent="0.2">
      <c r="A593" s="9">
        <v>42704</v>
      </c>
      <c r="B593" s="8" t="s">
        <v>77</v>
      </c>
      <c r="C593">
        <v>14</v>
      </c>
      <c r="D593" s="8" t="s">
        <v>62</v>
      </c>
      <c r="E593">
        <v>233</v>
      </c>
      <c r="F593" s="8">
        <v>2.08</v>
      </c>
      <c r="H593">
        <v>22</v>
      </c>
      <c r="I593">
        <v>2.0099999999999998</v>
      </c>
      <c r="O593">
        <f>IF(AND(OR(D593="S. acutus",D593="S. californicus",D593="S. tabernaemontani"),G593=0),E593*[1]Sheet1!$D$7+[1]Sheet1!$L$7,IF(AND(OR(D593="S. acutus",D593="S. tabernaemontani"),G593&gt;0),E593*[1]Sheet1!$D$8+N593*[1]Sheet1!$E$8,IF(AND(D593="S. californicus",G593&gt;0),E593*[1]Sheet1!$D$9+N593*[1]Sheet1!$E$9,IF(D593="S.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latifolia"),E593&gt;0),F593*[1]Sheet1!$C$4+E593*[1]Sheet1!$D$4+H593*[1]Sheet1!$J$4+I593*[1]Sheet1!$K$4+[1]Sheet1!$L$4,IF(AND(OR(D593="T. domingensis",D593="T. latifolia"),J593&gt;0),J593*[1]Sheet1!$G$5+K593*[1]Sheet1!$H$5+L593*[1]Sheet1!$I$5+[1]Sheet1!$L$5,0)))))))</f>
        <v>68.274464440000003</v>
      </c>
      <c r="P593">
        <f t="shared" si="19"/>
        <v>68.274464440000003</v>
      </c>
    </row>
    <row r="594" spans="1:16" x14ac:dyDescent="0.2">
      <c r="A594" s="9">
        <v>42704</v>
      </c>
      <c r="B594" s="8" t="s">
        <v>77</v>
      </c>
      <c r="C594">
        <v>14</v>
      </c>
      <c r="D594" s="8" t="s">
        <v>61</v>
      </c>
      <c r="F594" s="8">
        <v>2.14</v>
      </c>
      <c r="J594">
        <f>122+169+149+72+53+29</f>
        <v>594</v>
      </c>
      <c r="K594">
        <v>6</v>
      </c>
      <c r="L594">
        <v>169</v>
      </c>
      <c r="O594">
        <f>IF(AND(OR(D594="S. acutus",D594="S. californicus",D594="S. tabernaemontani"),G594=0),E594*[1]Sheet1!$D$7+[1]Sheet1!$L$7,IF(AND(OR(D594="S. acutus",D594="S. tabernaemontani"),G594&gt;0),E594*[1]Sheet1!$D$8+N594*[1]Sheet1!$E$8,IF(AND(D594="S. californicus",G594&gt;0),E594*[1]Sheet1!$D$9+N594*[1]Sheet1!$E$9,IF(D594="S.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latifolia"),E594&gt;0),F594*[1]Sheet1!$C$4+E594*[1]Sheet1!$D$4+H594*[1]Sheet1!$J$4+I594*[1]Sheet1!$K$4+[1]Sheet1!$L$4,IF(AND(OR(D594="T. domingensis",D594="T. latifolia"),J594&gt;0),J594*[1]Sheet1!$G$5+K594*[1]Sheet1!$H$5+L594*[1]Sheet1!$I$5+[1]Sheet1!$L$5,0)))))))</f>
        <v>-4.3170689999999965</v>
      </c>
      <c r="P594" t="str">
        <f t="shared" si="19"/>
        <v xml:space="preserve"> </v>
      </c>
    </row>
    <row r="595" spans="1:16" x14ac:dyDescent="0.2">
      <c r="A595" s="9">
        <v>42704</v>
      </c>
      <c r="B595" s="8" t="s">
        <v>77</v>
      </c>
      <c r="C595">
        <v>14</v>
      </c>
      <c r="D595" s="8" t="s">
        <v>62</v>
      </c>
      <c r="E595">
        <v>240</v>
      </c>
      <c r="F595" s="8">
        <v>2.46</v>
      </c>
      <c r="H595">
        <v>30</v>
      </c>
      <c r="I595">
        <v>2.15</v>
      </c>
      <c r="O595">
        <f>IF(AND(OR(D595="S. acutus",D595="S. californicus",D595="S. tabernaemontani"),G595=0),E595*[1]Sheet1!$D$7+[1]Sheet1!$L$7,IF(AND(OR(D595="S. acutus",D595="S. tabernaemontani"),G595&gt;0),E595*[1]Sheet1!$D$8+N595*[1]Sheet1!$E$8,IF(AND(D595="S. californicus",G595&gt;0),E595*[1]Sheet1!$D$9+N595*[1]Sheet1!$E$9,IF(D595="S.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latifolia"),E595&gt;0),F595*[1]Sheet1!$C$4+E595*[1]Sheet1!$D$4+H595*[1]Sheet1!$J$4+I595*[1]Sheet1!$K$4+[1]Sheet1!$L$4,IF(AND(OR(D595="T. domingensis",D595="T. latifolia"),J595&gt;0),J595*[1]Sheet1!$G$5+K595*[1]Sheet1!$H$5+L595*[1]Sheet1!$I$5+[1]Sheet1!$L$5,0)))))))</f>
        <v>87.609963020000009</v>
      </c>
      <c r="P595">
        <f t="shared" si="19"/>
        <v>87.609963020000009</v>
      </c>
    </row>
    <row r="596" spans="1:16" x14ac:dyDescent="0.2">
      <c r="A596" s="9">
        <v>42704</v>
      </c>
      <c r="B596" s="8" t="s">
        <v>77</v>
      </c>
      <c r="C596">
        <v>14</v>
      </c>
      <c r="D596" s="8" t="s">
        <v>61</v>
      </c>
      <c r="F596" s="8">
        <v>1.29</v>
      </c>
      <c r="J596">
        <f>45+20+75+132+71+115+111</f>
        <v>569</v>
      </c>
      <c r="K596">
        <v>7</v>
      </c>
      <c r="L596">
        <v>132</v>
      </c>
      <c r="O596">
        <f>IF(AND(OR(D596="S. acutus",D596="S. californicus",D596="S. tabernaemontani"),G596=0),E596*[1]Sheet1!$D$7+[1]Sheet1!$L$7,IF(AND(OR(D596="S. acutus",D596="S. tabernaemontani"),G596&gt;0),E596*[1]Sheet1!$D$8+N596*[1]Sheet1!$E$8,IF(AND(D596="S. californicus",G596&gt;0),E596*[1]Sheet1!$D$9+N596*[1]Sheet1!$E$9,IF(D596="S.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latifolia"),E596&gt;0),F596*[1]Sheet1!$C$4+E596*[1]Sheet1!$D$4+H596*[1]Sheet1!$J$4+I596*[1]Sheet1!$K$4+[1]Sheet1!$L$4,IF(AND(OR(D596="T. domingensis",D596="T. latifolia"),J596&gt;0),J596*[1]Sheet1!$G$5+K596*[1]Sheet1!$H$5+L596*[1]Sheet1!$I$5+[1]Sheet1!$L$5,0)))))))</f>
        <v>-2.5372319999999959</v>
      </c>
      <c r="P596" t="str">
        <f t="shared" si="19"/>
        <v xml:space="preserve"> </v>
      </c>
    </row>
    <row r="597" spans="1:16" x14ac:dyDescent="0.2">
      <c r="A597" s="9">
        <v>42704</v>
      </c>
      <c r="B597" s="8" t="s">
        <v>77</v>
      </c>
      <c r="C597">
        <v>14</v>
      </c>
      <c r="D597" s="8" t="s">
        <v>62</v>
      </c>
      <c r="E597">
        <v>180</v>
      </c>
      <c r="F597" s="8">
        <v>1.74</v>
      </c>
      <c r="H597">
        <v>13</v>
      </c>
      <c r="I597">
        <v>1.53</v>
      </c>
      <c r="O597">
        <f>IF(AND(OR(D597="S. acutus",D597="S. californicus",D597="S. tabernaemontani"),G597=0),E597*[1]Sheet1!$D$7+[1]Sheet1!$L$7,IF(AND(OR(D597="S. acutus",D597="S. tabernaemontani"),G597&gt;0),E597*[1]Sheet1!$D$8+N597*[1]Sheet1!$E$8,IF(AND(D597="S. californicus",G597&gt;0),E597*[1]Sheet1!$D$9+N597*[1]Sheet1!$E$9,IF(D597="S.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latifolia"),E597&gt;0),F597*[1]Sheet1!$C$4+E597*[1]Sheet1!$D$4+H597*[1]Sheet1!$J$4+I597*[1]Sheet1!$K$4+[1]Sheet1!$L$4,IF(AND(OR(D597="T. domingensis",D597="T. latifolia"),J597&gt;0),J597*[1]Sheet1!$G$5+K597*[1]Sheet1!$H$5+L597*[1]Sheet1!$I$5+[1]Sheet1!$L$5,0)))))))</f>
        <v>28.858884419999995</v>
      </c>
      <c r="P597">
        <f t="shared" si="19"/>
        <v>28.858884419999995</v>
      </c>
    </row>
    <row r="598" spans="1:16" x14ac:dyDescent="0.2">
      <c r="A598" s="9">
        <v>42704</v>
      </c>
      <c r="B598" s="8" t="s">
        <v>77</v>
      </c>
      <c r="C598">
        <v>14</v>
      </c>
      <c r="D598" s="8" t="s">
        <v>62</v>
      </c>
      <c r="E598">
        <v>230</v>
      </c>
      <c r="F598" s="8">
        <v>2.52</v>
      </c>
      <c r="H598">
        <v>28</v>
      </c>
      <c r="I598">
        <v>2.09</v>
      </c>
      <c r="O598">
        <f>IF(AND(OR(D598="S. acutus",D598="S. californicus",D598="S. tabernaemontani"),G598=0),E598*[1]Sheet1!$D$7+[1]Sheet1!$L$7,IF(AND(OR(D598="S. acutus",D598="S. tabernaemontani"),G598&gt;0),E598*[1]Sheet1!$D$8+N598*[1]Sheet1!$E$8,IF(AND(D598="S. californicus",G598&gt;0),E598*[1]Sheet1!$D$9+N598*[1]Sheet1!$E$9,IF(D598="S.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latifolia"),E598&gt;0),F598*[1]Sheet1!$C$4+E598*[1]Sheet1!$D$4+H598*[1]Sheet1!$J$4+I598*[1]Sheet1!$K$4+[1]Sheet1!$L$4,IF(AND(OR(D598="T. domingensis",D598="T. latifolia"),J598&gt;0),J598*[1]Sheet1!$G$5+K598*[1]Sheet1!$H$5+L598*[1]Sheet1!$I$5+[1]Sheet1!$L$5,0)))))))</f>
        <v>82.817921160000026</v>
      </c>
      <c r="P598">
        <f t="shared" si="19"/>
        <v>82.817921160000026</v>
      </c>
    </row>
    <row r="599" spans="1:16" x14ac:dyDescent="0.2">
      <c r="A599" s="9">
        <v>42704</v>
      </c>
      <c r="B599" s="8" t="s">
        <v>77</v>
      </c>
      <c r="C599">
        <v>14</v>
      </c>
      <c r="D599" s="8" t="s">
        <v>61</v>
      </c>
      <c r="F599" s="8">
        <v>5.04</v>
      </c>
      <c r="J599">
        <f>151+154+101+167+244+85+218</f>
        <v>1120</v>
      </c>
      <c r="K599">
        <v>7</v>
      </c>
      <c r="L599">
        <v>244</v>
      </c>
      <c r="O599">
        <f>IF(AND(OR(D599="S. acutus",D599="S. californicus",D599="S. tabernaemontani"),G599=0),E599*[1]Sheet1!$D$7+[1]Sheet1!$L$7,IF(AND(OR(D599="S. acutus",D599="S. tabernaemontani"),G599&gt;0),E599*[1]Sheet1!$D$8+N599*[1]Sheet1!$E$8,IF(AND(D599="S. californicus",G599&gt;0),E599*[1]Sheet1!$D$9+N599*[1]Sheet1!$E$9,IF(D599="S.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latifolia"),E599&gt;0),F599*[1]Sheet1!$C$4+E599*[1]Sheet1!$D$4+H599*[1]Sheet1!$J$4+I599*[1]Sheet1!$K$4+[1]Sheet1!$L$4,IF(AND(OR(D599="T. domingensis",D599="T. latifolia"),J599&gt;0),J599*[1]Sheet1!$G$5+K599*[1]Sheet1!$H$5+L599*[1]Sheet1!$I$5+[1]Sheet1!$L$5,0)))))))</f>
        <v>15.38233300000001</v>
      </c>
      <c r="P599">
        <f t="shared" si="19"/>
        <v>15.38233300000001</v>
      </c>
    </row>
    <row r="600" spans="1:16" x14ac:dyDescent="0.2">
      <c r="A600" s="9">
        <v>42704</v>
      </c>
      <c r="B600" s="8" t="s">
        <v>77</v>
      </c>
      <c r="C600">
        <v>14</v>
      </c>
      <c r="D600" s="8" t="s">
        <v>61</v>
      </c>
      <c r="F600" s="8">
        <v>2.1</v>
      </c>
      <c r="J600">
        <f>203+205+213+229</f>
        <v>850</v>
      </c>
      <c r="K600">
        <v>4</v>
      </c>
      <c r="L600">
        <v>229</v>
      </c>
      <c r="O600">
        <f>IF(AND(OR(D600="S. acutus",D600="S. californicus",D600="S. tabernaemontani"),G600=0),E600*[1]Sheet1!$D$7+[1]Sheet1!$L$7,IF(AND(OR(D600="S. acutus",D600="S. tabernaemontani"),G600&gt;0),E600*[1]Sheet1!$D$8+N600*[1]Sheet1!$E$8,IF(AND(D600="S. californicus",G600&gt;0),E600*[1]Sheet1!$D$9+N600*[1]Sheet1!$E$9,IF(D600="S.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latifolia"),E600&gt;0),F600*[1]Sheet1!$C$4+E600*[1]Sheet1!$D$4+H600*[1]Sheet1!$J$4+I600*[1]Sheet1!$K$4+[1]Sheet1!$L$4,IF(AND(OR(D600="T. domingensis",D600="T. latifolia"),J600&gt;0),J600*[1]Sheet1!$G$5+K600*[1]Sheet1!$H$5+L600*[1]Sheet1!$I$5+[1]Sheet1!$L$5,0)))))))</f>
        <v>15.65421700000001</v>
      </c>
      <c r="P600">
        <f t="shared" si="19"/>
        <v>15.65421700000001</v>
      </c>
    </row>
    <row r="601" spans="1:16" x14ac:dyDescent="0.2">
      <c r="A601" s="9">
        <v>42704</v>
      </c>
      <c r="B601" s="8" t="s">
        <v>77</v>
      </c>
      <c r="C601">
        <v>14</v>
      </c>
      <c r="D601" s="8" t="s">
        <v>62</v>
      </c>
      <c r="E601">
        <v>259</v>
      </c>
      <c r="F601" s="8">
        <v>2.93</v>
      </c>
      <c r="H601">
        <v>36</v>
      </c>
      <c r="I601">
        <v>2.34</v>
      </c>
      <c r="O601">
        <f>IF(AND(OR(D601="S. acutus",D601="S. californicus",D601="S. tabernaemontani"),G601=0),E601*[1]Sheet1!$D$7+[1]Sheet1!$L$7,IF(AND(OR(D601="S. acutus",D601="S. tabernaemontani"),G601&gt;0),E601*[1]Sheet1!$D$8+N601*[1]Sheet1!$E$8,IF(AND(D601="S. californicus",G601&gt;0),E601*[1]Sheet1!$D$9+N601*[1]Sheet1!$E$9,IF(D601="S.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latifolia"),E601&gt;0),F601*[1]Sheet1!$C$4+E601*[1]Sheet1!$D$4+H601*[1]Sheet1!$J$4+I601*[1]Sheet1!$K$4+[1]Sheet1!$L$4,IF(AND(OR(D601="T. domingensis",D601="T. latifolia"),J601&gt;0),J601*[1]Sheet1!$G$5+K601*[1]Sheet1!$H$5+L601*[1]Sheet1!$I$5+[1]Sheet1!$L$5,0)))))))</f>
        <v>111.33907952999999</v>
      </c>
      <c r="P601">
        <f t="shared" si="19"/>
        <v>111.33907952999999</v>
      </c>
    </row>
    <row r="602" spans="1:16" x14ac:dyDescent="0.2">
      <c r="A602" s="9">
        <v>42704</v>
      </c>
      <c r="B602" s="8" t="s">
        <v>77</v>
      </c>
      <c r="C602">
        <v>14</v>
      </c>
      <c r="D602" s="8" t="s">
        <v>62</v>
      </c>
      <c r="E602">
        <v>376</v>
      </c>
      <c r="F602" s="8">
        <v>3.15</v>
      </c>
      <c r="H602">
        <v>21</v>
      </c>
      <c r="I602">
        <v>1.87</v>
      </c>
      <c r="O602">
        <f>IF(AND(OR(D602="S. acutus",D602="S. californicus",D602="S. tabernaemontani"),G602=0),E602*[1]Sheet1!$D$7+[1]Sheet1!$L$7,IF(AND(OR(D602="S. acutus",D602="S. tabernaemontani"),G602&gt;0),E602*[1]Sheet1!$D$8+N602*[1]Sheet1!$E$8,IF(AND(D602="S. californicus",G602&gt;0),E602*[1]Sheet1!$D$9+N602*[1]Sheet1!$E$9,IF(D602="S.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latifolia"),E602&gt;0),F602*[1]Sheet1!$C$4+E602*[1]Sheet1!$D$4+H602*[1]Sheet1!$J$4+I602*[1]Sheet1!$K$4+[1]Sheet1!$L$4,IF(AND(OR(D602="T. domingensis",D602="T. latifolia"),J602&gt;0),J602*[1]Sheet1!$G$5+K602*[1]Sheet1!$H$5+L602*[1]Sheet1!$I$5+[1]Sheet1!$L$5,0)))))))</f>
        <v>128.96452591000002</v>
      </c>
      <c r="P602">
        <f t="shared" si="19"/>
        <v>128.96452591000002</v>
      </c>
    </row>
    <row r="603" spans="1:16" x14ac:dyDescent="0.2">
      <c r="A603" s="9">
        <v>42704</v>
      </c>
      <c r="B603" s="8" t="s">
        <v>77</v>
      </c>
      <c r="C603">
        <v>13</v>
      </c>
      <c r="D603" s="8" t="s">
        <v>61</v>
      </c>
      <c r="F603" s="8">
        <v>4.17</v>
      </c>
      <c r="J603">
        <f>24+125+140+130+138+106</f>
        <v>663</v>
      </c>
      <c r="K603">
        <v>6</v>
      </c>
      <c r="L603">
        <v>140</v>
      </c>
      <c r="O603">
        <f>IF(AND(OR(D603="S. acutus",D603="S. californicus",D603="S. tabernaemontani"),G603=0),E603*[1]Sheet1!$D$7+[1]Sheet1!$L$7,IF(AND(OR(D603="S. acutus",D603="S. tabernaemontani"),G603&gt;0),E603*[1]Sheet1!$D$8+N603*[1]Sheet1!$E$8,IF(AND(D603="S. californicus",G603&gt;0),E603*[1]Sheet1!$D$9+N603*[1]Sheet1!$E$9,IF(D603="S.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latifolia"),E603&gt;0),F603*[1]Sheet1!$C$4+E603*[1]Sheet1!$D$4+H603*[1]Sheet1!$J$4+I603*[1]Sheet1!$K$4+[1]Sheet1!$L$4,IF(AND(OR(D603="T. domingensis",D603="T. latifolia"),J603&gt;0),J603*[1]Sheet1!$G$5+K603*[1]Sheet1!$H$5+L603*[1]Sheet1!$I$5+[1]Sheet1!$L$5,0)))))))</f>
        <v>10.888131000000001</v>
      </c>
      <c r="P603">
        <f t="shared" si="19"/>
        <v>10.888131000000001</v>
      </c>
    </row>
    <row r="604" spans="1:16" x14ac:dyDescent="0.2">
      <c r="A604" s="9">
        <v>42704</v>
      </c>
      <c r="B604" s="8" t="s">
        <v>77</v>
      </c>
      <c r="C604">
        <v>13</v>
      </c>
      <c r="D604" s="8" t="s">
        <v>61</v>
      </c>
      <c r="F604" s="8">
        <v>6.7</v>
      </c>
      <c r="J604">
        <f>164+166+180+191+207+217+218+224+233+235</f>
        <v>2035</v>
      </c>
      <c r="K604">
        <v>10</v>
      </c>
      <c r="L604">
        <v>235</v>
      </c>
      <c r="O604">
        <f>IF(AND(OR(D604="S. acutus",D604="S. californicus",D604="S. tabernaemontani"),G604=0),E604*[1]Sheet1!$D$7+[1]Sheet1!$L$7,IF(AND(OR(D604="S. acutus",D604="S. tabernaemontani"),G604&gt;0),E604*[1]Sheet1!$D$8+N604*[1]Sheet1!$E$8,IF(AND(D604="S. californicus",G604&gt;0),E604*[1]Sheet1!$D$9+N604*[1]Sheet1!$E$9,IF(D604="S.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latifolia"),E604&gt;0),F604*[1]Sheet1!$C$4+E604*[1]Sheet1!$D$4+H604*[1]Sheet1!$J$4+I604*[1]Sheet1!$K$4+[1]Sheet1!$L$4,IF(AND(OR(D604="T. domingensis",D604="T. latifolia"),J604&gt;0),J604*[1]Sheet1!$G$5+K604*[1]Sheet1!$H$5+L604*[1]Sheet1!$I$5+[1]Sheet1!$L$5,0)))))))</f>
        <v>82.812304000000012</v>
      </c>
      <c r="P604">
        <f t="shared" si="19"/>
        <v>82.812304000000012</v>
      </c>
    </row>
    <row r="605" spans="1:16" x14ac:dyDescent="0.2">
      <c r="A605" s="9">
        <v>42704</v>
      </c>
      <c r="B605" s="8" t="s">
        <v>77</v>
      </c>
      <c r="C605">
        <v>13</v>
      </c>
      <c r="D605" s="8" t="s">
        <v>61</v>
      </c>
      <c r="F605" s="8">
        <v>5.13</v>
      </c>
      <c r="J605">
        <f>93+140+152+153+174+189+190+201+201+207</f>
        <v>1700</v>
      </c>
      <c r="K605">
        <v>10</v>
      </c>
      <c r="L605">
        <v>207</v>
      </c>
      <c r="O605">
        <f>IF(AND(OR(D605="S. acutus",D605="S. californicus",D605="S. tabernaemontani"),G605=0),E605*[1]Sheet1!$D$7+[1]Sheet1!$L$7,IF(AND(OR(D605="S. acutus",D605="S. tabernaemontani"),G605&gt;0),E605*[1]Sheet1!$D$8+N605*[1]Sheet1!$E$8,IF(AND(D605="S. californicus",G605&gt;0),E605*[1]Sheet1!$D$9+N605*[1]Sheet1!$E$9,IF(D605="S.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latifolia"),E605&gt;0),F605*[1]Sheet1!$C$4+E605*[1]Sheet1!$D$4+H605*[1]Sheet1!$J$4+I605*[1]Sheet1!$K$4+[1]Sheet1!$L$4,IF(AND(OR(D605="T. domingensis",D605="T. latifolia"),J605&gt;0),J605*[1]Sheet1!$G$5+K605*[1]Sheet1!$H$5+L605*[1]Sheet1!$I$5+[1]Sheet1!$L$5,0)))))))</f>
        <v>59.839238999999999</v>
      </c>
      <c r="P605">
        <f t="shared" si="19"/>
        <v>59.839238999999999</v>
      </c>
    </row>
    <row r="606" spans="1:16" x14ac:dyDescent="0.2">
      <c r="A606" s="9">
        <v>42704</v>
      </c>
      <c r="B606" s="8" t="s">
        <v>77</v>
      </c>
      <c r="C606">
        <v>13</v>
      </c>
      <c r="D606" s="8" t="s">
        <v>61</v>
      </c>
      <c r="F606" s="8">
        <v>2.41</v>
      </c>
      <c r="J606">
        <f>169+178+153+180+170</f>
        <v>850</v>
      </c>
      <c r="K606">
        <v>5</v>
      </c>
      <c r="L606">
        <v>180</v>
      </c>
      <c r="O606">
        <f>IF(AND(OR(D606="S. acutus",D606="S. californicus",D606="S. tabernaemontani"),G606=0),E606*[1]Sheet1!$D$7+[1]Sheet1!$L$7,IF(AND(OR(D606="S. acutus",D606="S. tabernaemontani"),G606&gt;0),E606*[1]Sheet1!$D$8+N606*[1]Sheet1!$E$8,IF(AND(D606="S. californicus",G606&gt;0),E606*[1]Sheet1!$D$9+N606*[1]Sheet1!$E$9,IF(D606="S.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latifolia"),E606&gt;0),F606*[1]Sheet1!$C$4+E606*[1]Sheet1!$D$4+H606*[1]Sheet1!$J$4+I606*[1]Sheet1!$K$4+[1]Sheet1!$L$4,IF(AND(OR(D606="T. domingensis",D606="T. latifolia"),J606&gt;0),J606*[1]Sheet1!$G$5+K606*[1]Sheet1!$H$5+L606*[1]Sheet1!$I$5+[1]Sheet1!$L$5,0)))))))</f>
        <v>23.392868999999997</v>
      </c>
      <c r="P606">
        <f t="shared" si="19"/>
        <v>23.392868999999997</v>
      </c>
    </row>
    <row r="607" spans="1:16" x14ac:dyDescent="0.2">
      <c r="A607" s="9">
        <v>42704</v>
      </c>
      <c r="B607" s="8" t="s">
        <v>77</v>
      </c>
      <c r="C607">
        <v>13</v>
      </c>
      <c r="D607" s="8" t="s">
        <v>61</v>
      </c>
      <c r="F607" s="8">
        <v>5.31</v>
      </c>
      <c r="J607">
        <f>161+202+204+215+216+217+218</f>
        <v>1433</v>
      </c>
      <c r="K607">
        <v>7</v>
      </c>
      <c r="L607">
        <v>218</v>
      </c>
      <c r="O607">
        <f>IF(AND(OR(D607="S. acutus",D607="S. californicus",D607="S. tabernaemontani"),G607=0),E607*[1]Sheet1!$D$7+[1]Sheet1!$L$7,IF(AND(OR(D607="S. acutus",D607="S. tabernaemontani"),G607&gt;0),E607*[1]Sheet1!$D$8+N607*[1]Sheet1!$E$8,IF(AND(D607="S. californicus",G607&gt;0),E607*[1]Sheet1!$D$9+N607*[1]Sheet1!$E$9,IF(D607="S.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latifolia"),E607&gt;0),F607*[1]Sheet1!$C$4+E607*[1]Sheet1!$D$4+H607*[1]Sheet1!$J$4+I607*[1]Sheet1!$K$4+[1]Sheet1!$L$4,IF(AND(OR(D607="T. domingensis",D607="T. latifolia"),J607&gt;0),J607*[1]Sheet1!$G$5+K607*[1]Sheet1!$H$5+L607*[1]Sheet1!$I$5+[1]Sheet1!$L$5,0)))))))</f>
        <v>52.560018000000021</v>
      </c>
      <c r="P607">
        <f t="shared" si="19"/>
        <v>52.560018000000021</v>
      </c>
    </row>
    <row r="608" spans="1:16" x14ac:dyDescent="0.2">
      <c r="A608" s="9">
        <v>42704</v>
      </c>
      <c r="B608" s="8" t="s">
        <v>77</v>
      </c>
      <c r="C608">
        <v>13</v>
      </c>
      <c r="D608" s="8" t="s">
        <v>61</v>
      </c>
      <c r="F608" s="8">
        <v>1.49</v>
      </c>
      <c r="J608">
        <f>24+73+119+112+80</f>
        <v>408</v>
      </c>
      <c r="K608">
        <v>5</v>
      </c>
      <c r="L608">
        <v>119</v>
      </c>
      <c r="O608">
        <f>IF(AND(OR(D608="S. acutus",D608="S. californicus",D608="S. tabernaemontani"),G608=0),E608*[1]Sheet1!$D$7+[1]Sheet1!$L$7,IF(AND(OR(D608="S. acutus",D608="S. tabernaemontani"),G608&gt;0),E608*[1]Sheet1!$D$8+N608*[1]Sheet1!$E$8,IF(AND(D608="S. californicus",G608&gt;0),E608*[1]Sheet1!$D$9+N608*[1]Sheet1!$E$9,IF(D608="S.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latifolia"),E608&gt;0),F608*[1]Sheet1!$C$4+E608*[1]Sheet1!$D$4+H608*[1]Sheet1!$J$4+I608*[1]Sheet1!$K$4+[1]Sheet1!$L$4,IF(AND(OR(D608="T. domingensis",D608="T. latifolia"),J608&gt;0),J608*[1]Sheet1!$G$5+K608*[1]Sheet1!$H$5+L608*[1]Sheet1!$I$5+[1]Sheet1!$L$5,0)))))))</f>
        <v>0.32910400000000095</v>
      </c>
      <c r="P608">
        <f t="shared" si="19"/>
        <v>0.32910400000000095</v>
      </c>
    </row>
    <row r="609" spans="1:16" x14ac:dyDescent="0.2">
      <c r="A609" s="9">
        <v>42704</v>
      </c>
      <c r="B609" s="8" t="s">
        <v>77</v>
      </c>
      <c r="C609">
        <v>13</v>
      </c>
      <c r="D609" s="8" t="s">
        <v>61</v>
      </c>
      <c r="F609" s="8">
        <v>0.75</v>
      </c>
      <c r="J609">
        <f>17+32+38+75</f>
        <v>162</v>
      </c>
      <c r="K609">
        <v>4</v>
      </c>
      <c r="L609">
        <v>75</v>
      </c>
      <c r="O609">
        <f>IF(AND(OR(D609="S. acutus",D609="S. californicus",D609="S. tabernaemontani"),G609=0),E609*[1]Sheet1!$D$7+[1]Sheet1!$L$7,IF(AND(OR(D609="S. acutus",D609="S. tabernaemontani"),G609&gt;0),E609*[1]Sheet1!$D$8+N609*[1]Sheet1!$E$8,IF(AND(D609="S. californicus",G609&gt;0),E609*[1]Sheet1!$D$9+N609*[1]Sheet1!$E$9,IF(D609="S.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latifolia"),E609&gt;0),F609*[1]Sheet1!$C$4+E609*[1]Sheet1!$D$4+H609*[1]Sheet1!$J$4+I609*[1]Sheet1!$K$4+[1]Sheet1!$L$4,IF(AND(OR(D609="T. domingensis",D609="T. latifolia"),J609&gt;0),J609*[1]Sheet1!$G$5+K609*[1]Sheet1!$H$5+L609*[1]Sheet1!$I$5+[1]Sheet1!$L$5,0)))))))</f>
        <v>-2.4574929999999995</v>
      </c>
      <c r="P609" t="str">
        <f t="shared" si="19"/>
        <v xml:space="preserve"> </v>
      </c>
    </row>
    <row r="610" spans="1:16" x14ac:dyDescent="0.2">
      <c r="A610" s="9">
        <v>42704</v>
      </c>
      <c r="B610" s="8" t="s">
        <v>77</v>
      </c>
      <c r="C610">
        <v>13</v>
      </c>
      <c r="D610" s="8" t="s">
        <v>61</v>
      </c>
      <c r="F610" s="8">
        <v>3.7</v>
      </c>
      <c r="J610">
        <f>56+116+117+142+158+170</f>
        <v>759</v>
      </c>
      <c r="K610">
        <v>6</v>
      </c>
      <c r="L610">
        <v>170</v>
      </c>
      <c r="O610">
        <f>IF(AND(OR(D610="S. acutus",D610="S. californicus",D610="S. tabernaemontani"),G610=0),E610*[1]Sheet1!$D$7+[1]Sheet1!$L$7,IF(AND(OR(D610="S. acutus",D610="S. tabernaemontani"),G610&gt;0),E610*[1]Sheet1!$D$8+N610*[1]Sheet1!$E$8,IF(AND(D610="S. californicus",G610&gt;0),E610*[1]Sheet1!$D$9+N610*[1]Sheet1!$E$9,IF(D610="S.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latifolia"),E610&gt;0),F610*[1]Sheet1!$C$4+E610*[1]Sheet1!$D$4+H610*[1]Sheet1!$J$4+I610*[1]Sheet1!$K$4+[1]Sheet1!$L$4,IF(AND(OR(D610="T. domingensis",D610="T. latifolia"),J610&gt;0),J610*[1]Sheet1!$G$5+K610*[1]Sheet1!$H$5+L610*[1]Sheet1!$I$5+[1]Sheet1!$L$5,0)))))))</f>
        <v>10.851261000000008</v>
      </c>
      <c r="P610">
        <f t="shared" si="19"/>
        <v>10.851261000000008</v>
      </c>
    </row>
    <row r="611" spans="1:16" x14ac:dyDescent="0.2">
      <c r="A611" s="9"/>
      <c r="B611" s="8"/>
      <c r="C611" s="8"/>
      <c r="D611" s="8"/>
    </row>
    <row r="612" spans="1:16" x14ac:dyDescent="0.2">
      <c r="A612" s="9"/>
      <c r="B612" s="8"/>
      <c r="C612" s="8"/>
      <c r="D612" s="8"/>
    </row>
    <row r="613" spans="1:16" x14ac:dyDescent="0.2">
      <c r="A613" s="9"/>
      <c r="B613" s="8"/>
      <c r="C613" s="8"/>
      <c r="D613" s="8"/>
    </row>
    <row r="614" spans="1:16" x14ac:dyDescent="0.2">
      <c r="A614" s="9"/>
      <c r="B614" s="8"/>
      <c r="C614" s="8"/>
      <c r="D614" s="8"/>
    </row>
    <row r="615" spans="1:16" x14ac:dyDescent="0.2">
      <c r="A615" s="9"/>
      <c r="B615" s="8"/>
      <c r="C615" s="8"/>
      <c r="D615" s="8"/>
    </row>
    <row r="616" spans="1:16" x14ac:dyDescent="0.2">
      <c r="A616" s="9"/>
      <c r="B616" s="8"/>
      <c r="C616" s="8"/>
      <c r="D616" s="8"/>
    </row>
    <row r="617" spans="1:16" x14ac:dyDescent="0.2">
      <c r="A617" s="9"/>
      <c r="B617" s="8"/>
      <c r="C617" s="8"/>
      <c r="D617" s="8"/>
    </row>
    <row r="618" spans="1:16" x14ac:dyDescent="0.2">
      <c r="A618" s="9"/>
      <c r="B618" s="8"/>
      <c r="C618" s="8"/>
      <c r="D618" s="8"/>
    </row>
    <row r="619" spans="1:16" x14ac:dyDescent="0.2">
      <c r="A619" s="9"/>
      <c r="B619" s="8"/>
      <c r="C619" s="8"/>
      <c r="D619" s="8"/>
    </row>
    <row r="620" spans="1:16" x14ac:dyDescent="0.2">
      <c r="A620" s="9"/>
      <c r="B620" s="8"/>
      <c r="C620" s="8"/>
      <c r="D620" s="8"/>
    </row>
    <row r="621" spans="1:16" x14ac:dyDescent="0.2">
      <c r="A621" s="9"/>
      <c r="B621" s="8"/>
      <c r="C621" s="8"/>
      <c r="D621" s="8"/>
    </row>
    <row r="622" spans="1:16" x14ac:dyDescent="0.2">
      <c r="A622" s="9"/>
      <c r="B622" s="8"/>
      <c r="C622" s="8"/>
      <c r="D622" s="8"/>
    </row>
    <row r="623" spans="1:16" x14ac:dyDescent="0.2">
      <c r="A623" s="9"/>
      <c r="B623" s="8"/>
      <c r="C623" s="8"/>
      <c r="D623" s="8"/>
    </row>
    <row r="624" spans="1:16" x14ac:dyDescent="0.2">
      <c r="A624" s="9"/>
      <c r="B624" s="8"/>
      <c r="C624" s="8"/>
      <c r="D624" s="8"/>
    </row>
    <row r="625" spans="1:4" x14ac:dyDescent="0.2">
      <c r="A625" s="9"/>
      <c r="B625" s="8"/>
      <c r="C625" s="8"/>
      <c r="D625" s="8"/>
    </row>
    <row r="626" spans="1:4" x14ac:dyDescent="0.2">
      <c r="A626" s="9"/>
      <c r="B626" s="8"/>
      <c r="C626" s="8"/>
      <c r="D626" s="8"/>
    </row>
    <row r="627" spans="1:4" x14ac:dyDescent="0.2">
      <c r="A627" s="9"/>
      <c r="B627" s="8"/>
      <c r="C627" s="8"/>
      <c r="D627" s="8"/>
    </row>
    <row r="628" spans="1:4" x14ac:dyDescent="0.2">
      <c r="A628" s="9"/>
      <c r="B628" s="8"/>
      <c r="C628" s="8"/>
      <c r="D628" s="8"/>
    </row>
    <row r="629" spans="1:4" x14ac:dyDescent="0.2">
      <c r="A629" s="9"/>
      <c r="B629" s="8"/>
      <c r="C629" s="8"/>
      <c r="D629" s="8"/>
    </row>
    <row r="630" spans="1:4" x14ac:dyDescent="0.2">
      <c r="A630" s="9"/>
      <c r="B630" s="8"/>
      <c r="C630" s="8"/>
      <c r="D630" s="8"/>
    </row>
    <row r="631" spans="1:4" x14ac:dyDescent="0.2">
      <c r="A631" s="9"/>
      <c r="B631" s="8"/>
      <c r="C631" s="8"/>
      <c r="D631" s="8"/>
    </row>
    <row r="632" spans="1:4" x14ac:dyDescent="0.2">
      <c r="A632" s="9"/>
      <c r="B632" s="8"/>
      <c r="C632" s="8"/>
      <c r="D632" s="8"/>
    </row>
    <row r="633" spans="1:4" x14ac:dyDescent="0.2">
      <c r="A633" s="9"/>
      <c r="B633" s="8"/>
      <c r="C633" s="8"/>
      <c r="D633" s="8"/>
    </row>
    <row r="634" spans="1:4" x14ac:dyDescent="0.2">
      <c r="A634" s="9"/>
      <c r="B634" s="8"/>
      <c r="C634" s="8"/>
      <c r="D634" s="8"/>
    </row>
    <row r="635" spans="1:4" x14ac:dyDescent="0.2">
      <c r="A635" s="9"/>
      <c r="B635" s="8"/>
      <c r="C635" s="8"/>
      <c r="D635" s="8"/>
    </row>
    <row r="636" spans="1:4" x14ac:dyDescent="0.2">
      <c r="A636" s="9"/>
      <c r="B636" s="8"/>
      <c r="C636" s="8"/>
      <c r="D636" s="8"/>
    </row>
    <row r="637" spans="1:4" x14ac:dyDescent="0.2">
      <c r="A637" s="9"/>
      <c r="B637" s="8"/>
      <c r="C637" s="8"/>
      <c r="D637" s="8"/>
    </row>
    <row r="638" spans="1:4" x14ac:dyDescent="0.2">
      <c r="A638" s="9"/>
      <c r="B638" s="8"/>
      <c r="C638" s="8"/>
      <c r="D638" s="8"/>
    </row>
    <row r="639" spans="1:4" x14ac:dyDescent="0.2">
      <c r="A639" s="9"/>
      <c r="B639" s="8"/>
      <c r="C639" s="8"/>
      <c r="D639" s="8"/>
    </row>
    <row r="640" spans="1:4" x14ac:dyDescent="0.2">
      <c r="A640" s="9"/>
      <c r="B640" s="8"/>
      <c r="C640" s="8"/>
      <c r="D640" s="8"/>
    </row>
    <row r="641" spans="1:4" x14ac:dyDescent="0.2">
      <c r="A641" s="9"/>
      <c r="B641" s="8"/>
      <c r="C641" s="8"/>
      <c r="D641" s="8"/>
    </row>
    <row r="642" spans="1:4" x14ac:dyDescent="0.2">
      <c r="A642" s="9"/>
      <c r="B642" s="8"/>
      <c r="C642" s="8"/>
      <c r="D642" s="8"/>
    </row>
    <row r="643" spans="1:4" x14ac:dyDescent="0.2">
      <c r="A643" s="9"/>
      <c r="B643" s="8"/>
      <c r="C643" s="8"/>
      <c r="D643" s="8"/>
    </row>
    <row r="644" spans="1:4" x14ac:dyDescent="0.2">
      <c r="A644" s="9"/>
      <c r="B644" s="8"/>
      <c r="C644" s="8"/>
      <c r="D644" s="8"/>
    </row>
    <row r="645" spans="1:4" x14ac:dyDescent="0.2">
      <c r="A645" s="9"/>
      <c r="B645" s="8"/>
      <c r="C645" s="8"/>
      <c r="D645" s="8"/>
    </row>
    <row r="646" spans="1:4" x14ac:dyDescent="0.2">
      <c r="A646" s="9"/>
      <c r="B646" s="8"/>
      <c r="C646" s="8"/>
      <c r="D646" s="8"/>
    </row>
    <row r="647" spans="1:4" x14ac:dyDescent="0.2">
      <c r="A647" s="9"/>
      <c r="B647" s="8"/>
      <c r="C647" s="8"/>
      <c r="D647" s="8"/>
    </row>
    <row r="648" spans="1:4" x14ac:dyDescent="0.2">
      <c r="A648" s="9"/>
      <c r="B648" s="8"/>
      <c r="C648" s="8"/>
      <c r="D648" s="8"/>
    </row>
    <row r="649" spans="1:4" x14ac:dyDescent="0.2">
      <c r="A649" s="9"/>
      <c r="B649" s="8"/>
      <c r="C649" s="8"/>
      <c r="D649" s="8"/>
    </row>
    <row r="650" spans="1:4" x14ac:dyDescent="0.2">
      <c r="A650" s="9"/>
      <c r="B650" s="8"/>
      <c r="C650" s="8"/>
      <c r="D650" s="8"/>
    </row>
    <row r="651" spans="1:4" x14ac:dyDescent="0.2">
      <c r="A651" s="9"/>
      <c r="B651" s="8"/>
      <c r="C651" s="8"/>
      <c r="D651" s="8"/>
    </row>
    <row r="652" spans="1:4" x14ac:dyDescent="0.2">
      <c r="A652" s="9"/>
      <c r="B652" s="8"/>
      <c r="C652" s="8"/>
      <c r="D652" s="8"/>
    </row>
    <row r="653" spans="1:4" x14ac:dyDescent="0.2">
      <c r="A653" s="9"/>
      <c r="B653" s="8"/>
      <c r="C653" s="8"/>
      <c r="D653" s="8"/>
    </row>
    <row r="654" spans="1:4" x14ac:dyDescent="0.2">
      <c r="A654" s="9"/>
      <c r="B654" s="8"/>
      <c r="C654" s="8"/>
      <c r="D654" s="8"/>
    </row>
    <row r="655" spans="1:4" x14ac:dyDescent="0.2">
      <c r="A655" s="9"/>
      <c r="B655" s="8"/>
      <c r="C655" s="8"/>
      <c r="D655" s="8"/>
    </row>
    <row r="656" spans="1:4" x14ac:dyDescent="0.2">
      <c r="A656" s="9"/>
      <c r="B656" s="8"/>
      <c r="C656" s="8"/>
      <c r="D656" s="8"/>
    </row>
    <row r="657" spans="1:4" x14ac:dyDescent="0.2">
      <c r="A657" s="9"/>
      <c r="B657" s="8"/>
      <c r="C657" s="8"/>
      <c r="D657" s="8"/>
    </row>
    <row r="658" spans="1:4" x14ac:dyDescent="0.2">
      <c r="A658" s="9"/>
      <c r="B658" s="8"/>
      <c r="C658" s="8"/>
      <c r="D658" s="8"/>
    </row>
    <row r="659" spans="1:4" x14ac:dyDescent="0.2">
      <c r="A659" s="9"/>
      <c r="B659" s="8"/>
      <c r="C659" s="8"/>
      <c r="D659" s="8"/>
    </row>
    <row r="660" spans="1:4" x14ac:dyDescent="0.2">
      <c r="A660" s="9"/>
      <c r="B660" s="8"/>
      <c r="C660" s="8"/>
      <c r="D660" s="8"/>
    </row>
    <row r="661" spans="1:4" x14ac:dyDescent="0.2">
      <c r="A661" s="7"/>
      <c r="B661" s="8"/>
      <c r="C661" s="8"/>
      <c r="D661" s="8"/>
    </row>
    <row r="662" spans="1:4" x14ac:dyDescent="0.2">
      <c r="A662" s="7"/>
      <c r="B662" s="8"/>
      <c r="C662" s="8"/>
      <c r="D662" s="8"/>
    </row>
    <row r="663" spans="1:4" x14ac:dyDescent="0.2">
      <c r="A663" s="7"/>
      <c r="B663" s="8"/>
      <c r="C663" s="8"/>
      <c r="D663" s="8"/>
    </row>
    <row r="664" spans="1:4" x14ac:dyDescent="0.2">
      <c r="A664" s="7"/>
      <c r="B664" s="8"/>
      <c r="C664" s="8"/>
    </row>
    <row r="665" spans="1:4" x14ac:dyDescent="0.2">
      <c r="A665" s="7"/>
      <c r="B665" s="8"/>
      <c r="C665" s="8"/>
      <c r="D665" s="8"/>
    </row>
    <row r="666" spans="1:4" x14ac:dyDescent="0.2">
      <c r="A666" s="7"/>
      <c r="B666" s="8"/>
      <c r="C666" s="8"/>
      <c r="D666" s="8"/>
    </row>
    <row r="667" spans="1:4" x14ac:dyDescent="0.2">
      <c r="A667" s="7"/>
      <c r="B667" s="8"/>
      <c r="C667" s="8"/>
      <c r="D667" s="8"/>
    </row>
    <row r="668" spans="1:4" x14ac:dyDescent="0.2">
      <c r="A668" s="7"/>
    </row>
    <row r="669" spans="1:4" x14ac:dyDescent="0.2">
      <c r="A669" s="7"/>
    </row>
    <row r="670" spans="1:4" x14ac:dyDescent="0.2">
      <c r="A670" s="7"/>
    </row>
    <row r="671" spans="1:4" x14ac:dyDescent="0.2">
      <c r="A671" s="7"/>
    </row>
    <row r="672" spans="1:4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</sheetData>
  <sortState ref="A4:S564">
    <sortCondition ref="B4:B564"/>
    <sortCondition descending="1" ref="C4:C564"/>
    <sortCondition ref="D4:D564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AH53" sqref="AH53"/>
    </sheetView>
  </sheetViews>
  <sheetFormatPr baseColWidth="10" defaultRowHeight="16" x14ac:dyDescent="0.2"/>
  <cols>
    <col min="9" max="9" width="10.83203125" customWidth="1"/>
  </cols>
  <sheetData>
    <row r="1" spans="1:34" ht="21" thickBot="1" x14ac:dyDescent="0.3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12"/>
      <c r="AA1" s="12"/>
    </row>
    <row r="2" spans="1:34" ht="106" thickTop="1" x14ac:dyDescent="0.2">
      <c r="A2" s="13" t="s">
        <v>28</v>
      </c>
      <c r="B2" s="13" t="s">
        <v>4</v>
      </c>
      <c r="C2" s="5" t="s">
        <v>29</v>
      </c>
      <c r="D2" s="14" t="s">
        <v>30</v>
      </c>
      <c r="E2" s="13" t="s">
        <v>31</v>
      </c>
      <c r="F2" s="5" t="s">
        <v>32</v>
      </c>
      <c r="G2" s="5" t="s">
        <v>30</v>
      </c>
      <c r="H2" s="13" t="s">
        <v>33</v>
      </c>
      <c r="I2" s="5" t="s">
        <v>34</v>
      </c>
      <c r="J2" s="5" t="s">
        <v>30</v>
      </c>
      <c r="K2" s="13" t="s">
        <v>35</v>
      </c>
      <c r="L2" s="5" t="s">
        <v>36</v>
      </c>
      <c r="M2" s="15" t="s">
        <v>30</v>
      </c>
      <c r="N2" s="13" t="s">
        <v>37</v>
      </c>
      <c r="O2" s="5" t="s">
        <v>38</v>
      </c>
      <c r="P2" s="5" t="s">
        <v>30</v>
      </c>
      <c r="Q2" s="13" t="s">
        <v>39</v>
      </c>
      <c r="R2" s="5" t="s">
        <v>40</v>
      </c>
      <c r="S2" s="15" t="s">
        <v>30</v>
      </c>
      <c r="T2" s="13" t="s">
        <v>41</v>
      </c>
      <c r="U2" s="5" t="s">
        <v>42</v>
      </c>
      <c r="V2" s="5" t="s">
        <v>30</v>
      </c>
      <c r="W2" s="13" t="s">
        <v>43</v>
      </c>
      <c r="X2" s="13" t="s">
        <v>44</v>
      </c>
      <c r="Y2" s="13" t="s">
        <v>45</v>
      </c>
      <c r="Z2" s="13" t="s">
        <v>46</v>
      </c>
      <c r="AA2" s="13" t="s">
        <v>47</v>
      </c>
      <c r="AB2" s="13" t="s">
        <v>48</v>
      </c>
      <c r="AC2" s="13" t="s">
        <v>49</v>
      </c>
      <c r="AD2" s="13" t="s">
        <v>50</v>
      </c>
      <c r="AE2" s="13" t="s">
        <v>51</v>
      </c>
      <c r="AF2" s="16" t="s">
        <v>52</v>
      </c>
      <c r="AG2" s="16" t="s">
        <v>53</v>
      </c>
      <c r="AH2" s="16" t="s">
        <v>54</v>
      </c>
    </row>
    <row r="3" spans="1:34" x14ac:dyDescent="0.2">
      <c r="A3" s="17" t="s">
        <v>55</v>
      </c>
      <c r="B3" s="18">
        <v>50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Measurements'!P85:P92)</f>
        <v>229.80538200000009</v>
      </c>
      <c r="S3" s="21"/>
      <c r="T3" s="18">
        <f>R3*4</f>
        <v>919.22152800000038</v>
      </c>
      <c r="U3" s="19"/>
      <c r="V3" s="21"/>
      <c r="W3" s="18">
        <f>U3*4</f>
        <v>0</v>
      </c>
      <c r="X3" s="18">
        <f>SUM(W3,T3,Q3,N3,K3,H3,E3)</f>
        <v>919.22152800000038</v>
      </c>
      <c r="Y3" s="22">
        <f>AVERAGE(X3:X7)</f>
        <v>1401.9583392240002</v>
      </c>
      <c r="Z3" s="23">
        <f>E3+Q3</f>
        <v>0</v>
      </c>
      <c r="AA3" s="23">
        <f>W3+T3</f>
        <v>919.22152800000038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3866.9127357471616</v>
      </c>
    </row>
    <row r="4" spans="1:34" x14ac:dyDescent="0.2">
      <c r="A4" s="24" t="s">
        <v>55</v>
      </c>
      <c r="B4" s="25">
        <v>15</v>
      </c>
      <c r="C4" s="26">
        <f>SUM('Plant Measurements'!P95,'Plant Measurements'!P96,'Plant Measurements'!P97,'Plant Measurements'!P98)</f>
        <v>26.645022000000001</v>
      </c>
      <c r="D4" s="27"/>
      <c r="E4" s="18">
        <f t="shared" ref="E4:E52" si="0">C4*4</f>
        <v>106.580088</v>
      </c>
      <c r="F4" s="26"/>
      <c r="G4" s="28"/>
      <c r="H4" s="18">
        <f t="shared" ref="H4:H7" si="1">F4*4</f>
        <v>0</v>
      </c>
      <c r="I4" s="26"/>
      <c r="J4" s="28"/>
      <c r="K4" s="18">
        <f t="shared" ref="K4:K52" si="2">I4*4</f>
        <v>0</v>
      </c>
      <c r="L4" s="26"/>
      <c r="M4" s="28"/>
      <c r="N4" s="18">
        <f t="shared" ref="N4:N52" si="3">L4*4</f>
        <v>0</v>
      </c>
      <c r="O4" s="26"/>
      <c r="P4" s="28"/>
      <c r="Q4" s="18">
        <f t="shared" ref="Q4:Q52" si="4">O4*4</f>
        <v>0</v>
      </c>
      <c r="R4" s="26">
        <f>SUM('Plant Measurements'!P94,'Plant Measurements'!P101,'Plant Measurements'!P102)</f>
        <v>142.85359084000004</v>
      </c>
      <c r="S4" s="28"/>
      <c r="T4" s="18">
        <f t="shared" ref="T4:T52" si="5">R4*4</f>
        <v>571.41436336000015</v>
      </c>
      <c r="U4" s="26">
        <f>SUM('Plant Measurements'!P93,'Plant Measurements'!P99,'Plant Measurements'!P100)</f>
        <v>259.55356852</v>
      </c>
      <c r="V4" s="28"/>
      <c r="W4" s="18">
        <f t="shared" ref="W4:W52" si="6">U4*4</f>
        <v>1038.21427408</v>
      </c>
      <c r="X4" s="25">
        <f t="shared" ref="X4:X52" si="7">SUM(W4,T4,Q4,N4,K4,H4,E4)</f>
        <v>1716.2087254400001</v>
      </c>
      <c r="Y4" s="29"/>
      <c r="Z4" s="23">
        <f t="shared" ref="Z4:Z52" si="8">E4+Q4</f>
        <v>106.580088</v>
      </c>
      <c r="AA4" s="23">
        <f t="shared" ref="AA4:AA52" si="9">W4+T4</f>
        <v>1609.6286374400001</v>
      </c>
      <c r="AB4">
        <f t="shared" ref="AB4:AB52" si="10">IF(X4&gt;0,(Q4+E4)/X4," ")</f>
        <v>6.2102054616156956E-2</v>
      </c>
      <c r="AC4">
        <f t="shared" ref="AC4:AC52" si="11">IF(X4&gt;0,H4/X4," ")</f>
        <v>0</v>
      </c>
      <c r="AD4">
        <f t="shared" ref="AD4:AD52" si="12">IF(X4&gt;0,K4/X4," ")</f>
        <v>0</v>
      </c>
      <c r="AE4">
        <f t="shared" ref="AE4:AE52" si="13">IF(X4&gt;0,(W4+T4)/X4," ")</f>
        <v>0.93789794538384308</v>
      </c>
      <c r="AF4">
        <f t="shared" ref="AF4:AF52" si="14">210336.2801/10</f>
        <v>21033.62801</v>
      </c>
      <c r="AG4">
        <f t="shared" ref="AG4:AG52" si="15">AF4/5</f>
        <v>4206.7256020000004</v>
      </c>
      <c r="AH4">
        <f t="shared" ref="AH4:AH52" si="16">(AG4*X4)/1000</f>
        <v>7219.6191836842381</v>
      </c>
    </row>
    <row r="5" spans="1:34" x14ac:dyDescent="0.2">
      <c r="A5" s="24" t="s">
        <v>55</v>
      </c>
      <c r="B5" s="25">
        <v>6</v>
      </c>
      <c r="C5" s="26"/>
      <c r="D5" s="27"/>
      <c r="E5" s="18">
        <f t="shared" si="0"/>
        <v>0</v>
      </c>
      <c r="F5" s="26"/>
      <c r="G5" s="28"/>
      <c r="H5" s="18">
        <f t="shared" si="1"/>
        <v>0</v>
      </c>
      <c r="I5" s="26"/>
      <c r="J5" s="28"/>
      <c r="K5" s="18">
        <f t="shared" si="2"/>
        <v>0</v>
      </c>
      <c r="L5" s="26"/>
      <c r="M5" s="28"/>
      <c r="N5" s="18">
        <f t="shared" si="3"/>
        <v>0</v>
      </c>
      <c r="O5" s="26"/>
      <c r="P5" s="28"/>
      <c r="Q5" s="18">
        <f t="shared" si="4"/>
        <v>0</v>
      </c>
      <c r="R5" s="26">
        <f>SUM('Plant Measurements'!P106,'Plant Measurements'!P107,'Plant Measurements'!P108,'Plant Measurements'!P111,'Plant Measurements'!P112,'Plant Measurements'!P113,'Plant Measurements'!P114,'Plant Measurements'!P115,'Plant Measurements'!P116)</f>
        <v>403.08800000000008</v>
      </c>
      <c r="S5" s="28"/>
      <c r="T5" s="18">
        <f t="shared" si="5"/>
        <v>1612.3520000000003</v>
      </c>
      <c r="U5" s="26">
        <f>SUM('Plant Measurements'!P103,'Plant Measurements'!P104,'Plant Measurements'!P105,'Plant Measurements'!P109,'Plant Measurements'!P110,'Plant Measurements'!P117,'Plant Measurements'!P118,'Plant Measurements'!P119,'Plant Measurements'!P120,'Plant Measurements'!P121)</f>
        <v>518.29742466999994</v>
      </c>
      <c r="V5" s="28"/>
      <c r="W5" s="18">
        <f t="shared" si="6"/>
        <v>2073.1896986799998</v>
      </c>
      <c r="X5" s="25">
        <f t="shared" si="7"/>
        <v>3685.5416986800001</v>
      </c>
      <c r="Y5" s="29"/>
      <c r="Z5" s="23">
        <f t="shared" si="8"/>
        <v>0</v>
      </c>
      <c r="AA5" s="23">
        <f t="shared" si="9"/>
        <v>3685.5416986800001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>
        <f t="shared" si="14"/>
        <v>21033.62801</v>
      </c>
      <c r="AG5">
        <f t="shared" si="15"/>
        <v>4206.7256020000004</v>
      </c>
      <c r="AH5">
        <f t="shared" si="16"/>
        <v>15504.062621075727</v>
      </c>
    </row>
    <row r="6" spans="1:34" x14ac:dyDescent="0.2">
      <c r="A6" s="24" t="s">
        <v>55</v>
      </c>
      <c r="B6" s="25">
        <v>5</v>
      </c>
      <c r="C6" s="26"/>
      <c r="D6" s="27"/>
      <c r="E6" s="18">
        <f t="shared" si="0"/>
        <v>0</v>
      </c>
      <c r="F6" s="26"/>
      <c r="G6" s="28"/>
      <c r="H6" s="18">
        <f t="shared" si="1"/>
        <v>0</v>
      </c>
      <c r="I6" s="26"/>
      <c r="J6" s="28"/>
      <c r="K6" s="18">
        <f t="shared" si="2"/>
        <v>0</v>
      </c>
      <c r="L6" s="26"/>
      <c r="M6" s="28"/>
      <c r="N6" s="18">
        <f t="shared" si="3"/>
        <v>0</v>
      </c>
      <c r="O6" s="26"/>
      <c r="P6" s="28"/>
      <c r="Q6" s="18">
        <f t="shared" si="4"/>
        <v>0</v>
      </c>
      <c r="R6" s="26"/>
      <c r="S6" s="28"/>
      <c r="T6" s="18">
        <f t="shared" si="5"/>
        <v>0</v>
      </c>
      <c r="U6" s="26"/>
      <c r="V6" s="28"/>
      <c r="W6" s="18">
        <f t="shared" si="6"/>
        <v>0</v>
      </c>
      <c r="X6" s="25">
        <f t="shared" si="7"/>
        <v>0</v>
      </c>
      <c r="Y6" s="29"/>
      <c r="Z6" s="23">
        <f t="shared" si="8"/>
        <v>0</v>
      </c>
      <c r="AA6" s="23">
        <f t="shared" si="9"/>
        <v>0</v>
      </c>
      <c r="AB6" t="str">
        <f t="shared" si="10"/>
        <v xml:space="preserve"> </v>
      </c>
      <c r="AC6" t="str">
        <f t="shared" si="11"/>
        <v xml:space="preserve"> </v>
      </c>
      <c r="AD6" t="str">
        <f t="shared" si="12"/>
        <v xml:space="preserve"> </v>
      </c>
      <c r="AE6" t="str">
        <f t="shared" si="13"/>
        <v xml:space="preserve"> </v>
      </c>
      <c r="AF6">
        <f t="shared" si="14"/>
        <v>21033.62801</v>
      </c>
      <c r="AG6">
        <f>AF6/5</f>
        <v>4206.7256020000004</v>
      </c>
      <c r="AH6">
        <f t="shared" si="16"/>
        <v>0</v>
      </c>
    </row>
    <row r="7" spans="1:34" x14ac:dyDescent="0.2">
      <c r="A7" s="30" t="s">
        <v>55</v>
      </c>
      <c r="B7" s="31">
        <v>1</v>
      </c>
      <c r="C7" s="32"/>
      <c r="D7" s="33"/>
      <c r="E7" s="18">
        <f t="shared" si="0"/>
        <v>0</v>
      </c>
      <c r="F7" s="32"/>
      <c r="G7" s="34"/>
      <c r="H7" s="18">
        <f t="shared" si="1"/>
        <v>0</v>
      </c>
      <c r="I7" s="32"/>
      <c r="J7" s="34"/>
      <c r="K7" s="18">
        <f t="shared" si="2"/>
        <v>0</v>
      </c>
      <c r="L7" s="32"/>
      <c r="M7" s="34"/>
      <c r="N7" s="18">
        <f t="shared" si="3"/>
        <v>0</v>
      </c>
      <c r="O7" s="32"/>
      <c r="P7" s="34"/>
      <c r="Q7" s="18">
        <f t="shared" si="4"/>
        <v>0</v>
      </c>
      <c r="R7" s="32">
        <f>SUM('Plant Measurements'!P123,'Plant Measurements'!P124,'Plant Measurements'!P125,'Plant Measurements'!P126,'Plant Measurements'!P127,'Plant Measurements'!P128)</f>
        <v>172.20493600000006</v>
      </c>
      <c r="S7" s="34"/>
      <c r="T7" s="18">
        <f t="shared" si="5"/>
        <v>688.81974400000024</v>
      </c>
      <c r="U7" s="32"/>
      <c r="V7" s="34"/>
      <c r="W7" s="18">
        <f t="shared" si="6"/>
        <v>0</v>
      </c>
      <c r="X7" s="31">
        <f t="shared" si="7"/>
        <v>688.81974400000024</v>
      </c>
      <c r="Y7" s="35"/>
      <c r="Z7" s="23">
        <f t="shared" si="8"/>
        <v>0</v>
      </c>
      <c r="AA7" s="23">
        <f t="shared" si="9"/>
        <v>688.81974400000024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1</v>
      </c>
      <c r="AF7">
        <f t="shared" si="14"/>
        <v>21033.62801</v>
      </c>
      <c r="AG7">
        <f t="shared" si="15"/>
        <v>4206.7256020000004</v>
      </c>
      <c r="AH7">
        <f t="shared" si="16"/>
        <v>2897.6756522478872</v>
      </c>
    </row>
    <row r="8" spans="1:34" x14ac:dyDescent="0.2">
      <c r="A8" s="17" t="s">
        <v>21</v>
      </c>
      <c r="B8" s="18">
        <v>50</v>
      </c>
      <c r="C8" s="19"/>
      <c r="D8" s="20"/>
      <c r="E8" s="18">
        <f t="shared" si="0"/>
        <v>0</v>
      </c>
      <c r="F8" s="19"/>
      <c r="G8" s="21"/>
      <c r="H8" s="25">
        <f>F8*4</f>
        <v>0</v>
      </c>
      <c r="I8" s="19"/>
      <c r="J8" s="21"/>
      <c r="K8" s="18">
        <f t="shared" si="2"/>
        <v>0</v>
      </c>
      <c r="L8" s="19"/>
      <c r="M8" s="21"/>
      <c r="N8" s="18">
        <f t="shared" si="3"/>
        <v>0</v>
      </c>
      <c r="O8" s="19"/>
      <c r="P8" s="21"/>
      <c r="Q8" s="18">
        <f t="shared" si="4"/>
        <v>0</v>
      </c>
      <c r="R8" s="19">
        <f>SUM('Plant Measurements'!P245,'Plant Measurements'!P246,'Plant Measurements'!P247,'Plant Measurements'!P249,'Plant Measurements'!P250,'Plant Measurements'!P251)</f>
        <v>175.84571500000004</v>
      </c>
      <c r="S8" s="21"/>
      <c r="T8" s="18">
        <f t="shared" si="5"/>
        <v>703.38286000000016</v>
      </c>
      <c r="U8" s="19">
        <f>SUM('Plant Measurements'!P248)</f>
        <v>109.97288290000003</v>
      </c>
      <c r="V8" s="21"/>
      <c r="W8" s="18">
        <f t="shared" si="6"/>
        <v>439.89153160000012</v>
      </c>
      <c r="X8" s="18">
        <f t="shared" si="7"/>
        <v>1143.2743916000004</v>
      </c>
      <c r="Y8" s="22">
        <f>AVERAGE(X8:X12)</f>
        <v>1353.3233185920003</v>
      </c>
      <c r="Z8" s="23">
        <f t="shared" si="8"/>
        <v>0</v>
      </c>
      <c r="AA8" s="23">
        <f t="shared" si="9"/>
        <v>1143.2743916000004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1</v>
      </c>
      <c r="AF8">
        <f t="shared" si="14"/>
        <v>21033.62801</v>
      </c>
      <c r="AG8">
        <f t="shared" si="15"/>
        <v>4206.7256020000004</v>
      </c>
      <c r="AH8">
        <f t="shared" si="16"/>
        <v>4809.4416532546966</v>
      </c>
    </row>
    <row r="9" spans="1:34" x14ac:dyDescent="0.2">
      <c r="A9" s="24" t="s">
        <v>21</v>
      </c>
      <c r="B9" s="25">
        <v>49</v>
      </c>
      <c r="C9" s="26"/>
      <c r="D9" s="27"/>
      <c r="E9" s="18">
        <f t="shared" si="0"/>
        <v>0</v>
      </c>
      <c r="F9" s="26"/>
      <c r="G9" s="28"/>
      <c r="H9" s="25">
        <f>F9*4</f>
        <v>0</v>
      </c>
      <c r="I9" s="26"/>
      <c r="J9" s="28"/>
      <c r="K9" s="18">
        <f t="shared" si="2"/>
        <v>0</v>
      </c>
      <c r="L9" s="26"/>
      <c r="M9" s="28"/>
      <c r="N9" s="18">
        <f t="shared" si="3"/>
        <v>0</v>
      </c>
      <c r="O9" s="26"/>
      <c r="P9" s="28"/>
      <c r="Q9" s="18">
        <f t="shared" si="4"/>
        <v>0</v>
      </c>
      <c r="R9" s="26">
        <f>SUM('Plant Measurements'!P252,'Plant Measurements'!P254,'Plant Measurements'!P256,'Plant Measurements'!P257)</f>
        <v>74.365495000000038</v>
      </c>
      <c r="S9" s="28"/>
      <c r="T9" s="18">
        <f t="shared" si="5"/>
        <v>297.46198000000015</v>
      </c>
      <c r="U9" s="26">
        <f>SUM('Plant Measurements'!P253,'Plant Measurements'!P255)</f>
        <v>215.94716740999999</v>
      </c>
      <c r="V9" s="28"/>
      <c r="W9" s="18">
        <f t="shared" si="6"/>
        <v>863.78866963999997</v>
      </c>
      <c r="X9" s="25">
        <f>SUM(W9,T9,Q9,N9,K9,H9,E9)</f>
        <v>1161.2506496400001</v>
      </c>
      <c r="Y9" s="29"/>
      <c r="Z9" s="23">
        <f t="shared" si="8"/>
        <v>0</v>
      </c>
      <c r="AA9" s="23">
        <f t="shared" si="9"/>
        <v>1161.2506496400001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1</v>
      </c>
      <c r="AF9">
        <f t="shared" si="14"/>
        <v>21033.62801</v>
      </c>
      <c r="AG9">
        <f t="shared" si="15"/>
        <v>4206.7256020000004</v>
      </c>
      <c r="AH9">
        <f t="shared" si="16"/>
        <v>4885.0628381797214</v>
      </c>
    </row>
    <row r="10" spans="1:34" x14ac:dyDescent="0.2">
      <c r="A10" s="24" t="s">
        <v>21</v>
      </c>
      <c r="B10" s="25">
        <v>18</v>
      </c>
      <c r="C10" s="26"/>
      <c r="D10" s="27"/>
      <c r="E10" s="18">
        <f t="shared" si="0"/>
        <v>0</v>
      </c>
      <c r="F10" s="26"/>
      <c r="G10" s="28"/>
      <c r="H10" s="25">
        <f t="shared" ref="H10:H42" si="17">F10*4</f>
        <v>0</v>
      </c>
      <c r="I10" s="26"/>
      <c r="J10" s="28"/>
      <c r="K10" s="18">
        <f t="shared" si="2"/>
        <v>0</v>
      </c>
      <c r="L10" s="26"/>
      <c r="M10" s="28"/>
      <c r="N10" s="18">
        <f t="shared" si="3"/>
        <v>0</v>
      </c>
      <c r="O10" s="26"/>
      <c r="P10" s="28"/>
      <c r="Q10" s="18">
        <f t="shared" si="4"/>
        <v>0</v>
      </c>
      <c r="R10" s="26">
        <f>SUM('Plant Measurements'!P258,'Plant Measurements'!P259,'Plant Measurements'!P260,'Plant Measurements'!P261,'Plant Measurements'!P262,'Plant Measurements'!P263,'Plant Measurements'!P264,'Plant Measurements'!P265,'Plant Measurements'!P266,'Plant Measurements'!P268,'Plant Measurements'!P269,'Plant Measurements'!P270)</f>
        <v>186.47963500000009</v>
      </c>
      <c r="S10" s="28"/>
      <c r="T10" s="18">
        <f t="shared" si="5"/>
        <v>745.91854000000035</v>
      </c>
      <c r="U10" s="26">
        <f>SUM('Plant Measurements'!P267)</f>
        <v>142.83738199000001</v>
      </c>
      <c r="V10" s="28"/>
      <c r="W10" s="18">
        <f t="shared" si="6"/>
        <v>571.34952796000005</v>
      </c>
      <c r="X10" s="25">
        <f t="shared" si="7"/>
        <v>1317.2680679600003</v>
      </c>
      <c r="Y10" s="29"/>
      <c r="Z10" s="23">
        <f t="shared" si="8"/>
        <v>0</v>
      </c>
      <c r="AA10" s="23">
        <f t="shared" si="9"/>
        <v>1317.2680679600003</v>
      </c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1</v>
      </c>
      <c r="AF10">
        <f t="shared" si="14"/>
        <v>21033.62801</v>
      </c>
      <c r="AG10">
        <f t="shared" si="15"/>
        <v>4206.7256020000004</v>
      </c>
      <c r="AH10">
        <f t="shared" si="16"/>
        <v>5541.3853061844102</v>
      </c>
    </row>
    <row r="11" spans="1:34" x14ac:dyDescent="0.2">
      <c r="A11" s="24" t="s">
        <v>21</v>
      </c>
      <c r="B11" s="25">
        <v>10</v>
      </c>
      <c r="C11" s="26"/>
      <c r="D11" s="27"/>
      <c r="E11" s="18">
        <f t="shared" si="0"/>
        <v>0</v>
      </c>
      <c r="F11" s="26"/>
      <c r="G11" s="28"/>
      <c r="H11" s="25">
        <f t="shared" si="17"/>
        <v>0</v>
      </c>
      <c r="I11" s="26"/>
      <c r="J11" s="28"/>
      <c r="K11" s="18">
        <f t="shared" si="2"/>
        <v>0</v>
      </c>
      <c r="L11" s="26"/>
      <c r="M11" s="28"/>
      <c r="N11" s="18">
        <f t="shared" si="3"/>
        <v>0</v>
      </c>
      <c r="O11" s="26"/>
      <c r="P11" s="28"/>
      <c r="Q11" s="18">
        <f t="shared" si="4"/>
        <v>0</v>
      </c>
      <c r="R11" s="26">
        <f>SUM('Plant Measurements'!P271,'Plant Measurements'!P272,'Plant Measurements'!P273,'Plant Measurements'!P274,'Plant Measurements'!P275,'Plant Measurements'!P276,'Plant Measurements'!P277,'Plant Measurements'!P278,'Plant Measurements'!P279,'Plant Measurements'!P280)</f>
        <v>256.14828800000004</v>
      </c>
      <c r="S11" s="28"/>
      <c r="T11" s="18">
        <f t="shared" si="5"/>
        <v>1024.5931520000001</v>
      </c>
      <c r="U11" s="26">
        <f>SUM('Plant Measurements'!P281)</f>
        <v>109.09201393999999</v>
      </c>
      <c r="V11" s="28"/>
      <c r="W11" s="18">
        <f t="shared" si="6"/>
        <v>436.36805575999995</v>
      </c>
      <c r="X11" s="25">
        <f t="shared" si="7"/>
        <v>1460.96120776</v>
      </c>
      <c r="Y11" s="29"/>
      <c r="Z11" s="23">
        <f t="shared" si="8"/>
        <v>0</v>
      </c>
      <c r="AA11" s="23">
        <f t="shared" si="9"/>
        <v>1460.96120776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1</v>
      </c>
      <c r="AF11">
        <f t="shared" si="14"/>
        <v>21033.62801</v>
      </c>
      <c r="AG11">
        <f t="shared" si="15"/>
        <v>4206.7256020000004</v>
      </c>
      <c r="AH11">
        <f t="shared" si="16"/>
        <v>6145.8629162128336</v>
      </c>
    </row>
    <row r="12" spans="1:34" x14ac:dyDescent="0.2">
      <c r="A12" s="30" t="s">
        <v>21</v>
      </c>
      <c r="B12" s="31">
        <v>4</v>
      </c>
      <c r="C12" s="32"/>
      <c r="D12" s="33"/>
      <c r="E12" s="18">
        <f t="shared" si="0"/>
        <v>0</v>
      </c>
      <c r="F12" s="32"/>
      <c r="G12" s="34"/>
      <c r="H12" s="25">
        <f t="shared" si="17"/>
        <v>0</v>
      </c>
      <c r="I12" s="32"/>
      <c r="J12" s="34"/>
      <c r="K12" s="18">
        <f t="shared" si="2"/>
        <v>0</v>
      </c>
      <c r="L12" s="32"/>
      <c r="M12" s="34"/>
      <c r="N12" s="18">
        <f t="shared" si="3"/>
        <v>0</v>
      </c>
      <c r="O12" s="32"/>
      <c r="P12" s="34"/>
      <c r="Q12" s="18">
        <f t="shared" si="4"/>
        <v>0</v>
      </c>
      <c r="R12" s="32">
        <f>SUM('Plant Measurements'!P282:P285)</f>
        <v>420.96556900000002</v>
      </c>
      <c r="S12" s="34"/>
      <c r="T12" s="18">
        <f t="shared" si="5"/>
        <v>1683.8622760000001</v>
      </c>
      <c r="U12" s="32"/>
      <c r="V12" s="34"/>
      <c r="W12" s="18">
        <f t="shared" si="6"/>
        <v>0</v>
      </c>
      <c r="X12" s="31">
        <f t="shared" si="7"/>
        <v>1683.8622760000001</v>
      </c>
      <c r="Y12" s="35"/>
      <c r="Z12" s="23">
        <f t="shared" si="8"/>
        <v>0</v>
      </c>
      <c r="AA12" s="23">
        <f t="shared" si="9"/>
        <v>1683.8622760000001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1</v>
      </c>
      <c r="AF12">
        <f t="shared" si="14"/>
        <v>21033.62801</v>
      </c>
      <c r="AG12">
        <f t="shared" si="15"/>
        <v>4206.7256020000004</v>
      </c>
      <c r="AH12">
        <f t="shared" si="16"/>
        <v>7083.546546691191</v>
      </c>
    </row>
    <row r="13" spans="1:34" x14ac:dyDescent="0.2">
      <c r="A13" s="36" t="s">
        <v>19</v>
      </c>
      <c r="B13" s="37">
        <v>43</v>
      </c>
      <c r="C13" s="19"/>
      <c r="D13" s="20"/>
      <c r="E13" s="18">
        <f t="shared" si="0"/>
        <v>0</v>
      </c>
      <c r="F13" s="19"/>
      <c r="G13" s="21"/>
      <c r="H13" s="25">
        <f t="shared" si="17"/>
        <v>0</v>
      </c>
      <c r="I13" s="19"/>
      <c r="J13" s="21"/>
      <c r="K13" s="18">
        <f t="shared" si="2"/>
        <v>0</v>
      </c>
      <c r="L13" s="19"/>
      <c r="M13" s="21"/>
      <c r="N13" s="18">
        <f t="shared" si="3"/>
        <v>0</v>
      </c>
      <c r="O13" s="19"/>
      <c r="P13" s="21"/>
      <c r="Q13" s="18">
        <f t="shared" si="4"/>
        <v>0</v>
      </c>
      <c r="R13" s="19">
        <f>SUM('Plant Measurements'!P4,'Plant Measurements'!P6,'Plant Measurements'!P7,'Plant Measurements'!P8,'Plant Measurements'!P12,'Plant Measurements'!P13,'Plant Measurements'!P14)</f>
        <v>63.614352000000032</v>
      </c>
      <c r="S13" s="21"/>
      <c r="T13" s="18">
        <f t="shared" si="5"/>
        <v>254.45740800000013</v>
      </c>
      <c r="U13" s="19">
        <f>SUM('Plant Measurements'!P5,'Plant Measurements'!P9,'Plant Measurements'!P10,'Plant Measurements'!P11)</f>
        <v>222.78608100000005</v>
      </c>
      <c r="V13" s="21"/>
      <c r="W13" s="18">
        <f t="shared" si="6"/>
        <v>891.14432400000021</v>
      </c>
      <c r="X13" s="18">
        <f t="shared" si="7"/>
        <v>1145.6017320000003</v>
      </c>
      <c r="Y13" s="22">
        <f>AVERAGE(X13:X17)</f>
        <v>987.99699724000004</v>
      </c>
      <c r="Z13" s="23">
        <f t="shared" si="8"/>
        <v>0</v>
      </c>
      <c r="AA13" s="23">
        <f t="shared" si="9"/>
        <v>1145.6017320000003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1</v>
      </c>
      <c r="AF13">
        <f t="shared" si="14"/>
        <v>21033.62801</v>
      </c>
      <c r="AG13">
        <f t="shared" si="15"/>
        <v>4206.7256020000004</v>
      </c>
      <c r="AH13">
        <f t="shared" si="16"/>
        <v>4819.2321356999446</v>
      </c>
    </row>
    <row r="14" spans="1:34" x14ac:dyDescent="0.2">
      <c r="A14" s="24" t="s">
        <v>19</v>
      </c>
      <c r="B14" s="25">
        <v>30</v>
      </c>
      <c r="C14" s="26"/>
      <c r="D14" s="27"/>
      <c r="E14" s="18">
        <f t="shared" si="0"/>
        <v>0</v>
      </c>
      <c r="F14" s="26"/>
      <c r="G14" s="28"/>
      <c r="H14" s="25">
        <f t="shared" si="17"/>
        <v>0</v>
      </c>
      <c r="I14" s="26"/>
      <c r="J14" s="28"/>
      <c r="K14" s="18">
        <f t="shared" si="2"/>
        <v>0</v>
      </c>
      <c r="L14" s="26"/>
      <c r="M14" s="28"/>
      <c r="N14" s="18">
        <f t="shared" si="3"/>
        <v>0</v>
      </c>
      <c r="O14" s="26"/>
      <c r="P14" s="28"/>
      <c r="Q14" s="18">
        <f t="shared" si="4"/>
        <v>0</v>
      </c>
      <c r="R14" s="26">
        <f>SUM('Plant Measurements'!P17,'Plant Measurements'!P18,'Plant Measurements'!P19,'Plant Measurements'!P22,'Plant Measurements'!P25,'Plant Measurements'!P26)</f>
        <v>91.804102000000029</v>
      </c>
      <c r="S14" s="28"/>
      <c r="T14" s="18">
        <f t="shared" si="5"/>
        <v>367.21640800000011</v>
      </c>
      <c r="U14" s="26">
        <f>SUM('Plant Measurements'!P15,'Plant Measurements'!P16,'Plant Measurements'!P20,'Plant Measurements'!P21,'Plant Measurements'!P23,'Plant Measurements'!P24)</f>
        <v>726.94115254999997</v>
      </c>
      <c r="V14" s="28"/>
      <c r="W14" s="18">
        <f t="shared" si="6"/>
        <v>2907.7646101999999</v>
      </c>
      <c r="X14" s="25">
        <f t="shared" si="7"/>
        <v>3274.9810182000001</v>
      </c>
      <c r="Y14" s="29"/>
      <c r="Z14" s="23">
        <f t="shared" si="8"/>
        <v>0</v>
      </c>
      <c r="AA14" s="23">
        <f t="shared" si="9"/>
        <v>3274.9810182000001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1</v>
      </c>
      <c r="AF14">
        <f t="shared" si="14"/>
        <v>21033.62801</v>
      </c>
      <c r="AG14">
        <f t="shared" si="15"/>
        <v>4206.7256020000004</v>
      </c>
      <c r="AH14">
        <f t="shared" si="16"/>
        <v>13776.94649532597</v>
      </c>
    </row>
    <row r="15" spans="1:34" x14ac:dyDescent="0.2">
      <c r="A15" s="24" t="s">
        <v>19</v>
      </c>
      <c r="B15" s="25">
        <v>28</v>
      </c>
      <c r="C15" s="26"/>
      <c r="D15" s="27"/>
      <c r="E15" s="18">
        <f t="shared" si="0"/>
        <v>0</v>
      </c>
      <c r="F15" s="26"/>
      <c r="G15" s="28"/>
      <c r="H15" s="25">
        <f t="shared" si="17"/>
        <v>0</v>
      </c>
      <c r="I15" s="26"/>
      <c r="J15" s="28"/>
      <c r="K15" s="18">
        <f t="shared" si="2"/>
        <v>0</v>
      </c>
      <c r="L15" s="26"/>
      <c r="M15" s="28"/>
      <c r="N15" s="18">
        <f t="shared" si="3"/>
        <v>0</v>
      </c>
      <c r="O15" s="26"/>
      <c r="P15" s="28"/>
      <c r="Q15" s="18">
        <f t="shared" si="4"/>
        <v>0</v>
      </c>
      <c r="R15" s="26">
        <f>SUM('Plant Measurements'!P27,'Plant Measurements'!P28,'Plant Measurements'!P29,'Plant Measurements'!P30)</f>
        <v>129.85055900000003</v>
      </c>
      <c r="S15" s="28"/>
      <c r="T15" s="18">
        <f t="shared" si="5"/>
        <v>519.40223600000013</v>
      </c>
      <c r="U15" s="26"/>
      <c r="V15" s="28"/>
      <c r="W15" s="18">
        <f t="shared" si="6"/>
        <v>0</v>
      </c>
      <c r="X15" s="25">
        <f t="shared" si="7"/>
        <v>519.40223600000013</v>
      </c>
      <c r="Y15" s="29"/>
      <c r="Z15" s="23">
        <f t="shared" si="8"/>
        <v>0</v>
      </c>
      <c r="AA15" s="23">
        <f t="shared" si="9"/>
        <v>519.40223600000013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1</v>
      </c>
      <c r="AF15">
        <f t="shared" si="14"/>
        <v>21033.62801</v>
      </c>
      <c r="AG15">
        <f t="shared" si="15"/>
        <v>4206.7256020000004</v>
      </c>
      <c r="AH15">
        <f t="shared" si="16"/>
        <v>2184.982683917247</v>
      </c>
    </row>
    <row r="16" spans="1:34" x14ac:dyDescent="0.2">
      <c r="A16" s="24" t="s">
        <v>19</v>
      </c>
      <c r="B16" s="25">
        <v>6</v>
      </c>
      <c r="C16" s="26"/>
      <c r="D16" s="27"/>
      <c r="E16" s="18">
        <f t="shared" si="0"/>
        <v>0</v>
      </c>
      <c r="F16" s="26"/>
      <c r="G16" s="28"/>
      <c r="H16" s="25">
        <f t="shared" si="17"/>
        <v>0</v>
      </c>
      <c r="I16" s="26"/>
      <c r="J16" s="28"/>
      <c r="K16" s="18">
        <f t="shared" si="2"/>
        <v>0</v>
      </c>
      <c r="L16" s="26"/>
      <c r="M16" s="28"/>
      <c r="N16" s="18">
        <f t="shared" si="3"/>
        <v>0</v>
      </c>
      <c r="O16" s="26"/>
      <c r="P16" s="28"/>
      <c r="Q16" s="18">
        <f t="shared" si="4"/>
        <v>0</v>
      </c>
      <c r="R16" s="26"/>
      <c r="S16" s="28"/>
      <c r="T16" s="18">
        <f t="shared" si="5"/>
        <v>0</v>
      </c>
      <c r="U16" s="26"/>
      <c r="V16" s="28"/>
      <c r="W16" s="18">
        <f t="shared" si="6"/>
        <v>0</v>
      </c>
      <c r="X16" s="25">
        <f t="shared" si="7"/>
        <v>0</v>
      </c>
      <c r="Y16" s="29"/>
      <c r="Z16" s="23">
        <f t="shared" si="8"/>
        <v>0</v>
      </c>
      <c r="AA16" s="23">
        <f t="shared" si="9"/>
        <v>0</v>
      </c>
      <c r="AB16" t="str">
        <f t="shared" si="10"/>
        <v xml:space="preserve"> </v>
      </c>
      <c r="AC16" t="str">
        <f t="shared" si="11"/>
        <v xml:space="preserve"> </v>
      </c>
      <c r="AD16" t="str">
        <f t="shared" si="12"/>
        <v xml:space="preserve"> </v>
      </c>
      <c r="AE16" t="str">
        <f t="shared" si="13"/>
        <v xml:space="preserve"> </v>
      </c>
      <c r="AF16">
        <f t="shared" si="14"/>
        <v>21033.62801</v>
      </c>
      <c r="AG16">
        <f t="shared" si="15"/>
        <v>4206.7256020000004</v>
      </c>
      <c r="AH16">
        <f t="shared" si="16"/>
        <v>0</v>
      </c>
    </row>
    <row r="17" spans="1:34" x14ac:dyDescent="0.2">
      <c r="A17" s="30" t="s">
        <v>19</v>
      </c>
      <c r="B17" s="31">
        <v>7</v>
      </c>
      <c r="C17" s="32"/>
      <c r="D17" s="33"/>
      <c r="E17" s="18">
        <f t="shared" si="0"/>
        <v>0</v>
      </c>
      <c r="F17" s="32"/>
      <c r="G17" s="34"/>
      <c r="H17" s="25">
        <f t="shared" si="17"/>
        <v>0</v>
      </c>
      <c r="I17" s="32"/>
      <c r="J17" s="34"/>
      <c r="K17" s="18">
        <f t="shared" si="2"/>
        <v>0</v>
      </c>
      <c r="L17" s="32"/>
      <c r="M17" s="34"/>
      <c r="N17" s="18">
        <f t="shared" si="3"/>
        <v>0</v>
      </c>
      <c r="O17" s="32"/>
      <c r="P17" s="34"/>
      <c r="Q17" s="18">
        <f t="shared" si="4"/>
        <v>0</v>
      </c>
      <c r="R17" s="32"/>
      <c r="S17" s="34"/>
      <c r="T17" s="18">
        <f t="shared" si="5"/>
        <v>0</v>
      </c>
      <c r="U17" s="32"/>
      <c r="V17" s="34"/>
      <c r="W17" s="18">
        <f t="shared" si="6"/>
        <v>0</v>
      </c>
      <c r="X17" s="31">
        <f t="shared" si="7"/>
        <v>0</v>
      </c>
      <c r="Y17" s="35"/>
      <c r="Z17" s="23">
        <f t="shared" si="8"/>
        <v>0</v>
      </c>
      <c r="AA17" s="23">
        <f t="shared" si="9"/>
        <v>0</v>
      </c>
      <c r="AB17" t="str">
        <f t="shared" si="10"/>
        <v xml:space="preserve"> </v>
      </c>
      <c r="AC17" t="str">
        <f t="shared" si="11"/>
        <v xml:space="preserve"> </v>
      </c>
      <c r="AD17" t="str">
        <f t="shared" si="12"/>
        <v xml:space="preserve"> </v>
      </c>
      <c r="AE17" t="str">
        <f t="shared" si="13"/>
        <v xml:space="preserve"> </v>
      </c>
      <c r="AF17">
        <f t="shared" si="14"/>
        <v>21033.62801</v>
      </c>
      <c r="AG17">
        <f t="shared" si="15"/>
        <v>4206.7256020000004</v>
      </c>
      <c r="AH17">
        <f t="shared" si="16"/>
        <v>0</v>
      </c>
    </row>
    <row r="18" spans="1:34" x14ac:dyDescent="0.2">
      <c r="A18" s="17" t="s">
        <v>56</v>
      </c>
      <c r="B18" s="18">
        <v>43</v>
      </c>
      <c r="C18" s="19"/>
      <c r="D18" s="20"/>
      <c r="E18" s="18">
        <f t="shared" si="0"/>
        <v>0</v>
      </c>
      <c r="F18" s="19"/>
      <c r="G18" s="21"/>
      <c r="H18" s="25">
        <f t="shared" si="17"/>
        <v>0</v>
      </c>
      <c r="I18" s="19"/>
      <c r="J18" s="21"/>
      <c r="K18" s="18">
        <f t="shared" si="2"/>
        <v>0</v>
      </c>
      <c r="L18" s="19"/>
      <c r="M18" s="21"/>
      <c r="N18" s="18">
        <f t="shared" si="3"/>
        <v>0</v>
      </c>
      <c r="O18" s="19"/>
      <c r="P18" s="21"/>
      <c r="Q18" s="18">
        <f t="shared" si="4"/>
        <v>0</v>
      </c>
      <c r="R18" s="19">
        <f>SUM('Plant Measurements'!P33,'Plant Measurements'!P39,'Plant Measurements'!P38,'Plant Measurements'!P37,'Plant Measurements'!P36,'Plant Measurements'!P35,'Plant Measurements'!P34)</f>
        <v>496.9319440000001</v>
      </c>
      <c r="S18" s="21"/>
      <c r="T18" s="18">
        <f t="shared" si="5"/>
        <v>1987.7277760000004</v>
      </c>
      <c r="U18" s="19"/>
      <c r="V18" s="21"/>
      <c r="W18" s="18">
        <f t="shared" si="6"/>
        <v>0</v>
      </c>
      <c r="X18" s="18">
        <f t="shared" si="7"/>
        <v>1987.7277760000004</v>
      </c>
      <c r="Y18" s="22">
        <f>AVERAGE(X18:X22)</f>
        <v>2156.5561252560005</v>
      </c>
      <c r="Z18" s="23">
        <f t="shared" si="8"/>
        <v>0</v>
      </c>
      <c r="AA18" s="23">
        <f t="shared" si="9"/>
        <v>1987.7277760000004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1</v>
      </c>
      <c r="AF18">
        <f t="shared" si="14"/>
        <v>21033.62801</v>
      </c>
      <c r="AG18">
        <f t="shared" si="15"/>
        <v>4206.7256020000004</v>
      </c>
      <c r="AH18">
        <f t="shared" si="16"/>
        <v>8361.8253251057231</v>
      </c>
    </row>
    <row r="19" spans="1:34" x14ac:dyDescent="0.2">
      <c r="A19" s="24" t="s">
        <v>56</v>
      </c>
      <c r="B19" s="38">
        <v>42</v>
      </c>
      <c r="C19" s="26"/>
      <c r="D19" s="27"/>
      <c r="E19" s="18">
        <f t="shared" si="0"/>
        <v>0</v>
      </c>
      <c r="F19" s="26"/>
      <c r="G19" s="28"/>
      <c r="H19" s="25">
        <f t="shared" si="17"/>
        <v>0</v>
      </c>
      <c r="I19" s="26"/>
      <c r="J19" s="28"/>
      <c r="K19" s="18">
        <f t="shared" si="2"/>
        <v>0</v>
      </c>
      <c r="L19" s="26"/>
      <c r="M19" s="28"/>
      <c r="N19" s="18">
        <f t="shared" si="3"/>
        <v>0</v>
      </c>
      <c r="O19" s="26"/>
      <c r="P19" s="28"/>
      <c r="Q19" s="18">
        <f t="shared" si="4"/>
        <v>0</v>
      </c>
      <c r="R19" s="26">
        <f>SUM('Plant Measurements'!P40:P46)</f>
        <v>425.41021400000005</v>
      </c>
      <c r="S19" s="28"/>
      <c r="T19" s="18">
        <f t="shared" si="5"/>
        <v>1701.6408560000002</v>
      </c>
      <c r="U19" s="26"/>
      <c r="V19" s="28"/>
      <c r="W19" s="18">
        <f t="shared" si="6"/>
        <v>0</v>
      </c>
      <c r="X19" s="25">
        <f t="shared" si="7"/>
        <v>1701.6408560000002</v>
      </c>
      <c r="Y19" s="29"/>
      <c r="Z19" s="23">
        <f t="shared" si="8"/>
        <v>0</v>
      </c>
      <c r="AA19" s="23">
        <f t="shared" si="9"/>
        <v>1701.6408560000002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1</v>
      </c>
      <c r="AF19">
        <f t="shared" si="14"/>
        <v>21033.62801</v>
      </c>
      <c r="AG19">
        <f t="shared" si="15"/>
        <v>4206.7256020000004</v>
      </c>
      <c r="AH19">
        <f t="shared" si="16"/>
        <v>7158.3361543443971</v>
      </c>
    </row>
    <row r="20" spans="1:34" x14ac:dyDescent="0.2">
      <c r="A20" s="24" t="s">
        <v>56</v>
      </c>
      <c r="B20" s="25">
        <v>36</v>
      </c>
      <c r="C20" s="26"/>
      <c r="D20" s="27"/>
      <c r="E20" s="18">
        <f t="shared" si="0"/>
        <v>0</v>
      </c>
      <c r="F20" s="26"/>
      <c r="G20" s="28"/>
      <c r="H20" s="25">
        <f t="shared" si="17"/>
        <v>0</v>
      </c>
      <c r="I20" s="26"/>
      <c r="J20" s="28"/>
      <c r="K20" s="18">
        <f t="shared" si="2"/>
        <v>0</v>
      </c>
      <c r="L20" s="26"/>
      <c r="M20" s="28"/>
      <c r="N20" s="18">
        <f t="shared" si="3"/>
        <v>0</v>
      </c>
      <c r="O20" s="26"/>
      <c r="P20" s="28"/>
      <c r="Q20" s="18">
        <f t="shared" si="4"/>
        <v>0</v>
      </c>
      <c r="R20" s="26">
        <f>SUM('Plant Measurements'!P48,'Plant Measurements'!P50,'Plant Measurements'!P51,'Plant Measurements'!P53,'Plant Measurements'!P54,'Plant Measurements'!P55)</f>
        <v>247.36115400000014</v>
      </c>
      <c r="S20" s="28"/>
      <c r="T20" s="18">
        <f t="shared" si="5"/>
        <v>989.44461600000056</v>
      </c>
      <c r="U20" s="26">
        <f>SUM('Plant Measurements'!P47,'Plant Measurements'!P49,'Plant Measurements'!P52)</f>
        <v>398.66023961000002</v>
      </c>
      <c r="V20" s="28"/>
      <c r="W20" s="18">
        <f t="shared" si="6"/>
        <v>1594.6409584400001</v>
      </c>
      <c r="X20" s="25">
        <f t="shared" si="7"/>
        <v>2584.0855744400005</v>
      </c>
      <c r="Y20" s="29"/>
      <c r="Z20" s="23">
        <f t="shared" si="8"/>
        <v>0</v>
      </c>
      <c r="AA20" s="23">
        <f t="shared" si="9"/>
        <v>2584.0855744400005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1</v>
      </c>
      <c r="AF20">
        <f t="shared" si="14"/>
        <v>21033.62801</v>
      </c>
      <c r="AG20">
        <f t="shared" si="15"/>
        <v>4206.7256020000004</v>
      </c>
      <c r="AH20">
        <f t="shared" si="16"/>
        <v>10870.538943755628</v>
      </c>
    </row>
    <row r="21" spans="1:34" x14ac:dyDescent="0.2">
      <c r="A21" s="24" t="s">
        <v>56</v>
      </c>
      <c r="B21" s="25">
        <v>30</v>
      </c>
      <c r="C21" s="26">
        <f>SUM('Plant Measurements'!P58,'Plant Measurements'!P59,'Plant Measurements'!P60,'Plant Measurements'!P61,'Plant Measurements'!P62,'Plant Measurements'!P63,'Plant Measurements'!P65,'Plant Measurements'!P66)</f>
        <v>41.231973800000006</v>
      </c>
      <c r="D21" s="27"/>
      <c r="E21" s="18">
        <f t="shared" si="0"/>
        <v>164.92789520000002</v>
      </c>
      <c r="F21" s="26"/>
      <c r="G21" s="28"/>
      <c r="H21" s="25">
        <f t="shared" si="17"/>
        <v>0</v>
      </c>
      <c r="I21" s="26"/>
      <c r="J21" s="28"/>
      <c r="K21" s="18">
        <f t="shared" si="2"/>
        <v>0</v>
      </c>
      <c r="L21" s="26"/>
      <c r="M21" s="28"/>
      <c r="N21" s="18">
        <f t="shared" si="3"/>
        <v>0</v>
      </c>
      <c r="O21" s="26"/>
      <c r="P21" s="28"/>
      <c r="Q21" s="18">
        <f t="shared" si="4"/>
        <v>0</v>
      </c>
      <c r="R21" s="26">
        <f>SUM('Plant Measurements'!P56,'Plant Measurements'!P64,'Plant Measurements'!P67,'Plant Measurements'!P70)</f>
        <v>153.11655800000003</v>
      </c>
      <c r="S21" s="28"/>
      <c r="T21" s="18">
        <f t="shared" si="5"/>
        <v>612.4662320000001</v>
      </c>
      <c r="U21" s="26">
        <f>SUM('Plant Measurements'!P57,'Plant Measurements'!P68,'Plant Measurements'!P69)</f>
        <v>248.44441312000004</v>
      </c>
      <c r="V21" s="28"/>
      <c r="W21" s="18">
        <f t="shared" si="6"/>
        <v>993.77765248000014</v>
      </c>
      <c r="X21" s="25">
        <f t="shared" si="7"/>
        <v>1771.1717796800003</v>
      </c>
      <c r="Y21" s="29"/>
      <c r="Z21" s="23">
        <f t="shared" si="8"/>
        <v>164.92789520000002</v>
      </c>
      <c r="AA21" s="23">
        <f t="shared" si="9"/>
        <v>1606.2438844800004</v>
      </c>
      <c r="AB21">
        <f t="shared" si="10"/>
        <v>9.3117955633754357E-2</v>
      </c>
      <c r="AC21">
        <f t="shared" si="11"/>
        <v>0</v>
      </c>
      <c r="AD21">
        <f t="shared" si="12"/>
        <v>0</v>
      </c>
      <c r="AE21">
        <f t="shared" si="13"/>
        <v>0.90688204436624564</v>
      </c>
      <c r="AF21">
        <f t="shared" si="14"/>
        <v>21033.62801</v>
      </c>
      <c r="AG21">
        <f t="shared" si="15"/>
        <v>4206.7256020000004</v>
      </c>
      <c r="AH21">
        <f t="shared" si="16"/>
        <v>7450.8336711197617</v>
      </c>
    </row>
    <row r="22" spans="1:34" x14ac:dyDescent="0.2">
      <c r="A22" s="30" t="s">
        <v>56</v>
      </c>
      <c r="B22" s="25">
        <v>15</v>
      </c>
      <c r="C22" s="32"/>
      <c r="D22" s="33"/>
      <c r="E22" s="18">
        <f t="shared" si="0"/>
        <v>0</v>
      </c>
      <c r="F22" s="32"/>
      <c r="G22" s="34"/>
      <c r="H22" s="25">
        <f t="shared" si="17"/>
        <v>0</v>
      </c>
      <c r="I22" s="32"/>
      <c r="J22" s="34"/>
      <c r="K22" s="18">
        <f t="shared" si="2"/>
        <v>0</v>
      </c>
      <c r="L22" s="32"/>
      <c r="M22" s="34"/>
      <c r="N22" s="18">
        <f t="shared" si="3"/>
        <v>0</v>
      </c>
      <c r="O22" s="32"/>
      <c r="P22" s="34"/>
      <c r="Q22" s="18">
        <f t="shared" si="4"/>
        <v>0</v>
      </c>
      <c r="R22" s="32">
        <f>SUM('Plant Measurements'!P72,'Plant Measurements'!P73,'Plant Measurements'!P77,'Plant Measurements'!P76,'Plant Measurements'!P75,'Plant Measurements'!P74,'Plant Measurements'!P81,'Plant Measurements'!P84,'Plant Measurements'!P83,'Plant Measurements'!P82)</f>
        <v>264.23303234000002</v>
      </c>
      <c r="S22" s="34"/>
      <c r="T22" s="18">
        <f t="shared" si="5"/>
        <v>1056.9321293600001</v>
      </c>
      <c r="U22" s="32">
        <f>SUM('Plant Measurements'!P71,'Plant Measurements'!P78,'Plant Measurements'!P79,'Plant Measurements'!P80)</f>
        <v>420.30562770000006</v>
      </c>
      <c r="V22" s="34"/>
      <c r="W22" s="18">
        <f t="shared" si="6"/>
        <v>1681.2225108000002</v>
      </c>
      <c r="X22" s="31">
        <f t="shared" si="7"/>
        <v>2738.1546401600003</v>
      </c>
      <c r="Y22" s="35"/>
      <c r="Z22" s="23">
        <f t="shared" si="8"/>
        <v>0</v>
      </c>
      <c r="AA22" s="23">
        <f t="shared" si="9"/>
        <v>2738.1546401600003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1</v>
      </c>
      <c r="AF22">
        <f t="shared" si="14"/>
        <v>21033.62801</v>
      </c>
      <c r="AG22">
        <f t="shared" si="15"/>
        <v>4206.7256020000004</v>
      </c>
      <c r="AH22">
        <f t="shared" si="16"/>
        <v>11518.665226996172</v>
      </c>
    </row>
    <row r="23" spans="1:34" x14ac:dyDescent="0.2">
      <c r="A23" s="17" t="s">
        <v>20</v>
      </c>
      <c r="B23" s="18">
        <v>50</v>
      </c>
      <c r="C23" s="19"/>
      <c r="D23" s="20"/>
      <c r="E23" s="18">
        <f t="shared" si="0"/>
        <v>0</v>
      </c>
      <c r="F23" s="19"/>
      <c r="G23" s="21"/>
      <c r="H23" s="25">
        <f t="shared" si="17"/>
        <v>0</v>
      </c>
      <c r="I23" s="19">
        <f>SUM('Plant Measurements'!P137,'Plant Measurements'!P138,'Plant Measurements'!P139,'Plant Measurements'!P141,'Plant Measurements'!P142,'Plant Measurements'!P143,'Plant Measurements'!P144,'Plant Measurements'!P145,'Plant Measurements'!P146,'Plant Measurements'!P147,'Plant Measurements'!P148,'Plant Measurements'!P150,'Plant Measurements'!P152,'Plant Measurements'!P153,'Plant Measurements'!P155,'Plant Measurements'!P156)</f>
        <v>151.69093179999999</v>
      </c>
      <c r="J23" s="21"/>
      <c r="K23" s="18">
        <f t="shared" si="2"/>
        <v>606.76372719999995</v>
      </c>
      <c r="L23" s="19"/>
      <c r="M23" s="21"/>
      <c r="N23" s="18">
        <f t="shared" si="3"/>
        <v>0</v>
      </c>
      <c r="O23" s="19"/>
      <c r="P23" s="21"/>
      <c r="Q23" s="18">
        <f t="shared" si="4"/>
        <v>0</v>
      </c>
      <c r="R23" s="19">
        <f>SUM('Plant Measurements'!P140,'Plant Measurements'!P149,'Plant Measurements'!P154,'Plant Measurements'!P157)</f>
        <v>52.947513000000029</v>
      </c>
      <c r="S23" s="21"/>
      <c r="T23" s="18">
        <f t="shared" si="5"/>
        <v>211.79005200000012</v>
      </c>
      <c r="U23" s="19">
        <f>SUM('Plant Measurements'!P151)</f>
        <v>142.09436205</v>
      </c>
      <c r="V23" s="21"/>
      <c r="W23" s="18">
        <f t="shared" si="6"/>
        <v>568.3774482</v>
      </c>
      <c r="X23" s="18">
        <f t="shared" si="7"/>
        <v>1386.9312274000001</v>
      </c>
      <c r="Y23" s="22">
        <f>AVERAGE(X23:X27)</f>
        <v>1218.725446248</v>
      </c>
      <c r="Z23" s="23">
        <f t="shared" si="8"/>
        <v>0</v>
      </c>
      <c r="AA23" s="23">
        <f t="shared" si="9"/>
        <v>780.16750020000018</v>
      </c>
      <c r="AB23">
        <f t="shared" si="10"/>
        <v>0</v>
      </c>
      <c r="AC23">
        <f t="shared" si="11"/>
        <v>0</v>
      </c>
      <c r="AD23">
        <f t="shared" si="12"/>
        <v>0.43748652796394588</v>
      </c>
      <c r="AE23">
        <f t="shared" si="13"/>
        <v>0.56251347203605406</v>
      </c>
      <c r="AF23">
        <f t="shared" si="14"/>
        <v>21033.62801</v>
      </c>
      <c r="AG23">
        <f t="shared" si="15"/>
        <v>4206.7256020000004</v>
      </c>
      <c r="AH23">
        <f t="shared" si="16"/>
        <v>5834.4391025168652</v>
      </c>
    </row>
    <row r="24" spans="1:34" x14ac:dyDescent="0.2">
      <c r="A24" s="24" t="s">
        <v>20</v>
      </c>
      <c r="B24" s="25">
        <v>49</v>
      </c>
      <c r="C24" s="26"/>
      <c r="D24" s="27"/>
      <c r="E24" s="18">
        <f t="shared" si="0"/>
        <v>0</v>
      </c>
      <c r="F24" s="26"/>
      <c r="G24" s="28"/>
      <c r="H24" s="25">
        <f t="shared" si="17"/>
        <v>0</v>
      </c>
      <c r="I24" s="26">
        <f>SUM('Plant Measurements'!P131,'Plant Measurements'!P133,'Plant Measurements'!P134,'Plant Measurements'!P135)</f>
        <v>29.098697000000005</v>
      </c>
      <c r="J24" s="28"/>
      <c r="K24" s="18">
        <f t="shared" si="2"/>
        <v>116.39478800000002</v>
      </c>
      <c r="L24" s="26"/>
      <c r="M24" s="28"/>
      <c r="N24" s="18">
        <f t="shared" si="3"/>
        <v>0</v>
      </c>
      <c r="O24" s="26"/>
      <c r="P24" s="28"/>
      <c r="Q24" s="18">
        <f t="shared" si="4"/>
        <v>0</v>
      </c>
      <c r="R24" s="26">
        <f>SUM('Plant Measurements'!P129,'Plant Measurements'!P130,'Plant Measurements'!P132,'Plant Measurements'!P136)</f>
        <v>134.928528</v>
      </c>
      <c r="S24" s="28"/>
      <c r="T24" s="18">
        <f t="shared" si="5"/>
        <v>539.714112</v>
      </c>
      <c r="U24" s="26"/>
      <c r="V24" s="28"/>
      <c r="W24" s="18">
        <f t="shared" si="6"/>
        <v>0</v>
      </c>
      <c r="X24" s="25">
        <f t="shared" si="7"/>
        <v>656.10890000000006</v>
      </c>
      <c r="Y24" s="29"/>
      <c r="Z24" s="23">
        <f t="shared" si="8"/>
        <v>0</v>
      </c>
      <c r="AA24" s="23">
        <f t="shared" si="9"/>
        <v>539.714112</v>
      </c>
      <c r="AB24">
        <f t="shared" si="10"/>
        <v>0</v>
      </c>
      <c r="AC24">
        <f t="shared" si="11"/>
        <v>0</v>
      </c>
      <c r="AD24">
        <f t="shared" si="12"/>
        <v>0.17740162951607577</v>
      </c>
      <c r="AE24">
        <f t="shared" si="13"/>
        <v>0.82259837048392415</v>
      </c>
      <c r="AF24">
        <f t="shared" si="14"/>
        <v>21033.62801</v>
      </c>
      <c r="AG24">
        <f t="shared" si="15"/>
        <v>4206.7256020000004</v>
      </c>
      <c r="AH24">
        <f t="shared" si="16"/>
        <v>2760.0701073300584</v>
      </c>
    </row>
    <row r="25" spans="1:34" x14ac:dyDescent="0.2">
      <c r="A25" s="24" t="s">
        <v>20</v>
      </c>
      <c r="B25" s="25">
        <v>18</v>
      </c>
      <c r="C25" s="26"/>
      <c r="D25" s="27"/>
      <c r="E25" s="18">
        <f t="shared" si="0"/>
        <v>0</v>
      </c>
      <c r="F25" s="26"/>
      <c r="G25" s="28"/>
      <c r="H25" s="25">
        <f t="shared" si="17"/>
        <v>0</v>
      </c>
      <c r="I25" s="26"/>
      <c r="J25" s="28"/>
      <c r="K25" s="18">
        <f t="shared" si="2"/>
        <v>0</v>
      </c>
      <c r="L25" s="26"/>
      <c r="M25" s="28"/>
      <c r="N25" s="18">
        <f t="shared" si="3"/>
        <v>0</v>
      </c>
      <c r="O25" s="26"/>
      <c r="P25" s="28"/>
      <c r="Q25" s="18">
        <f t="shared" si="4"/>
        <v>0</v>
      </c>
      <c r="R25" s="26">
        <f>SUM('Plant Measurements'!P158:P165)</f>
        <v>278.55479300000013</v>
      </c>
      <c r="S25" s="28"/>
      <c r="T25" s="18">
        <f t="shared" si="5"/>
        <v>1114.2191720000005</v>
      </c>
      <c r="U25" s="26">
        <f>SUM('Plant Measurements'!P166)</f>
        <v>57.951902160000003</v>
      </c>
      <c r="V25" s="28"/>
      <c r="W25" s="18">
        <f t="shared" si="6"/>
        <v>231.80760864000001</v>
      </c>
      <c r="X25" s="25">
        <f t="shared" si="7"/>
        <v>1346.0267806400007</v>
      </c>
      <c r="Y25" s="29"/>
      <c r="Z25" s="23">
        <f t="shared" si="8"/>
        <v>0</v>
      </c>
      <c r="AA25" s="23">
        <f t="shared" si="9"/>
        <v>1346.0267806400007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1</v>
      </c>
      <c r="AF25">
        <f t="shared" si="14"/>
        <v>21033.62801</v>
      </c>
      <c r="AG25">
        <f t="shared" si="15"/>
        <v>4206.7256020000004</v>
      </c>
      <c r="AH25">
        <f t="shared" si="16"/>
        <v>5662.3653190959294</v>
      </c>
    </row>
    <row r="26" spans="1:34" x14ac:dyDescent="0.2">
      <c r="A26" s="24" t="s">
        <v>20</v>
      </c>
      <c r="B26" s="25">
        <v>10</v>
      </c>
      <c r="C26" s="26">
        <f>SUM('Plant Measurements'!P167:P225)</f>
        <v>468.13036679999993</v>
      </c>
      <c r="D26" s="27"/>
      <c r="E26" s="18">
        <f t="shared" si="0"/>
        <v>1872.5214671999997</v>
      </c>
      <c r="F26" s="26"/>
      <c r="G26" s="28"/>
      <c r="H26" s="25">
        <f t="shared" si="17"/>
        <v>0</v>
      </c>
      <c r="I26" s="26"/>
      <c r="J26" s="28"/>
      <c r="K26" s="18">
        <f t="shared" si="2"/>
        <v>0</v>
      </c>
      <c r="L26" s="26"/>
      <c r="M26" s="28"/>
      <c r="N26" s="18">
        <f t="shared" si="3"/>
        <v>0</v>
      </c>
      <c r="O26" s="26"/>
      <c r="P26" s="28"/>
      <c r="Q26" s="18">
        <f t="shared" si="4"/>
        <v>0</v>
      </c>
      <c r="R26" s="26"/>
      <c r="S26" s="28"/>
      <c r="T26" s="18">
        <f t="shared" si="5"/>
        <v>0</v>
      </c>
      <c r="U26" s="26"/>
      <c r="V26" s="28"/>
      <c r="W26" s="18">
        <f t="shared" si="6"/>
        <v>0</v>
      </c>
      <c r="X26" s="25">
        <f t="shared" si="7"/>
        <v>1872.5214671999997</v>
      </c>
      <c r="Y26" s="29"/>
      <c r="Z26" s="23">
        <f t="shared" si="8"/>
        <v>1872.5214671999997</v>
      </c>
      <c r="AA26" s="23">
        <f t="shared" si="9"/>
        <v>0</v>
      </c>
      <c r="AB26">
        <f t="shared" si="10"/>
        <v>1</v>
      </c>
      <c r="AC26">
        <f t="shared" si="11"/>
        <v>0</v>
      </c>
      <c r="AD26">
        <f t="shared" si="12"/>
        <v>0</v>
      </c>
      <c r="AE26">
        <f t="shared" si="13"/>
        <v>0</v>
      </c>
      <c r="AF26">
        <f t="shared" si="14"/>
        <v>21033.62801</v>
      </c>
      <c r="AG26">
        <f t="shared" si="15"/>
        <v>4206.7256020000004</v>
      </c>
      <c r="AH26">
        <f t="shared" si="16"/>
        <v>7877.1839963648436</v>
      </c>
    </row>
    <row r="27" spans="1:34" x14ac:dyDescent="0.2">
      <c r="A27" s="30" t="s">
        <v>20</v>
      </c>
      <c r="B27" s="31">
        <v>4</v>
      </c>
      <c r="C27" s="32"/>
      <c r="D27" s="33"/>
      <c r="E27" s="18">
        <f t="shared" si="0"/>
        <v>0</v>
      </c>
      <c r="F27" s="32"/>
      <c r="G27" s="34"/>
      <c r="H27" s="25">
        <f t="shared" si="17"/>
        <v>0</v>
      </c>
      <c r="I27" s="32">
        <f>SUM('Plant Measurements'!P226,'Plant Measurements'!P227,'Plant Measurements'!P228,'Plant Measurements'!P229,'Plant Measurements'!P230,'Plant Measurements'!P232,'Plant Measurements'!P233,'Plant Measurements'!P234,'Plant Measurements'!P235,'Plant Measurements'!P237,'Plant Measurements'!P238,'Plant Measurements'!P239,'Plant Measurements'!P241,'Plant Measurements'!P242)</f>
        <v>58.727022999999996</v>
      </c>
      <c r="J27" s="34"/>
      <c r="K27" s="18">
        <f t="shared" si="2"/>
        <v>234.90809199999998</v>
      </c>
      <c r="L27" s="32"/>
      <c r="M27" s="34"/>
      <c r="N27" s="18">
        <f t="shared" si="3"/>
        <v>0</v>
      </c>
      <c r="O27" s="32"/>
      <c r="P27" s="34"/>
      <c r="Q27" s="18">
        <f t="shared" si="4"/>
        <v>0</v>
      </c>
      <c r="R27" s="32">
        <f>SUM('Plant Measurements'!P231,'Plant Measurements'!P236,'Plant Measurements'!P240,'Plant Measurements'!P243,'Plant Measurements'!P244)</f>
        <v>149.28269100000003</v>
      </c>
      <c r="S27" s="34"/>
      <c r="T27" s="18">
        <f t="shared" si="5"/>
        <v>597.13076400000011</v>
      </c>
      <c r="U27" s="32"/>
      <c r="V27" s="34"/>
      <c r="W27" s="18">
        <f t="shared" si="6"/>
        <v>0</v>
      </c>
      <c r="X27" s="31">
        <f t="shared" si="7"/>
        <v>832.03885600000012</v>
      </c>
      <c r="Y27" s="35"/>
      <c r="Z27" s="23">
        <f t="shared" si="8"/>
        <v>0</v>
      </c>
      <c r="AA27" s="23">
        <f t="shared" si="9"/>
        <v>597.13076400000011</v>
      </c>
      <c r="AB27">
        <f t="shared" si="10"/>
        <v>0</v>
      </c>
      <c r="AC27">
        <f t="shared" si="11"/>
        <v>0</v>
      </c>
      <c r="AD27">
        <f t="shared" si="12"/>
        <v>0.28232827145755313</v>
      </c>
      <c r="AE27">
        <f t="shared" si="13"/>
        <v>0.71767172854244687</v>
      </c>
      <c r="AF27">
        <f t="shared" si="14"/>
        <v>21033.62801</v>
      </c>
      <c r="AG27">
        <f t="shared" si="15"/>
        <v>4206.7256020000004</v>
      </c>
      <c r="AH27">
        <f t="shared" si="16"/>
        <v>3500.1591573939922</v>
      </c>
    </row>
    <row r="28" spans="1:34" x14ac:dyDescent="0.2">
      <c r="A28" s="17" t="s">
        <v>22</v>
      </c>
      <c r="B28" s="37">
        <v>50</v>
      </c>
      <c r="C28" s="19"/>
      <c r="D28" s="20"/>
      <c r="E28" s="18">
        <f t="shared" si="0"/>
        <v>0</v>
      </c>
      <c r="F28" s="19"/>
      <c r="G28" s="21"/>
      <c r="H28" s="25">
        <f t="shared" si="17"/>
        <v>0</v>
      </c>
      <c r="I28" s="19">
        <f>SUM('Plant Measurements'!P286:P375)</f>
        <v>1133.8870769999999</v>
      </c>
      <c r="J28" s="21"/>
      <c r="K28" s="18">
        <f t="shared" si="2"/>
        <v>4535.5483079999995</v>
      </c>
      <c r="L28" s="19"/>
      <c r="M28" s="21"/>
      <c r="N28" s="18">
        <f t="shared" si="3"/>
        <v>0</v>
      </c>
      <c r="O28" s="19"/>
      <c r="P28" s="21"/>
      <c r="Q28" s="18">
        <f t="shared" si="4"/>
        <v>0</v>
      </c>
      <c r="R28" s="19"/>
      <c r="S28" s="21"/>
      <c r="T28" s="18">
        <f t="shared" si="5"/>
        <v>0</v>
      </c>
      <c r="U28" s="19"/>
      <c r="V28" s="21"/>
      <c r="W28" s="18">
        <f t="shared" si="6"/>
        <v>0</v>
      </c>
      <c r="X28" s="18">
        <f t="shared" si="7"/>
        <v>4535.5483079999995</v>
      </c>
      <c r="Y28" s="22">
        <f>AVERAGE(X28:X32)</f>
        <v>2099.0002156</v>
      </c>
      <c r="Z28" s="23">
        <f t="shared" si="8"/>
        <v>0</v>
      </c>
      <c r="AA28" s="23">
        <f t="shared" si="9"/>
        <v>0</v>
      </c>
      <c r="AB28">
        <f t="shared" si="10"/>
        <v>0</v>
      </c>
      <c r="AC28">
        <f t="shared" si="11"/>
        <v>0</v>
      </c>
      <c r="AD28">
        <f t="shared" si="12"/>
        <v>1</v>
      </c>
      <c r="AE28">
        <f t="shared" si="13"/>
        <v>0</v>
      </c>
      <c r="AF28">
        <f t="shared" si="14"/>
        <v>21033.62801</v>
      </c>
      <c r="AG28">
        <f t="shared" si="15"/>
        <v>4206.7256020000004</v>
      </c>
      <c r="AH28">
        <f t="shared" si="16"/>
        <v>19079.807186371381</v>
      </c>
    </row>
    <row r="29" spans="1:34" x14ac:dyDescent="0.2">
      <c r="A29" s="24" t="s">
        <v>22</v>
      </c>
      <c r="B29" s="25">
        <v>24</v>
      </c>
      <c r="C29" s="26"/>
      <c r="D29" s="27"/>
      <c r="E29" s="18">
        <f t="shared" si="0"/>
        <v>0</v>
      </c>
      <c r="F29" s="26"/>
      <c r="G29" s="28"/>
      <c r="H29" s="25">
        <f t="shared" si="17"/>
        <v>0</v>
      </c>
      <c r="I29" s="26"/>
      <c r="J29" s="28"/>
      <c r="K29" s="18">
        <f t="shared" si="2"/>
        <v>0</v>
      </c>
      <c r="L29" s="26"/>
      <c r="M29" s="28"/>
      <c r="N29" s="18">
        <f t="shared" si="3"/>
        <v>0</v>
      </c>
      <c r="O29" s="26"/>
      <c r="P29" s="28"/>
      <c r="Q29" s="18">
        <f t="shared" si="4"/>
        <v>0</v>
      </c>
      <c r="R29" s="26">
        <f>SUM('Plant Measurements'!P376:P385)</f>
        <v>247.73050300000006</v>
      </c>
      <c r="S29" s="28"/>
      <c r="T29" s="18">
        <f t="shared" si="5"/>
        <v>990.92201200000022</v>
      </c>
      <c r="U29" s="26"/>
      <c r="V29" s="28"/>
      <c r="W29" s="18">
        <f t="shared" si="6"/>
        <v>0</v>
      </c>
      <c r="X29" s="25">
        <f t="shared" si="7"/>
        <v>990.92201200000022</v>
      </c>
      <c r="Y29" s="29"/>
      <c r="Z29" s="23">
        <f t="shared" si="8"/>
        <v>0</v>
      </c>
      <c r="AA29" s="23">
        <f t="shared" si="9"/>
        <v>990.92201200000022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1</v>
      </c>
      <c r="AF29">
        <f t="shared" si="14"/>
        <v>21033.62801</v>
      </c>
      <c r="AG29">
        <f t="shared" si="15"/>
        <v>4206.7256020000004</v>
      </c>
      <c r="AH29">
        <f t="shared" si="16"/>
        <v>4168.5369974657524</v>
      </c>
    </row>
    <row r="30" spans="1:34" x14ac:dyDescent="0.2">
      <c r="A30" s="24" t="s">
        <v>22</v>
      </c>
      <c r="B30" s="38">
        <v>17</v>
      </c>
      <c r="C30" s="26"/>
      <c r="D30" s="27"/>
      <c r="E30" s="18">
        <f t="shared" si="0"/>
        <v>0</v>
      </c>
      <c r="F30" s="26"/>
      <c r="G30" s="28"/>
      <c r="H30" s="25">
        <f t="shared" si="17"/>
        <v>0</v>
      </c>
      <c r="I30" s="26"/>
      <c r="J30" s="28"/>
      <c r="K30" s="18">
        <f t="shared" si="2"/>
        <v>0</v>
      </c>
      <c r="L30" s="26"/>
      <c r="M30" s="28"/>
      <c r="N30" s="18">
        <f t="shared" si="3"/>
        <v>0</v>
      </c>
      <c r="O30" s="26"/>
      <c r="P30" s="28"/>
      <c r="Q30" s="18">
        <f t="shared" si="4"/>
        <v>0</v>
      </c>
      <c r="R30" s="26">
        <f>SUM('Plant Measurements'!P386:P395)</f>
        <v>323.30970600000006</v>
      </c>
      <c r="S30" s="28"/>
      <c r="T30" s="18">
        <f t="shared" si="5"/>
        <v>1293.2388240000002</v>
      </c>
      <c r="U30" s="26"/>
      <c r="V30" s="28"/>
      <c r="W30" s="18">
        <f t="shared" si="6"/>
        <v>0</v>
      </c>
      <c r="X30" s="25">
        <f t="shared" si="7"/>
        <v>1293.2388240000002</v>
      </c>
      <c r="Y30" s="29"/>
      <c r="Z30" s="23">
        <f t="shared" si="8"/>
        <v>0</v>
      </c>
      <c r="AA30" s="23">
        <f t="shared" si="9"/>
        <v>1293.2388240000002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1</v>
      </c>
      <c r="AF30">
        <f t="shared" si="14"/>
        <v>21033.62801</v>
      </c>
      <c r="AG30">
        <f t="shared" si="15"/>
        <v>4206.7256020000004</v>
      </c>
      <c r="AH30">
        <f t="shared" si="16"/>
        <v>5440.3008704211743</v>
      </c>
    </row>
    <row r="31" spans="1:34" x14ac:dyDescent="0.2">
      <c r="A31" s="24" t="s">
        <v>22</v>
      </c>
      <c r="B31" s="25">
        <v>7</v>
      </c>
      <c r="C31" s="26"/>
      <c r="D31" s="27"/>
      <c r="E31" s="18">
        <f t="shared" si="0"/>
        <v>0</v>
      </c>
      <c r="F31" s="26"/>
      <c r="G31" s="28"/>
      <c r="H31" s="25">
        <f t="shared" si="17"/>
        <v>0</v>
      </c>
      <c r="I31" s="26">
        <f>SUM('Plant Measurements'!P397:P399,'Plant Measurements'!P401,'Plant Measurements'!P403:P415)</f>
        <v>184.27726899999999</v>
      </c>
      <c r="J31" s="28"/>
      <c r="K31" s="18">
        <f t="shared" si="2"/>
        <v>737.10907599999996</v>
      </c>
      <c r="L31" s="26"/>
      <c r="M31" s="28"/>
      <c r="N31" s="18">
        <f t="shared" si="3"/>
        <v>0</v>
      </c>
      <c r="O31" s="26"/>
      <c r="P31" s="28"/>
      <c r="Q31" s="18">
        <f t="shared" si="4"/>
        <v>0</v>
      </c>
      <c r="R31" s="26">
        <f>SUM('Plant Measurements'!P400,'Plant Measurements'!P402,'Plant Measurements'!P396)</f>
        <v>72.479277999999994</v>
      </c>
      <c r="S31" s="28"/>
      <c r="T31" s="18">
        <f t="shared" si="5"/>
        <v>289.91711199999997</v>
      </c>
      <c r="U31" s="26"/>
      <c r="V31" s="28"/>
      <c r="W31" s="18">
        <f t="shared" si="6"/>
        <v>0</v>
      </c>
      <c r="X31" s="25">
        <f t="shared" si="7"/>
        <v>1027.0261879999998</v>
      </c>
      <c r="Y31" s="29"/>
      <c r="Z31" s="23">
        <f t="shared" si="8"/>
        <v>0</v>
      </c>
      <c r="AA31" s="23">
        <f t="shared" si="9"/>
        <v>289.91711199999997</v>
      </c>
      <c r="AB31">
        <f t="shared" si="10"/>
        <v>0</v>
      </c>
      <c r="AC31">
        <f t="shared" si="11"/>
        <v>0</v>
      </c>
      <c r="AD31">
        <f t="shared" si="12"/>
        <v>0.71771205506981683</v>
      </c>
      <c r="AE31">
        <f t="shared" si="13"/>
        <v>0.28228794493018322</v>
      </c>
      <c r="AF31">
        <f t="shared" si="14"/>
        <v>21033.62801</v>
      </c>
      <c r="AG31">
        <f t="shared" si="15"/>
        <v>4206.7256020000004</v>
      </c>
      <c r="AH31">
        <f t="shared" si="16"/>
        <v>4320.4173589840657</v>
      </c>
    </row>
    <row r="32" spans="1:34" x14ac:dyDescent="0.2">
      <c r="A32" s="30" t="s">
        <v>22</v>
      </c>
      <c r="B32" s="25">
        <v>4</v>
      </c>
      <c r="C32" s="32">
        <f>SUM('Plant Measurements'!O416,'Plant Measurements'!O418:O430,'Plant Measurements'!O432:O441,'Plant Measurements'!O452,'Plant Measurements'!O454,'Plant Measurements'!O457,'Plant Measurements'!O459,'Plant Measurements'!O462)</f>
        <v>423.85555890000001</v>
      </c>
      <c r="D32" s="33"/>
      <c r="E32" s="18">
        <f t="shared" si="0"/>
        <v>1695.4222356</v>
      </c>
      <c r="F32" s="32"/>
      <c r="G32" s="34"/>
      <c r="H32" s="25">
        <f t="shared" si="17"/>
        <v>0</v>
      </c>
      <c r="I32" s="32">
        <f>SUM('Plant Measurements'!P417,'Plant Measurements'!P431,'Plant Measurements'!P442:P450,'Plant Measurements'!P453,'Plant Measurements'!P456,'Plant Measurements'!P455,'Plant Measurements'!P460:P461)</f>
        <v>172.12088159999999</v>
      </c>
      <c r="J32" s="34"/>
      <c r="K32" s="18">
        <f t="shared" si="2"/>
        <v>688.48352639999996</v>
      </c>
      <c r="L32" s="32"/>
      <c r="M32" s="34"/>
      <c r="N32" s="18">
        <f t="shared" si="3"/>
        <v>0</v>
      </c>
      <c r="O32" s="32"/>
      <c r="P32" s="34"/>
      <c r="Q32" s="18">
        <f t="shared" si="4"/>
        <v>0</v>
      </c>
      <c r="R32" s="32">
        <f>SUM('Plant Measurements'!P451,'Plant Measurements'!P458)</f>
        <v>66.089996000000014</v>
      </c>
      <c r="S32" s="34"/>
      <c r="T32" s="18">
        <f t="shared" si="5"/>
        <v>264.35998400000005</v>
      </c>
      <c r="U32" s="32"/>
      <c r="V32" s="34"/>
      <c r="W32" s="18">
        <f t="shared" si="6"/>
        <v>0</v>
      </c>
      <c r="X32" s="31">
        <f t="shared" si="7"/>
        <v>2648.265746</v>
      </c>
      <c r="Y32" s="35"/>
      <c r="Z32" s="23">
        <f t="shared" si="8"/>
        <v>1695.4222356</v>
      </c>
      <c r="AA32" s="23">
        <f t="shared" si="9"/>
        <v>264.35998400000005</v>
      </c>
      <c r="AB32">
        <f t="shared" si="10"/>
        <v>0.64020094590612886</v>
      </c>
      <c r="AC32">
        <f t="shared" si="11"/>
        <v>0</v>
      </c>
      <c r="AD32">
        <f t="shared" si="12"/>
        <v>0.2599752413215709</v>
      </c>
      <c r="AE32">
        <f t="shared" si="13"/>
        <v>9.9823812772300249E-2</v>
      </c>
      <c r="AF32">
        <f t="shared" si="14"/>
        <v>21033.62801</v>
      </c>
      <c r="AG32">
        <f t="shared" si="15"/>
        <v>4206.7256020000004</v>
      </c>
      <c r="AH32">
        <f t="shared" si="16"/>
        <v>11140.52731459783</v>
      </c>
    </row>
    <row r="33" spans="1:34" x14ac:dyDescent="0.2">
      <c r="A33" s="17" t="s">
        <v>23</v>
      </c>
      <c r="B33" s="18">
        <v>46</v>
      </c>
      <c r="C33" s="19"/>
      <c r="D33" s="39"/>
      <c r="E33" s="18">
        <f t="shared" si="0"/>
        <v>0</v>
      </c>
      <c r="F33" s="19"/>
      <c r="G33" s="21"/>
      <c r="H33" s="25">
        <f t="shared" si="17"/>
        <v>0</v>
      </c>
      <c r="I33" s="19"/>
      <c r="J33" s="21"/>
      <c r="K33" s="18">
        <f t="shared" si="2"/>
        <v>0</v>
      </c>
      <c r="L33" s="19"/>
      <c r="M33" s="21"/>
      <c r="N33" s="18">
        <f t="shared" si="3"/>
        <v>0</v>
      </c>
      <c r="O33" s="19"/>
      <c r="P33" s="21"/>
      <c r="Q33" s="18">
        <f t="shared" si="4"/>
        <v>0</v>
      </c>
      <c r="R33" s="19">
        <f>SUM('Plant Measurements'!P491,'Plant Measurements'!P492,'Plant Measurements'!P495,'Plant Measurements'!P494,'Plant Measurements'!P493)</f>
        <v>215.33693100000002</v>
      </c>
      <c r="S33" s="21"/>
      <c r="T33" s="18">
        <f t="shared" si="5"/>
        <v>861.34772400000008</v>
      </c>
      <c r="U33" s="19">
        <f>SUM('Plant Measurements'!P490)</f>
        <v>155.72474227000004</v>
      </c>
      <c r="V33" s="21"/>
      <c r="W33" s="18">
        <f t="shared" si="6"/>
        <v>622.89896908000014</v>
      </c>
      <c r="X33" s="18">
        <f t="shared" si="7"/>
        <v>1484.2466930800001</v>
      </c>
      <c r="Y33" s="22">
        <f>AVERAGE(X33:X37)</f>
        <v>1119.4362635040002</v>
      </c>
      <c r="Z33" s="23">
        <f t="shared" si="8"/>
        <v>0</v>
      </c>
      <c r="AA33" s="23">
        <f t="shared" si="9"/>
        <v>1484.2466930800001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1</v>
      </c>
      <c r="AF33">
        <f t="shared" si="14"/>
        <v>21033.62801</v>
      </c>
      <c r="AG33">
        <f t="shared" si="15"/>
        <v>4206.7256020000004</v>
      </c>
      <c r="AH33">
        <f t="shared" si="16"/>
        <v>6243.8185634634738</v>
      </c>
    </row>
    <row r="34" spans="1:34" x14ac:dyDescent="0.2">
      <c r="A34" s="24" t="s">
        <v>23</v>
      </c>
      <c r="B34" s="25">
        <v>34</v>
      </c>
      <c r="C34" s="26"/>
      <c r="D34" s="27"/>
      <c r="E34" s="18">
        <f t="shared" si="0"/>
        <v>0</v>
      </c>
      <c r="F34" s="26"/>
      <c r="G34" s="28"/>
      <c r="H34" s="25">
        <f t="shared" si="17"/>
        <v>0</v>
      </c>
      <c r="I34" s="26"/>
      <c r="J34" s="28"/>
      <c r="K34" s="18">
        <f t="shared" si="2"/>
        <v>0</v>
      </c>
      <c r="L34" s="26"/>
      <c r="M34" s="28"/>
      <c r="N34" s="18">
        <f t="shared" si="3"/>
        <v>0</v>
      </c>
      <c r="O34" s="26"/>
      <c r="P34" s="28"/>
      <c r="Q34" s="18">
        <f t="shared" si="4"/>
        <v>0</v>
      </c>
      <c r="R34" s="26">
        <f>SUM('Plant Measurements'!P496,'Plant Measurements'!P499,'Plant Measurements'!P502,'Plant Measurements'!P501,'Plant Measurements'!P500)</f>
        <v>286.46475100000004</v>
      </c>
      <c r="S34" s="28"/>
      <c r="T34" s="18">
        <f t="shared" si="5"/>
        <v>1145.8590040000001</v>
      </c>
      <c r="U34" s="26">
        <f>SUM('Plant Measurements'!P497,'Plant Measurements'!P498)</f>
        <v>232.58835341</v>
      </c>
      <c r="V34" s="28"/>
      <c r="W34" s="18">
        <f t="shared" si="6"/>
        <v>930.35341363999999</v>
      </c>
      <c r="X34" s="25">
        <f t="shared" si="7"/>
        <v>2076.2124176400002</v>
      </c>
      <c r="Y34" s="29"/>
      <c r="Z34" s="23">
        <f t="shared" si="8"/>
        <v>0</v>
      </c>
      <c r="AA34" s="23">
        <f t="shared" si="9"/>
        <v>2076.2124176400002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1</v>
      </c>
      <c r="AF34">
        <f t="shared" si="14"/>
        <v>21033.62801</v>
      </c>
      <c r="AG34">
        <f t="shared" si="15"/>
        <v>4206.7256020000004</v>
      </c>
      <c r="AH34">
        <f t="shared" si="16"/>
        <v>8734.0559324765054</v>
      </c>
    </row>
    <row r="35" spans="1:34" x14ac:dyDescent="0.2">
      <c r="A35" s="24" t="s">
        <v>23</v>
      </c>
      <c r="B35" s="25">
        <v>21</v>
      </c>
      <c r="C35" s="26"/>
      <c r="D35" s="27"/>
      <c r="E35" s="18">
        <f t="shared" si="0"/>
        <v>0</v>
      </c>
      <c r="F35" s="26"/>
      <c r="G35" s="28"/>
      <c r="H35" s="25">
        <f t="shared" si="17"/>
        <v>0</v>
      </c>
      <c r="I35" s="26"/>
      <c r="J35" s="28"/>
      <c r="K35" s="18">
        <f t="shared" si="2"/>
        <v>0</v>
      </c>
      <c r="L35" s="26"/>
      <c r="M35" s="28"/>
      <c r="N35" s="18">
        <f t="shared" si="3"/>
        <v>0</v>
      </c>
      <c r="O35" s="26"/>
      <c r="P35" s="28"/>
      <c r="Q35" s="18">
        <f t="shared" si="4"/>
        <v>0</v>
      </c>
      <c r="R35" s="26">
        <f>SUM('Plant Measurements'!P503,'Plant Measurements'!P504,'Plant Measurements'!P509,'Plant Measurements'!P508,'Plant Measurements'!P507,'Plant Measurements'!P506,'Plant Measurements'!P505)</f>
        <v>377.83189400000003</v>
      </c>
      <c r="S35" s="28"/>
      <c r="T35" s="18">
        <f t="shared" si="5"/>
        <v>1511.3275760000001</v>
      </c>
      <c r="U35" s="26"/>
      <c r="V35" s="28"/>
      <c r="W35" s="18">
        <f t="shared" si="6"/>
        <v>0</v>
      </c>
      <c r="X35" s="25">
        <f t="shared" si="7"/>
        <v>1511.3275760000001</v>
      </c>
      <c r="Y35" s="29"/>
      <c r="Z35" s="23">
        <f t="shared" si="8"/>
        <v>0</v>
      </c>
      <c r="AA35" s="23">
        <f t="shared" si="9"/>
        <v>1511.3275760000001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1</v>
      </c>
      <c r="AF35">
        <f t="shared" si="14"/>
        <v>21033.62801</v>
      </c>
      <c r="AG35">
        <f t="shared" si="15"/>
        <v>4206.7256020000004</v>
      </c>
      <c r="AH35">
        <f t="shared" si="16"/>
        <v>6357.7404069678023</v>
      </c>
    </row>
    <row r="36" spans="1:34" x14ac:dyDescent="0.2">
      <c r="A36" s="24" t="s">
        <v>23</v>
      </c>
      <c r="B36" s="25">
        <v>8</v>
      </c>
      <c r="C36" s="26"/>
      <c r="D36" s="27"/>
      <c r="E36" s="18">
        <f t="shared" si="0"/>
        <v>0</v>
      </c>
      <c r="F36" s="26"/>
      <c r="G36" s="28"/>
      <c r="H36" s="25">
        <f t="shared" si="17"/>
        <v>0</v>
      </c>
      <c r="I36" s="26"/>
      <c r="J36" s="28"/>
      <c r="K36" s="18">
        <f t="shared" si="2"/>
        <v>0</v>
      </c>
      <c r="L36" s="26"/>
      <c r="M36" s="28"/>
      <c r="N36" s="18">
        <f t="shared" si="3"/>
        <v>0</v>
      </c>
      <c r="O36" s="26"/>
      <c r="P36" s="28"/>
      <c r="Q36" s="18">
        <f t="shared" si="4"/>
        <v>0</v>
      </c>
      <c r="R36" s="26"/>
      <c r="S36" s="28"/>
      <c r="T36" s="18">
        <f t="shared" si="5"/>
        <v>0</v>
      </c>
      <c r="U36" s="26"/>
      <c r="V36" s="28"/>
      <c r="W36" s="18">
        <f t="shared" si="6"/>
        <v>0</v>
      </c>
      <c r="X36" s="25">
        <f t="shared" si="7"/>
        <v>0</v>
      </c>
      <c r="Y36" s="29"/>
      <c r="Z36" s="23">
        <f t="shared" si="8"/>
        <v>0</v>
      </c>
      <c r="AA36" s="23">
        <f t="shared" si="9"/>
        <v>0</v>
      </c>
      <c r="AB36" t="str">
        <f t="shared" si="10"/>
        <v xml:space="preserve"> </v>
      </c>
      <c r="AC36" t="str">
        <f t="shared" si="11"/>
        <v xml:space="preserve"> </v>
      </c>
      <c r="AD36" t="str">
        <f t="shared" si="12"/>
        <v xml:space="preserve"> </v>
      </c>
      <c r="AE36" t="str">
        <f t="shared" si="13"/>
        <v xml:space="preserve"> </v>
      </c>
      <c r="AF36">
        <f t="shared" si="14"/>
        <v>21033.62801</v>
      </c>
      <c r="AG36">
        <f t="shared" si="15"/>
        <v>4206.7256020000004</v>
      </c>
      <c r="AH36">
        <f t="shared" si="16"/>
        <v>0</v>
      </c>
    </row>
    <row r="37" spans="1:34" x14ac:dyDescent="0.2">
      <c r="A37" s="30" t="s">
        <v>23</v>
      </c>
      <c r="B37" s="31">
        <v>6</v>
      </c>
      <c r="C37" s="32">
        <f>SUM('Plant Measurements'!P511:P525)</f>
        <v>131.34865770000002</v>
      </c>
      <c r="D37" s="33"/>
      <c r="E37" s="18">
        <f t="shared" si="0"/>
        <v>525.39463080000007</v>
      </c>
      <c r="F37" s="32"/>
      <c r="G37" s="34"/>
      <c r="H37" s="25">
        <f t="shared" si="17"/>
        <v>0</v>
      </c>
      <c r="I37" s="32"/>
      <c r="J37" s="34"/>
      <c r="K37" s="18">
        <f t="shared" si="2"/>
        <v>0</v>
      </c>
      <c r="L37" s="32"/>
      <c r="M37" s="34"/>
      <c r="N37" s="18">
        <f t="shared" si="3"/>
        <v>0</v>
      </c>
      <c r="O37" s="32"/>
      <c r="P37" s="34"/>
      <c r="Q37" s="18">
        <f t="shared" si="4"/>
        <v>0</v>
      </c>
      <c r="R37" s="32"/>
      <c r="S37" s="34"/>
      <c r="T37" s="18">
        <f t="shared" si="5"/>
        <v>0</v>
      </c>
      <c r="U37" s="32"/>
      <c r="V37" s="34"/>
      <c r="W37" s="18">
        <f t="shared" si="6"/>
        <v>0</v>
      </c>
      <c r="X37" s="31">
        <f t="shared" si="7"/>
        <v>525.39463080000007</v>
      </c>
      <c r="Y37" s="35"/>
      <c r="Z37" s="23">
        <f t="shared" si="8"/>
        <v>525.39463080000007</v>
      </c>
      <c r="AA37" s="23">
        <f t="shared" si="9"/>
        <v>0</v>
      </c>
      <c r="AB37">
        <f t="shared" si="10"/>
        <v>1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21033.62801</v>
      </c>
      <c r="AG37">
        <f t="shared" si="15"/>
        <v>4206.7256020000004</v>
      </c>
      <c r="AH37">
        <f t="shared" si="16"/>
        <v>2210.1910445396984</v>
      </c>
    </row>
    <row r="38" spans="1:34" x14ac:dyDescent="0.2">
      <c r="A38" s="17" t="s">
        <v>24</v>
      </c>
      <c r="B38" s="18">
        <v>47</v>
      </c>
      <c r="C38" s="19">
        <f>SUM('Plant Measurements'!P526:P531)</f>
        <v>51.324543000000006</v>
      </c>
      <c r="D38" s="20"/>
      <c r="E38" s="18">
        <f t="shared" si="0"/>
        <v>205.29817200000002</v>
      </c>
      <c r="F38" s="19"/>
      <c r="G38" s="21"/>
      <c r="H38" s="25">
        <f t="shared" si="17"/>
        <v>0</v>
      </c>
      <c r="I38" s="19"/>
      <c r="J38" s="21"/>
      <c r="K38" s="18">
        <f t="shared" si="2"/>
        <v>0</v>
      </c>
      <c r="L38" s="19"/>
      <c r="M38" s="21"/>
      <c r="N38" s="18">
        <f t="shared" si="3"/>
        <v>0</v>
      </c>
      <c r="O38" s="19"/>
      <c r="P38" s="21"/>
      <c r="Q38" s="18">
        <f t="shared" si="4"/>
        <v>0</v>
      </c>
      <c r="R38" s="19">
        <f>SUM('Plant Measurements'!P532:P535)</f>
        <v>46.350355999999991</v>
      </c>
      <c r="S38" s="21"/>
      <c r="T38" s="18">
        <f t="shared" si="5"/>
        <v>185.40142399999996</v>
      </c>
      <c r="U38" s="19">
        <f>SUM('Plant Measurements'!P536:P538)</f>
        <v>360.39070981999998</v>
      </c>
      <c r="V38" s="21"/>
      <c r="W38" s="18">
        <f t="shared" si="6"/>
        <v>1441.5628392799999</v>
      </c>
      <c r="X38" s="18">
        <f t="shared" si="7"/>
        <v>1832.2624352799999</v>
      </c>
      <c r="Y38" s="22">
        <f>AVERAGE(X38:X42)</f>
        <v>785.36426225599996</v>
      </c>
      <c r="Z38" s="23">
        <f t="shared" si="8"/>
        <v>205.29817200000002</v>
      </c>
      <c r="AA38" s="23">
        <f t="shared" si="9"/>
        <v>1626.9642632799998</v>
      </c>
      <c r="AB38">
        <f t="shared" si="10"/>
        <v>0.11204627025419919</v>
      </c>
      <c r="AC38">
        <f t="shared" si="11"/>
        <v>0</v>
      </c>
      <c r="AD38">
        <f t="shared" si="12"/>
        <v>0</v>
      </c>
      <c r="AE38">
        <f t="shared" si="13"/>
        <v>0.88795372974580078</v>
      </c>
      <c r="AF38">
        <f t="shared" si="14"/>
        <v>21033.62801</v>
      </c>
      <c r="AG38">
        <f t="shared" si="15"/>
        <v>4206.7256020000004</v>
      </c>
      <c r="AH38">
        <f t="shared" si="16"/>
        <v>7707.8252960752443</v>
      </c>
    </row>
    <row r="39" spans="1:34" x14ac:dyDescent="0.2">
      <c r="A39" s="24" t="s">
        <v>24</v>
      </c>
      <c r="B39" s="25">
        <v>39</v>
      </c>
      <c r="C39" s="26">
        <f>SUM('Plant Measurements'!P539:P556)</f>
        <v>222.74407299999999</v>
      </c>
      <c r="D39" s="27"/>
      <c r="E39" s="18">
        <f t="shared" si="0"/>
        <v>890.97629199999994</v>
      </c>
      <c r="F39" s="26"/>
      <c r="G39" s="28"/>
      <c r="H39" s="25">
        <f t="shared" si="17"/>
        <v>0</v>
      </c>
      <c r="I39" s="26"/>
      <c r="J39" s="28"/>
      <c r="K39" s="18">
        <f t="shared" si="2"/>
        <v>0</v>
      </c>
      <c r="L39" s="26"/>
      <c r="M39" s="28"/>
      <c r="N39" s="18">
        <f t="shared" si="3"/>
        <v>0</v>
      </c>
      <c r="O39" s="26"/>
      <c r="P39" s="28"/>
      <c r="Q39" s="18">
        <f t="shared" si="4"/>
        <v>0</v>
      </c>
      <c r="R39" s="26"/>
      <c r="S39" s="28"/>
      <c r="T39" s="18">
        <f t="shared" si="5"/>
        <v>0</v>
      </c>
      <c r="U39" s="26"/>
      <c r="V39" s="28"/>
      <c r="W39" s="18">
        <f t="shared" si="6"/>
        <v>0</v>
      </c>
      <c r="X39" s="25">
        <f t="shared" si="7"/>
        <v>890.97629199999994</v>
      </c>
      <c r="Y39" s="29"/>
      <c r="Z39" s="23">
        <f t="shared" si="8"/>
        <v>890.97629199999994</v>
      </c>
      <c r="AA39" s="23">
        <f t="shared" si="9"/>
        <v>0</v>
      </c>
      <c r="AB39">
        <f t="shared" si="10"/>
        <v>1</v>
      </c>
      <c r="AC39">
        <f t="shared" si="11"/>
        <v>0</v>
      </c>
      <c r="AD39">
        <f t="shared" si="12"/>
        <v>0</v>
      </c>
      <c r="AE39">
        <f t="shared" si="13"/>
        <v>0</v>
      </c>
      <c r="AF39">
        <f t="shared" si="14"/>
        <v>21033.62801</v>
      </c>
      <c r="AG39">
        <f t="shared" si="15"/>
        <v>4206.7256020000004</v>
      </c>
      <c r="AH39">
        <f t="shared" si="16"/>
        <v>3748.0927783314278</v>
      </c>
    </row>
    <row r="40" spans="1:34" x14ac:dyDescent="0.2">
      <c r="A40" s="24" t="s">
        <v>24</v>
      </c>
      <c r="B40" s="25">
        <v>27</v>
      </c>
      <c r="C40" s="26"/>
      <c r="D40" s="27"/>
      <c r="E40" s="18">
        <f t="shared" si="0"/>
        <v>0</v>
      </c>
      <c r="F40" s="26"/>
      <c r="G40" s="28"/>
      <c r="H40" s="25">
        <f t="shared" si="17"/>
        <v>0</v>
      </c>
      <c r="I40" s="26"/>
      <c r="J40" s="28"/>
      <c r="K40" s="18">
        <f t="shared" si="2"/>
        <v>0</v>
      </c>
      <c r="L40" s="26"/>
      <c r="M40" s="28"/>
      <c r="N40" s="18">
        <f t="shared" si="3"/>
        <v>0</v>
      </c>
      <c r="O40" s="26"/>
      <c r="P40" s="28"/>
      <c r="Q40" s="18">
        <f t="shared" si="4"/>
        <v>0</v>
      </c>
      <c r="R40" s="26">
        <f>SUM('Plant Measurements'!P558:P561)</f>
        <v>27.578056999999994</v>
      </c>
      <c r="S40" s="28"/>
      <c r="T40" s="18">
        <f t="shared" si="5"/>
        <v>110.31222799999998</v>
      </c>
      <c r="U40" s="26">
        <f>SUM('Plant Measurements'!P557,'Plant Measurements'!P562:P570)</f>
        <v>98.004659000000032</v>
      </c>
      <c r="V40" s="28"/>
      <c r="W40" s="18">
        <f t="shared" si="6"/>
        <v>392.01863600000013</v>
      </c>
      <c r="X40" s="25">
        <f t="shared" si="7"/>
        <v>502.33086400000013</v>
      </c>
      <c r="Y40" s="29"/>
      <c r="Z40" s="23">
        <f t="shared" si="8"/>
        <v>0</v>
      </c>
      <c r="AA40" s="23">
        <f t="shared" si="9"/>
        <v>502.33086400000013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1</v>
      </c>
      <c r="AF40">
        <f t="shared" si="14"/>
        <v>21033.62801</v>
      </c>
      <c r="AG40">
        <f t="shared" si="15"/>
        <v>4206.7256020000004</v>
      </c>
      <c r="AH40">
        <f t="shared" si="16"/>
        <v>2113.1681062635807</v>
      </c>
    </row>
    <row r="41" spans="1:34" x14ac:dyDescent="0.2">
      <c r="A41" s="24" t="s">
        <v>24</v>
      </c>
      <c r="B41" s="25">
        <v>24</v>
      </c>
      <c r="C41" s="26"/>
      <c r="D41" s="27"/>
      <c r="E41" s="18">
        <f t="shared" si="0"/>
        <v>0</v>
      </c>
      <c r="F41" s="26"/>
      <c r="G41" s="28"/>
      <c r="H41" s="25">
        <f t="shared" si="17"/>
        <v>0</v>
      </c>
      <c r="I41" s="26"/>
      <c r="J41" s="28"/>
      <c r="K41" s="18">
        <f t="shared" si="2"/>
        <v>0</v>
      </c>
      <c r="L41" s="26"/>
      <c r="M41" s="28"/>
      <c r="N41" s="18">
        <f t="shared" si="3"/>
        <v>0</v>
      </c>
      <c r="O41" s="26"/>
      <c r="P41" s="28"/>
      <c r="Q41" s="18">
        <f t="shared" si="4"/>
        <v>0</v>
      </c>
      <c r="R41" s="26"/>
      <c r="S41" s="28"/>
      <c r="T41" s="18">
        <f t="shared" si="5"/>
        <v>0</v>
      </c>
      <c r="U41" s="26"/>
      <c r="V41" s="28"/>
      <c r="W41" s="18">
        <f t="shared" si="6"/>
        <v>0</v>
      </c>
      <c r="X41" s="25">
        <f t="shared" si="7"/>
        <v>0</v>
      </c>
      <c r="Y41" s="29"/>
      <c r="Z41" s="23">
        <f t="shared" si="8"/>
        <v>0</v>
      </c>
      <c r="AA41" s="23">
        <f t="shared" si="9"/>
        <v>0</v>
      </c>
      <c r="AB41" t="str">
        <f t="shared" si="10"/>
        <v xml:space="preserve"> </v>
      </c>
      <c r="AC41" t="str">
        <f t="shared" si="11"/>
        <v xml:space="preserve"> </v>
      </c>
      <c r="AD41" t="str">
        <f t="shared" si="12"/>
        <v xml:space="preserve"> </v>
      </c>
      <c r="AE41" t="str">
        <f t="shared" si="13"/>
        <v xml:space="preserve"> </v>
      </c>
      <c r="AF41">
        <f t="shared" si="14"/>
        <v>21033.62801</v>
      </c>
      <c r="AG41">
        <f t="shared" si="15"/>
        <v>4206.7256020000004</v>
      </c>
      <c r="AH41">
        <f t="shared" si="16"/>
        <v>0</v>
      </c>
    </row>
    <row r="42" spans="1:34" x14ac:dyDescent="0.2">
      <c r="A42" s="30" t="s">
        <v>24</v>
      </c>
      <c r="B42" s="31">
        <v>16</v>
      </c>
      <c r="C42" s="32"/>
      <c r="D42" s="33"/>
      <c r="E42" s="18">
        <f>C42*4</f>
        <v>0</v>
      </c>
      <c r="F42" s="32"/>
      <c r="G42" s="34"/>
      <c r="H42" s="25">
        <f t="shared" si="17"/>
        <v>0</v>
      </c>
      <c r="I42" s="32"/>
      <c r="J42" s="34"/>
      <c r="K42" s="18">
        <f t="shared" si="2"/>
        <v>0</v>
      </c>
      <c r="L42" s="32"/>
      <c r="M42" s="34"/>
      <c r="N42" s="18">
        <f t="shared" si="3"/>
        <v>0</v>
      </c>
      <c r="O42" s="32"/>
      <c r="P42" s="34"/>
      <c r="Q42" s="18">
        <f t="shared" si="4"/>
        <v>0</v>
      </c>
      <c r="R42" s="32">
        <f>SUM('Plant Measurements'!P572:P578)</f>
        <v>175.31293000000002</v>
      </c>
      <c r="S42" s="34"/>
      <c r="T42" s="18">
        <f t="shared" si="5"/>
        <v>701.25172000000009</v>
      </c>
      <c r="U42" s="32"/>
      <c r="V42" s="34"/>
      <c r="W42" s="18">
        <f t="shared" si="6"/>
        <v>0</v>
      </c>
      <c r="X42" s="31">
        <f t="shared" si="7"/>
        <v>701.25172000000009</v>
      </c>
      <c r="Y42" s="35"/>
      <c r="Z42" s="23">
        <f t="shared" si="8"/>
        <v>0</v>
      </c>
      <c r="AA42" s="23">
        <f t="shared" si="9"/>
        <v>701.25172000000009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1</v>
      </c>
      <c r="AF42">
        <f t="shared" si="14"/>
        <v>21033.62801</v>
      </c>
      <c r="AG42">
        <f t="shared" si="15"/>
        <v>4206.7256020000004</v>
      </c>
      <c r="AH42">
        <f t="shared" si="16"/>
        <v>2949.9735639705359</v>
      </c>
    </row>
    <row r="43" spans="1:34" x14ac:dyDescent="0.2">
      <c r="A43" s="17" t="s">
        <v>57</v>
      </c>
      <c r="B43" s="18">
        <v>47</v>
      </c>
      <c r="C43" s="19"/>
      <c r="D43" s="40"/>
      <c r="E43" s="18">
        <f>C43*4</f>
        <v>0</v>
      </c>
      <c r="F43" s="19"/>
      <c r="G43" s="21"/>
      <c r="H43" s="25">
        <f t="shared" ref="H43:H52" si="18">F43*4</f>
        <v>0</v>
      </c>
      <c r="I43" s="19"/>
      <c r="J43" s="21"/>
      <c r="K43" s="18">
        <f t="shared" si="2"/>
        <v>0</v>
      </c>
      <c r="L43" s="19"/>
      <c r="M43" s="21"/>
      <c r="N43" s="18">
        <f t="shared" si="3"/>
        <v>0</v>
      </c>
      <c r="O43" s="19"/>
      <c r="P43" s="21"/>
      <c r="Q43" s="18">
        <f t="shared" si="4"/>
        <v>0</v>
      </c>
      <c r="R43" s="19">
        <f>SUM('Plant Measurements'!P463:P469)</f>
        <v>166.69967800000006</v>
      </c>
      <c r="S43" s="21"/>
      <c r="T43" s="18">
        <f t="shared" si="5"/>
        <v>666.79871200000025</v>
      </c>
      <c r="U43" s="19"/>
      <c r="V43" s="20"/>
      <c r="W43" s="18">
        <f t="shared" si="6"/>
        <v>0</v>
      </c>
      <c r="X43" s="18">
        <f t="shared" si="7"/>
        <v>666.79871200000025</v>
      </c>
      <c r="Y43" s="22">
        <f>AVERAGE(X43:X47)</f>
        <v>1030.6033351040001</v>
      </c>
      <c r="Z43" s="23">
        <f t="shared" si="8"/>
        <v>0</v>
      </c>
      <c r="AA43" s="23">
        <f t="shared" si="9"/>
        <v>666.79871200000025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1</v>
      </c>
      <c r="AF43">
        <f t="shared" si="14"/>
        <v>21033.62801</v>
      </c>
      <c r="AG43">
        <f t="shared" si="15"/>
        <v>4206.7256020000004</v>
      </c>
      <c r="AH43">
        <f t="shared" si="16"/>
        <v>2805.0392131510262</v>
      </c>
    </row>
    <row r="44" spans="1:34" x14ac:dyDescent="0.2">
      <c r="A44" s="24" t="s">
        <v>57</v>
      </c>
      <c r="B44" s="25">
        <v>39</v>
      </c>
      <c r="C44" s="26"/>
      <c r="D44" s="27"/>
      <c r="E44" s="18">
        <f>C44*4</f>
        <v>0</v>
      </c>
      <c r="F44" s="26"/>
      <c r="G44" s="28"/>
      <c r="H44" s="25">
        <f t="shared" si="18"/>
        <v>0</v>
      </c>
      <c r="I44" s="26"/>
      <c r="J44" s="28"/>
      <c r="K44" s="18">
        <f t="shared" si="2"/>
        <v>0</v>
      </c>
      <c r="L44" s="26"/>
      <c r="M44" s="28"/>
      <c r="N44" s="18">
        <f t="shared" si="3"/>
        <v>0</v>
      </c>
      <c r="O44" s="26"/>
      <c r="P44" s="28"/>
      <c r="Q44" s="18">
        <f t="shared" si="4"/>
        <v>0</v>
      </c>
      <c r="R44" s="26">
        <f>SUM('Plant Measurements'!P470,'Plant Measurements'!P472:P473)</f>
        <v>121.636549</v>
      </c>
      <c r="S44" s="28"/>
      <c r="T44" s="18">
        <f t="shared" si="5"/>
        <v>486.54619600000001</v>
      </c>
      <c r="U44" s="26">
        <f>SUM('Plant Measurements'!P471,'Plant Measurements'!P474:P475)</f>
        <v>419.78210186999996</v>
      </c>
      <c r="V44" s="28"/>
      <c r="W44" s="18">
        <f t="shared" si="6"/>
        <v>1679.1284074799999</v>
      </c>
      <c r="X44" s="25">
        <f t="shared" si="7"/>
        <v>2165.6746034799999</v>
      </c>
      <c r="Y44" s="29"/>
      <c r="Z44" s="23">
        <f t="shared" si="8"/>
        <v>0</v>
      </c>
      <c r="AA44" s="23">
        <f t="shared" si="9"/>
        <v>2165.6746034799999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1</v>
      </c>
      <c r="AF44">
        <f t="shared" si="14"/>
        <v>21033.62801</v>
      </c>
      <c r="AG44">
        <f t="shared" si="15"/>
        <v>4206.7256020000004</v>
      </c>
      <c r="AH44">
        <f t="shared" si="16"/>
        <v>9110.398800060515</v>
      </c>
    </row>
    <row r="45" spans="1:34" x14ac:dyDescent="0.2">
      <c r="A45" s="24" t="s">
        <v>57</v>
      </c>
      <c r="B45" s="25">
        <v>27</v>
      </c>
      <c r="C45" s="26"/>
      <c r="D45" s="27"/>
      <c r="E45" s="18">
        <f>C45*4</f>
        <v>0</v>
      </c>
      <c r="F45" s="26"/>
      <c r="G45" s="28"/>
      <c r="H45" s="25">
        <f t="shared" si="18"/>
        <v>0</v>
      </c>
      <c r="I45" s="26"/>
      <c r="J45" s="28"/>
      <c r="K45" s="18">
        <f t="shared" si="2"/>
        <v>0</v>
      </c>
      <c r="L45" s="26"/>
      <c r="M45" s="28"/>
      <c r="N45" s="18">
        <f t="shared" si="3"/>
        <v>0</v>
      </c>
      <c r="O45" s="26"/>
      <c r="P45" s="28"/>
      <c r="Q45" s="18">
        <f t="shared" si="4"/>
        <v>0</v>
      </c>
      <c r="R45" s="26">
        <f>SUM('Plant Measurements'!P476:P479)</f>
        <v>36.933952000000019</v>
      </c>
      <c r="S45" s="28"/>
      <c r="T45" s="18">
        <f t="shared" si="5"/>
        <v>147.73580800000008</v>
      </c>
      <c r="U45" s="26">
        <f>SUM('Plant Measurements'!P480:P482)</f>
        <v>369.69906345000004</v>
      </c>
      <c r="V45" s="28"/>
      <c r="W45" s="18">
        <f t="shared" si="6"/>
        <v>1478.7962538000002</v>
      </c>
      <c r="X45" s="25">
        <f t="shared" si="7"/>
        <v>1626.5320618000003</v>
      </c>
      <c r="Y45" s="29"/>
      <c r="Z45" s="23">
        <f t="shared" si="8"/>
        <v>0</v>
      </c>
      <c r="AA45" s="23">
        <f t="shared" si="9"/>
        <v>1626.5320618000003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1</v>
      </c>
      <c r="AF45">
        <f t="shared" si="14"/>
        <v>21033.62801</v>
      </c>
      <c r="AG45">
        <f t="shared" si="15"/>
        <v>4206.7256020000004</v>
      </c>
      <c r="AH45">
        <f t="shared" si="16"/>
        <v>6842.3740668479086</v>
      </c>
    </row>
    <row r="46" spans="1:34" x14ac:dyDescent="0.2">
      <c r="A46" s="24" t="s">
        <v>57</v>
      </c>
      <c r="B46" s="25">
        <v>24</v>
      </c>
      <c r="C46" s="26"/>
      <c r="D46" s="27"/>
      <c r="E46" s="18">
        <f>C46*4</f>
        <v>0</v>
      </c>
      <c r="F46" s="26"/>
      <c r="G46" s="28"/>
      <c r="H46" s="25">
        <f t="shared" si="18"/>
        <v>0</v>
      </c>
      <c r="I46" s="26"/>
      <c r="J46" s="28"/>
      <c r="K46" s="18">
        <f t="shared" si="2"/>
        <v>0</v>
      </c>
      <c r="L46" s="26"/>
      <c r="M46" s="28"/>
      <c r="N46" s="18">
        <f t="shared" si="3"/>
        <v>0</v>
      </c>
      <c r="O46" s="26"/>
      <c r="P46" s="28"/>
      <c r="Q46" s="18">
        <f t="shared" si="4"/>
        <v>0</v>
      </c>
      <c r="R46" s="26">
        <f>SUM('Plant Measurements'!P484:P487)</f>
        <v>27.958106999999995</v>
      </c>
      <c r="S46" s="28"/>
      <c r="T46" s="18">
        <f t="shared" si="5"/>
        <v>111.83242799999998</v>
      </c>
      <c r="U46" s="26">
        <f>SUM('Plant Measurements'!P488)</f>
        <v>145.54471756000001</v>
      </c>
      <c r="V46" s="28"/>
      <c r="W46" s="18">
        <f t="shared" si="6"/>
        <v>582.17887024000004</v>
      </c>
      <c r="X46" s="25">
        <f t="shared" si="7"/>
        <v>694.01129823999997</v>
      </c>
      <c r="Y46" s="29"/>
      <c r="Z46" s="23">
        <f t="shared" si="8"/>
        <v>0</v>
      </c>
      <c r="AA46" s="23">
        <f t="shared" si="9"/>
        <v>694.01129823999997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1</v>
      </c>
      <c r="AF46">
        <f t="shared" si="14"/>
        <v>21033.62801</v>
      </c>
      <c r="AG46">
        <f t="shared" si="15"/>
        <v>4206.7256020000004</v>
      </c>
      <c r="AH46">
        <f t="shared" si="16"/>
        <v>2919.5150963834658</v>
      </c>
    </row>
    <row r="47" spans="1:34" x14ac:dyDescent="0.2">
      <c r="A47" s="30" t="s">
        <v>57</v>
      </c>
      <c r="B47" s="31">
        <v>16</v>
      </c>
      <c r="C47" s="32"/>
      <c r="D47" s="33"/>
      <c r="E47" s="18">
        <f t="shared" si="0"/>
        <v>0</v>
      </c>
      <c r="F47" s="32"/>
      <c r="G47" s="34"/>
      <c r="H47" s="25">
        <f t="shared" si="18"/>
        <v>0</v>
      </c>
      <c r="I47" s="32"/>
      <c r="J47" s="34"/>
      <c r="K47" s="18">
        <f t="shared" si="2"/>
        <v>0</v>
      </c>
      <c r="L47" s="32"/>
      <c r="M47" s="34"/>
      <c r="N47" s="18">
        <f t="shared" si="3"/>
        <v>0</v>
      </c>
      <c r="O47" s="32"/>
      <c r="P47" s="34"/>
      <c r="Q47" s="18">
        <f t="shared" si="4"/>
        <v>0</v>
      </c>
      <c r="R47" s="32"/>
      <c r="S47" s="34"/>
      <c r="T47" s="18">
        <f t="shared" si="5"/>
        <v>0</v>
      </c>
      <c r="U47" s="32"/>
      <c r="V47" s="34"/>
      <c r="W47" s="18">
        <f t="shared" si="6"/>
        <v>0</v>
      </c>
      <c r="X47" s="31">
        <f t="shared" si="7"/>
        <v>0</v>
      </c>
      <c r="Y47" s="35"/>
      <c r="Z47" s="23">
        <f t="shared" si="8"/>
        <v>0</v>
      </c>
      <c r="AA47" s="23">
        <f t="shared" si="9"/>
        <v>0</v>
      </c>
      <c r="AB47" t="str">
        <f t="shared" si="10"/>
        <v xml:space="preserve"> </v>
      </c>
      <c r="AC47" t="str">
        <f t="shared" si="11"/>
        <v xml:space="preserve"> </v>
      </c>
      <c r="AD47" t="str">
        <f t="shared" si="12"/>
        <v xml:space="preserve"> </v>
      </c>
      <c r="AE47" t="str">
        <f t="shared" si="13"/>
        <v xml:space="preserve"> </v>
      </c>
      <c r="AF47">
        <f t="shared" si="14"/>
        <v>21033.62801</v>
      </c>
      <c r="AG47">
        <f t="shared" si="15"/>
        <v>4206.7256020000004</v>
      </c>
      <c r="AH47">
        <f t="shared" si="16"/>
        <v>0</v>
      </c>
    </row>
    <row r="48" spans="1:34" x14ac:dyDescent="0.2">
      <c r="A48" s="17" t="s">
        <v>25</v>
      </c>
      <c r="B48" s="18">
        <v>24</v>
      </c>
      <c r="C48" s="19"/>
      <c r="D48" s="20"/>
      <c r="E48" s="18">
        <f t="shared" si="0"/>
        <v>0</v>
      </c>
      <c r="F48" s="19"/>
      <c r="G48" s="21"/>
      <c r="H48" s="25">
        <f t="shared" si="18"/>
        <v>0</v>
      </c>
      <c r="I48" s="19"/>
      <c r="J48" s="21"/>
      <c r="K48" s="18">
        <f t="shared" si="2"/>
        <v>0</v>
      </c>
      <c r="L48" s="19"/>
      <c r="M48" s="21"/>
      <c r="N48" s="18">
        <f t="shared" si="3"/>
        <v>0</v>
      </c>
      <c r="O48" s="19"/>
      <c r="P48" s="21"/>
      <c r="Q48" s="18">
        <f t="shared" si="4"/>
        <v>0</v>
      </c>
      <c r="R48" s="19">
        <f>SUM('Plant Measurements'!P579:P582)</f>
        <v>116.60770300000001</v>
      </c>
      <c r="S48" s="21"/>
      <c r="T48" s="18">
        <f t="shared" si="5"/>
        <v>466.43081200000006</v>
      </c>
      <c r="U48" s="19"/>
      <c r="V48" s="21"/>
      <c r="W48" s="18">
        <f t="shared" si="6"/>
        <v>0</v>
      </c>
      <c r="X48" s="18">
        <f t="shared" si="7"/>
        <v>466.43081200000006</v>
      </c>
      <c r="Y48" s="22">
        <f>AVERAGE(X48:X52)</f>
        <v>1002.211424384</v>
      </c>
      <c r="Z48" s="23">
        <f>E48+Q48</f>
        <v>0</v>
      </c>
      <c r="AA48" s="23">
        <f t="shared" si="9"/>
        <v>466.43081200000006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1</v>
      </c>
      <c r="AF48">
        <f t="shared" si="14"/>
        <v>21033.62801</v>
      </c>
      <c r="AG48">
        <f t="shared" si="15"/>
        <v>4206.7256020000004</v>
      </c>
      <c r="AH48">
        <f t="shared" si="16"/>
        <v>1962.1464384020492</v>
      </c>
    </row>
    <row r="49" spans="1:34" x14ac:dyDescent="0.2">
      <c r="A49" s="24" t="s">
        <v>25</v>
      </c>
      <c r="B49" s="25">
        <v>17</v>
      </c>
      <c r="C49" s="26"/>
      <c r="D49" s="27"/>
      <c r="E49" s="18">
        <f t="shared" si="0"/>
        <v>0</v>
      </c>
      <c r="F49" s="26"/>
      <c r="G49" s="28"/>
      <c r="H49" s="25">
        <f t="shared" si="18"/>
        <v>0</v>
      </c>
      <c r="I49" s="26"/>
      <c r="J49" s="28"/>
      <c r="K49" s="18">
        <f t="shared" si="2"/>
        <v>0</v>
      </c>
      <c r="L49" s="26"/>
      <c r="M49" s="28"/>
      <c r="N49" s="18">
        <f t="shared" si="3"/>
        <v>0</v>
      </c>
      <c r="O49" s="26"/>
      <c r="P49" s="28"/>
      <c r="Q49" s="18">
        <f t="shared" si="4"/>
        <v>0</v>
      </c>
      <c r="R49" s="26">
        <f>SUM('Plant Measurements'!P583:P590)</f>
        <v>319.573351</v>
      </c>
      <c r="S49" s="28"/>
      <c r="T49" s="18">
        <f t="shared" si="5"/>
        <v>1278.293404</v>
      </c>
      <c r="U49" s="26"/>
      <c r="V49" s="28"/>
      <c r="W49" s="18">
        <f t="shared" si="6"/>
        <v>0</v>
      </c>
      <c r="X49" s="25">
        <f t="shared" si="7"/>
        <v>1278.293404</v>
      </c>
      <c r="Y49" s="29"/>
      <c r="Z49" s="23">
        <f t="shared" si="8"/>
        <v>0</v>
      </c>
      <c r="AA49" s="23">
        <f t="shared" si="9"/>
        <v>1278.293404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1</v>
      </c>
      <c r="AF49">
        <f t="shared" si="14"/>
        <v>21033.62801</v>
      </c>
      <c r="AG49">
        <f t="shared" si="15"/>
        <v>4206.7256020000004</v>
      </c>
      <c r="AH49">
        <f t="shared" si="16"/>
        <v>5377.4295894745301</v>
      </c>
    </row>
    <row r="50" spans="1:34" x14ac:dyDescent="0.2">
      <c r="A50" s="24" t="s">
        <v>25</v>
      </c>
      <c r="B50" s="25">
        <v>14</v>
      </c>
      <c r="C50" s="26"/>
      <c r="D50" s="27"/>
      <c r="E50" s="18">
        <f t="shared" si="0"/>
        <v>0</v>
      </c>
      <c r="F50" s="26"/>
      <c r="G50" s="28"/>
      <c r="H50" s="25">
        <f t="shared" si="18"/>
        <v>0</v>
      </c>
      <c r="I50" s="26"/>
      <c r="J50" s="28"/>
      <c r="K50" s="18">
        <f t="shared" si="2"/>
        <v>0</v>
      </c>
      <c r="L50" s="26"/>
      <c r="M50" s="28"/>
      <c r="N50" s="18">
        <f t="shared" si="3"/>
        <v>0</v>
      </c>
      <c r="O50" s="26"/>
      <c r="P50" s="28"/>
      <c r="Q50" s="18">
        <f t="shared" si="4"/>
        <v>0</v>
      </c>
      <c r="R50" s="26">
        <f>SUM('Plant Measurements'!P591:P592,'Plant Measurements'!P594,'Plant Measurements'!P596,'Plant Measurements'!P599,'Plant Measurements'!P600)</f>
        <v>68.045462000000029</v>
      </c>
      <c r="S50" s="28"/>
      <c r="T50" s="18">
        <f t="shared" si="5"/>
        <v>272.18184800000012</v>
      </c>
      <c r="U50" s="26">
        <f>SUM('Plant Measurements'!P593,'Plant Measurements'!P595,'Plant Measurements'!P597:P598,'Plant Measurements'!P601:P602)</f>
        <v>507.86483848000006</v>
      </c>
      <c r="V50" s="28"/>
      <c r="W50" s="18">
        <f t="shared" si="6"/>
        <v>2031.4593539200002</v>
      </c>
      <c r="X50" s="25">
        <f t="shared" si="7"/>
        <v>2303.6412019200002</v>
      </c>
      <c r="Y50" s="29"/>
      <c r="Z50" s="23">
        <f t="shared" si="8"/>
        <v>0</v>
      </c>
      <c r="AA50" s="23">
        <f t="shared" si="9"/>
        <v>2303.6412019200002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1</v>
      </c>
      <c r="AF50">
        <f t="shared" si="14"/>
        <v>21033.62801</v>
      </c>
      <c r="AG50">
        <f t="shared" si="15"/>
        <v>4206.7256020000004</v>
      </c>
      <c r="AH50">
        <f t="shared" si="16"/>
        <v>9690.7864219389176</v>
      </c>
    </row>
    <row r="51" spans="1:34" x14ac:dyDescent="0.2">
      <c r="A51" s="24" t="s">
        <v>25</v>
      </c>
      <c r="B51" s="25">
        <v>13</v>
      </c>
      <c r="C51" s="26"/>
      <c r="D51" s="27"/>
      <c r="E51" s="18">
        <f t="shared" si="0"/>
        <v>0</v>
      </c>
      <c r="F51" s="26"/>
      <c r="G51" s="28"/>
      <c r="H51" s="25">
        <f t="shared" si="18"/>
        <v>0</v>
      </c>
      <c r="I51" s="26"/>
      <c r="J51" s="28"/>
      <c r="K51" s="18">
        <f t="shared" si="2"/>
        <v>0</v>
      </c>
      <c r="L51" s="26"/>
      <c r="M51" s="28"/>
      <c r="N51" s="18">
        <f t="shared" si="3"/>
        <v>0</v>
      </c>
      <c r="O51" s="26"/>
      <c r="P51" s="28"/>
      <c r="Q51" s="18">
        <f t="shared" si="4"/>
        <v>0</v>
      </c>
      <c r="R51" s="26">
        <f>SUM('Plant Measurements'!P603:P610)</f>
        <v>240.67292600000002</v>
      </c>
      <c r="S51" s="28"/>
      <c r="T51" s="18">
        <f t="shared" si="5"/>
        <v>962.69170400000007</v>
      </c>
      <c r="U51" s="26"/>
      <c r="V51" s="28"/>
      <c r="W51" s="18">
        <f t="shared" si="6"/>
        <v>0</v>
      </c>
      <c r="X51" s="25">
        <f t="shared" si="7"/>
        <v>962.69170400000007</v>
      </c>
      <c r="Y51" s="29"/>
      <c r="Z51" s="23">
        <f t="shared" si="8"/>
        <v>0</v>
      </c>
      <c r="AA51" s="23">
        <f t="shared" si="9"/>
        <v>962.69170400000007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1</v>
      </c>
      <c r="AF51">
        <f t="shared" si="14"/>
        <v>21033.62801</v>
      </c>
      <c r="AG51">
        <f t="shared" si="15"/>
        <v>4206.7256020000004</v>
      </c>
      <c r="AH51">
        <f t="shared" si="16"/>
        <v>4049.7798380498066</v>
      </c>
    </row>
    <row r="52" spans="1:34" x14ac:dyDescent="0.2">
      <c r="A52" s="30" t="s">
        <v>25</v>
      </c>
      <c r="B52" s="31">
        <v>6</v>
      </c>
      <c r="C52" s="32"/>
      <c r="D52" s="33"/>
      <c r="E52" s="18">
        <f t="shared" si="0"/>
        <v>0</v>
      </c>
      <c r="F52" s="32"/>
      <c r="G52" s="34"/>
      <c r="H52" s="25">
        <f t="shared" si="18"/>
        <v>0</v>
      </c>
      <c r="I52" s="32"/>
      <c r="J52" s="34"/>
      <c r="K52" s="18">
        <f t="shared" si="2"/>
        <v>0</v>
      </c>
      <c r="L52" s="32"/>
      <c r="M52" s="34"/>
      <c r="N52" s="18">
        <f t="shared" si="3"/>
        <v>0</v>
      </c>
      <c r="O52" s="32"/>
      <c r="P52" s="34"/>
      <c r="Q52" s="18">
        <f t="shared" si="4"/>
        <v>0</v>
      </c>
      <c r="R52" s="32"/>
      <c r="S52" s="34"/>
      <c r="T52" s="18">
        <f t="shared" si="5"/>
        <v>0</v>
      </c>
      <c r="U52" s="32"/>
      <c r="V52" s="34"/>
      <c r="W52" s="18">
        <f t="shared" si="6"/>
        <v>0</v>
      </c>
      <c r="X52" s="31">
        <f t="shared" si="7"/>
        <v>0</v>
      </c>
      <c r="Y52" s="35"/>
      <c r="Z52" s="23">
        <f t="shared" si="8"/>
        <v>0</v>
      </c>
      <c r="AA52" s="23">
        <f t="shared" si="9"/>
        <v>0</v>
      </c>
      <c r="AB52" t="str">
        <f t="shared" si="10"/>
        <v xml:space="preserve"> </v>
      </c>
      <c r="AC52" t="str">
        <f t="shared" si="11"/>
        <v xml:space="preserve"> </v>
      </c>
      <c r="AD52" t="str">
        <f t="shared" si="12"/>
        <v xml:space="preserve"> </v>
      </c>
      <c r="AE52" t="str">
        <f t="shared" si="13"/>
        <v xml:space="preserve"> </v>
      </c>
      <c r="AF52">
        <f t="shared" si="14"/>
        <v>21033.62801</v>
      </c>
      <c r="AG52">
        <f t="shared" si="15"/>
        <v>4206.7256020000004</v>
      </c>
      <c r="AH52">
        <f t="shared" si="16"/>
        <v>0</v>
      </c>
    </row>
    <row r="53" spans="1:34" x14ac:dyDescent="0.2">
      <c r="Y53" t="s">
        <v>58</v>
      </c>
      <c r="AB53">
        <f>AVERAGE(AB3:AB52)</f>
        <v>9.0871330846749754E-2</v>
      </c>
      <c r="AC53">
        <f t="shared" ref="AC53:AE53" si="19">AVERAGE(AC3:AC52)</f>
        <v>0</v>
      </c>
      <c r="AD53">
        <f t="shared" si="19"/>
        <v>6.6858226170440987E-2</v>
      </c>
      <c r="AE53">
        <f t="shared" si="19"/>
        <v>0.84227044298280906</v>
      </c>
      <c r="AG53" t="s">
        <v>59</v>
      </c>
      <c r="AH53">
        <f>SUM(AH3:AH52)</f>
        <v>276701.07265648112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Christopher Sanchez</cp:lastModifiedBy>
  <dcterms:created xsi:type="dcterms:W3CDTF">2015-06-18T17:11:46Z</dcterms:created>
  <dcterms:modified xsi:type="dcterms:W3CDTF">2016-12-16T19:52:29Z</dcterms:modified>
</cp:coreProperties>
</file>