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00" yWindow="760" windowWidth="41860" windowHeight="25260" tabRatio="500"/>
  </bookViews>
  <sheets>
    <sheet name="Plant Measure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O4" i="1"/>
  <c r="O648" i="1"/>
  <c r="P648" i="1"/>
  <c r="O663" i="1"/>
  <c r="P663" i="1"/>
  <c r="O664" i="1"/>
  <c r="P664" i="1"/>
  <c r="O665" i="1"/>
  <c r="P665" i="1"/>
  <c r="R52" i="2"/>
  <c r="O657" i="1"/>
  <c r="P657" i="1"/>
  <c r="O659" i="1"/>
  <c r="P659" i="1"/>
  <c r="O661" i="1"/>
  <c r="P661" i="1"/>
  <c r="U51" i="2"/>
  <c r="O660" i="1"/>
  <c r="P660" i="1"/>
  <c r="O658" i="1"/>
  <c r="P658" i="1"/>
  <c r="R51" i="2"/>
  <c r="O654" i="1"/>
  <c r="P654" i="1"/>
  <c r="O655" i="1"/>
  <c r="P655" i="1"/>
  <c r="O656" i="1"/>
  <c r="P656" i="1"/>
  <c r="R49" i="2"/>
  <c r="O649" i="1"/>
  <c r="P649" i="1"/>
  <c r="O650" i="1"/>
  <c r="P650" i="1"/>
  <c r="O651" i="1"/>
  <c r="P651" i="1"/>
  <c r="O652" i="1"/>
  <c r="P652" i="1"/>
  <c r="O653" i="1"/>
  <c r="P653" i="1"/>
  <c r="R48" i="2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R47" i="2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C46" i="2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R45" i="2"/>
  <c r="O361" i="1"/>
  <c r="P361" i="1"/>
  <c r="O365" i="1"/>
  <c r="P365" i="1"/>
  <c r="O367" i="1"/>
  <c r="P367" i="1"/>
  <c r="O368" i="1"/>
  <c r="P368" i="1"/>
  <c r="U44" i="2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2" i="1"/>
  <c r="P362" i="1"/>
  <c r="O363" i="1"/>
  <c r="P363" i="1"/>
  <c r="O364" i="1"/>
  <c r="P364" i="1"/>
  <c r="O366" i="1"/>
  <c r="P366" i="1"/>
  <c r="O369" i="1"/>
  <c r="P369" i="1"/>
  <c r="R43" i="2"/>
  <c r="O337" i="1"/>
  <c r="P337" i="1"/>
  <c r="O338" i="1"/>
  <c r="P338" i="1"/>
  <c r="O339" i="1"/>
  <c r="P339" i="1"/>
  <c r="O340" i="1"/>
  <c r="P340" i="1"/>
  <c r="O341" i="1"/>
  <c r="P341" i="1"/>
  <c r="O342" i="1"/>
  <c r="P342" i="1"/>
  <c r="R44" i="2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I42" i="2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R41" i="2"/>
  <c r="O592" i="1"/>
  <c r="P592" i="1"/>
  <c r="O618" i="1"/>
  <c r="P618" i="1"/>
  <c r="R40" i="2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9" i="1"/>
  <c r="P619" i="1"/>
  <c r="O620" i="1"/>
  <c r="P620" i="1"/>
  <c r="O621" i="1"/>
  <c r="P621" i="1"/>
  <c r="C40" i="2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R39" i="2"/>
  <c r="O554" i="1"/>
  <c r="P554" i="1"/>
  <c r="O555" i="1"/>
  <c r="P555" i="1"/>
  <c r="O556" i="1"/>
  <c r="P556" i="1"/>
  <c r="R38" i="2"/>
  <c r="O525" i="1"/>
  <c r="P525" i="1"/>
  <c r="O545" i="1"/>
  <c r="P545" i="1"/>
  <c r="R37" i="2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C37" i="2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C36" i="2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4" i="1"/>
  <c r="P484" i="1"/>
  <c r="O485" i="1"/>
  <c r="P485" i="1"/>
  <c r="R35" i="2"/>
  <c r="O475" i="1"/>
  <c r="P475" i="1"/>
  <c r="U35" i="2"/>
  <c r="O467" i="1"/>
  <c r="P467" i="1"/>
  <c r="O468" i="1"/>
  <c r="P468" i="1"/>
  <c r="U34" i="2"/>
  <c r="O464" i="1"/>
  <c r="P464" i="1"/>
  <c r="O465" i="1"/>
  <c r="P465" i="1"/>
  <c r="O466" i="1"/>
  <c r="P466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R34" i="2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R33" i="2"/>
  <c r="O336" i="1"/>
  <c r="P336" i="1"/>
  <c r="R32" i="2"/>
  <c r="O333" i="1"/>
  <c r="P333" i="1"/>
  <c r="O334" i="1"/>
  <c r="P334" i="1"/>
  <c r="O335" i="1"/>
  <c r="P335" i="1"/>
  <c r="I32" i="2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I31" i="2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I30" i="2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R29" i="2"/>
  <c r="O214" i="1"/>
  <c r="P214" i="1"/>
  <c r="O215" i="1"/>
  <c r="P215" i="1"/>
  <c r="O216" i="1"/>
  <c r="P216" i="1"/>
  <c r="O217" i="1"/>
  <c r="P217" i="1"/>
  <c r="O218" i="1"/>
  <c r="P218" i="1"/>
  <c r="O219" i="1"/>
  <c r="P219" i="1"/>
  <c r="R28" i="2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R26" i="2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R25" i="2"/>
  <c r="O132" i="1"/>
  <c r="U23" i="2"/>
  <c r="O139" i="1"/>
  <c r="O140" i="1"/>
  <c r="O141" i="1"/>
  <c r="O142" i="1"/>
  <c r="O143" i="1"/>
  <c r="O144" i="1"/>
  <c r="O145" i="1"/>
  <c r="O146" i="1"/>
  <c r="R24" i="2"/>
  <c r="O130" i="1"/>
  <c r="O131" i="1"/>
  <c r="O133" i="1"/>
  <c r="O134" i="1"/>
  <c r="O135" i="1"/>
  <c r="O136" i="1"/>
  <c r="O137" i="1"/>
  <c r="O138" i="1"/>
  <c r="R23" i="2"/>
  <c r="R21" i="2"/>
  <c r="R20" i="2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R19" i="2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R18" i="2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R16" i="2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R15" i="2"/>
  <c r="O14" i="1"/>
  <c r="P14" i="1"/>
  <c r="O15" i="1"/>
  <c r="P15" i="1"/>
  <c r="O16" i="1"/>
  <c r="P16" i="1"/>
  <c r="O17" i="1"/>
  <c r="P17" i="1"/>
  <c r="O18" i="1"/>
  <c r="P18" i="1"/>
  <c r="O19" i="1"/>
  <c r="P19" i="1"/>
  <c r="R14" i="2"/>
  <c r="O20" i="1"/>
  <c r="P20" i="1"/>
  <c r="U14" i="2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R13" i="2"/>
  <c r="O210" i="1"/>
  <c r="P210" i="1"/>
  <c r="O211" i="1"/>
  <c r="P211" i="1"/>
  <c r="O212" i="1"/>
  <c r="P212" i="1"/>
  <c r="O213" i="1"/>
  <c r="P213" i="1"/>
  <c r="C12" i="2"/>
  <c r="O189" i="1"/>
  <c r="P189" i="1"/>
  <c r="O191" i="1"/>
  <c r="P191" i="1"/>
  <c r="O206" i="1"/>
  <c r="P206" i="1"/>
  <c r="C11" i="2"/>
  <c r="O207" i="1"/>
  <c r="P207" i="1"/>
  <c r="O198" i="1"/>
  <c r="P198" i="1"/>
  <c r="O199" i="1"/>
  <c r="P199" i="1"/>
  <c r="O200" i="1"/>
  <c r="P200" i="1"/>
  <c r="I11" i="2"/>
  <c r="O187" i="1"/>
  <c r="P187" i="1"/>
  <c r="O188" i="1"/>
  <c r="P188" i="1"/>
  <c r="O190" i="1"/>
  <c r="P190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201" i="1"/>
  <c r="P201" i="1"/>
  <c r="O202" i="1"/>
  <c r="P202" i="1"/>
  <c r="O203" i="1"/>
  <c r="P203" i="1"/>
  <c r="O204" i="1"/>
  <c r="P204" i="1"/>
  <c r="O205" i="1"/>
  <c r="P205" i="1"/>
  <c r="O208" i="1"/>
  <c r="P208" i="1"/>
  <c r="O209" i="1"/>
  <c r="P209" i="1"/>
  <c r="R11" i="2"/>
  <c r="O181" i="1"/>
  <c r="P181" i="1"/>
  <c r="O182" i="1"/>
  <c r="P182" i="1"/>
  <c r="C9" i="2"/>
  <c r="O183" i="1"/>
  <c r="P183" i="1"/>
  <c r="O184" i="1"/>
  <c r="P184" i="1"/>
  <c r="R9" i="2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R8" i="2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R7" i="2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R6" i="2"/>
  <c r="O102" i="1"/>
  <c r="P102" i="1"/>
  <c r="O103" i="1"/>
  <c r="P103" i="1"/>
  <c r="C5" i="2"/>
  <c r="O98" i="1"/>
  <c r="P98" i="1"/>
  <c r="O99" i="1"/>
  <c r="P99" i="1"/>
  <c r="O100" i="1"/>
  <c r="P100" i="1"/>
  <c r="O101" i="1"/>
  <c r="P101" i="1"/>
  <c r="R5" i="2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R4" i="2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R3" i="2"/>
  <c r="O483" i="1"/>
  <c r="P483" i="1"/>
  <c r="O332" i="1"/>
  <c r="P332" i="1"/>
  <c r="O331" i="1"/>
  <c r="P331" i="1"/>
  <c r="O330" i="1"/>
  <c r="P330" i="1"/>
  <c r="O329" i="1"/>
  <c r="P329" i="1"/>
  <c r="O328" i="1"/>
  <c r="P328" i="1"/>
  <c r="O186" i="1"/>
  <c r="P186" i="1"/>
  <c r="O185" i="1"/>
  <c r="P185" i="1"/>
  <c r="O180" i="1"/>
  <c r="P180" i="1"/>
  <c r="O170" i="1"/>
  <c r="P170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O108" i="1"/>
  <c r="P108" i="1"/>
  <c r="O107" i="1"/>
  <c r="P107" i="1"/>
  <c r="O106" i="1"/>
  <c r="P106" i="1"/>
  <c r="O105" i="1"/>
  <c r="P105" i="1"/>
  <c r="O104" i="1"/>
  <c r="P104" i="1"/>
  <c r="O82" i="1"/>
  <c r="P82" i="1"/>
  <c r="O81" i="1"/>
  <c r="P81" i="1"/>
  <c r="O80" i="1"/>
  <c r="P80" i="1"/>
  <c r="O79" i="1"/>
  <c r="P79" i="1"/>
  <c r="O78" i="1"/>
  <c r="P78" i="1"/>
  <c r="O77" i="1"/>
  <c r="P77" i="1"/>
  <c r="O76" i="1"/>
  <c r="P76" i="1"/>
  <c r="O75" i="1"/>
  <c r="P75" i="1"/>
  <c r="O74" i="1"/>
  <c r="P74" i="1"/>
  <c r="O49" i="1"/>
  <c r="P49" i="1"/>
  <c r="O48" i="1"/>
  <c r="P48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J665" i="1"/>
  <c r="J664" i="1"/>
  <c r="J663" i="1"/>
  <c r="J661" i="1"/>
  <c r="J660" i="1"/>
  <c r="J658" i="1"/>
  <c r="J657" i="1"/>
  <c r="J656" i="1"/>
  <c r="J655" i="1"/>
  <c r="J654" i="1"/>
  <c r="J653" i="1"/>
  <c r="J650" i="1"/>
  <c r="J649" i="1"/>
  <c r="J648" i="1"/>
  <c r="J629" i="1"/>
  <c r="J628" i="1"/>
  <c r="J627" i="1"/>
  <c r="J626" i="1"/>
  <c r="J625" i="1"/>
  <c r="J624" i="1"/>
  <c r="J623" i="1"/>
  <c r="J622" i="1"/>
  <c r="J618" i="1"/>
  <c r="J592" i="1"/>
  <c r="J564" i="1"/>
  <c r="J563" i="1"/>
  <c r="J562" i="1"/>
  <c r="J561" i="1"/>
  <c r="J560" i="1"/>
  <c r="J559" i="1"/>
  <c r="J558" i="1"/>
  <c r="J557" i="1"/>
  <c r="J556" i="1"/>
  <c r="J554" i="1"/>
  <c r="J555" i="1"/>
  <c r="J545" i="1"/>
  <c r="J525" i="1"/>
  <c r="J485" i="1"/>
  <c r="J484" i="1"/>
  <c r="J482" i="1"/>
  <c r="J481" i="1"/>
  <c r="J480" i="1"/>
  <c r="J479" i="1"/>
  <c r="J478" i="1"/>
  <c r="J477" i="1"/>
  <c r="J476" i="1"/>
  <c r="J474" i="1"/>
  <c r="J473" i="1"/>
  <c r="J472" i="1"/>
  <c r="J471" i="1"/>
  <c r="J470" i="1"/>
  <c r="J469" i="1"/>
  <c r="J466" i="1"/>
  <c r="J465" i="1"/>
  <c r="J464" i="1"/>
  <c r="J463" i="1"/>
  <c r="J462" i="1"/>
  <c r="J461" i="1"/>
  <c r="J460" i="1"/>
  <c r="J459" i="1"/>
  <c r="J458" i="1"/>
  <c r="J457" i="1"/>
  <c r="J456" i="1"/>
  <c r="J454" i="1"/>
  <c r="J453" i="1"/>
  <c r="J452" i="1"/>
  <c r="J451" i="1"/>
  <c r="J450" i="1"/>
  <c r="J449" i="1"/>
  <c r="J448" i="1"/>
  <c r="J447" i="1"/>
  <c r="J446" i="1"/>
  <c r="J375" i="1"/>
  <c r="J378" i="1"/>
  <c r="J377" i="1"/>
  <c r="J376" i="1"/>
  <c r="J374" i="1"/>
  <c r="J373" i="1"/>
  <c r="J372" i="1"/>
  <c r="J371" i="1"/>
  <c r="J370" i="1"/>
  <c r="J369" i="1"/>
  <c r="J366" i="1"/>
  <c r="J364" i="1"/>
  <c r="J363" i="1"/>
  <c r="J362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2" i="1"/>
  <c r="J329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09" i="1"/>
  <c r="J208" i="1"/>
  <c r="J205" i="1"/>
  <c r="J204" i="1"/>
  <c r="J203" i="1"/>
  <c r="J202" i="1"/>
  <c r="J201" i="1"/>
  <c r="J197" i="1"/>
  <c r="J196" i="1"/>
  <c r="J195" i="1"/>
  <c r="J194" i="1"/>
  <c r="J193" i="1"/>
  <c r="J192" i="1"/>
  <c r="J190" i="1"/>
  <c r="J188" i="1"/>
  <c r="J187" i="1"/>
  <c r="J184" i="1"/>
  <c r="J183" i="1"/>
  <c r="J180" i="1"/>
  <c r="J179" i="1"/>
  <c r="J178" i="1"/>
  <c r="J177" i="1"/>
  <c r="J175" i="1"/>
  <c r="J173" i="1"/>
  <c r="J172" i="1"/>
  <c r="J171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5" i="1"/>
  <c r="J104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<sst xmlns="http://schemas.openxmlformats.org/spreadsheetml/2006/main" count="1432" uniqueCount="70">
  <si>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</si>
  <si>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</si>
  <si>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</si>
  <si>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</si>
  <si>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</si>
  <si>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</si>
  <si>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</si>
  <si>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</si>
  <si>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</si>
  <si>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</si>
  <si>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</si>
  <si>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</si>
  <si>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</si>
  <si>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</si>
  <si>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</si>
  <si>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</si>
  <si>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</si>
  <si>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</si>
  <si>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</si>
  <si>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</si>
  <si>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T. Latifolia</t>
  </si>
  <si>
    <t>T. Domingensis</t>
  </si>
  <si>
    <t>Empty</t>
  </si>
  <si>
    <t>C:1</t>
  </si>
  <si>
    <t>S. Acutus</t>
  </si>
  <si>
    <t>M-2</t>
  </si>
  <si>
    <t>Airboat Trail</t>
  </si>
  <si>
    <t>C-2</t>
  </si>
  <si>
    <t>S. Californicus</t>
  </si>
  <si>
    <t>M-3</t>
  </si>
  <si>
    <t>M-4-5</t>
  </si>
  <si>
    <t>M-4-C</t>
  </si>
  <si>
    <t>M-4-N</t>
  </si>
  <si>
    <t>M-5</t>
  </si>
  <si>
    <t>Patch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</si>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</sst>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abSelected="1" zoomScale="125" zoomScaleNormal="125" zoomScalePageLayoutView="125" workbookViewId="0">
      <selection activeCell="O4" sqref="O4"/>
    </sheetView>
  </sheetViews>
  <sheetFormatPr baseColWidth="10" defaultRowHeight="15" x14ac:dyDescent="0.75"/>
  <sheetData>
    <row r="1" spans="1:19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  <c r="Q1" s="1"/>
      <c r="R1" s="1"/>
    </row>
    <row r="2" spans="1:19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  <c r="Q2" s="2"/>
      <c r="R2" s="2"/>
    </row>
    <row r="3" spans="1:19" ht="60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69</v>
      </c>
      <c r="Q3" s="5" t="s">
        <v>17</v>
      </c>
      <c r="R3" s="5" t="s">
        <v>18</v>
      </c>
      <c r="S3" s="5" t="s">
        <v>35</v>
      </c>
    </row>
    <row r="4" spans="1:19">
      <c r="A4" s="7">
        <v>42262</v>
      </c>
      <c r="B4" t="s">
        <v>19</v>
      </c>
      <c r="C4">
        <v>48</v>
      </c>
      <c r="D4" t="s">
        <v>20</v>
      </c>
      <c r="F4">
        <v>3.65</v>
      </c>
      <c r="J4">
        <f>140+143+183+192+222+214</f>
        <v>1094</v>
      </c>
      <c r="K4">
        <v>6</v>
      </c>
      <c r="L4">
        <v>222</v>
      </c>
      <c r="N4" t="str">
        <f t="shared" ref="N4:N67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26.594445999999998</v>
      </c>
      <c r="P4">
        <f>IF(O4&lt;0," ",O4)</f>
        <v>26.594445999999998</v>
      </c>
      <c r="S4">
        <f>3.14159*((F4/2)^2)</f>
        <v>10.46345819375</v>
      </c>
    </row>
    <row r="5" spans="1:19">
      <c r="A5" s="7">
        <v>42262</v>
      </c>
      <c r="B5" t="s">
        <v>19</v>
      </c>
      <c r="C5">
        <v>48</v>
      </c>
      <c r="D5" t="s">
        <v>20</v>
      </c>
      <c r="F5">
        <v>2.36</v>
      </c>
      <c r="J5">
        <f>96+133+150+151</f>
        <v>530</v>
      </c>
      <c r="K5">
        <v>4</v>
      </c>
      <c r="L5">
        <v>151</v>
      </c>
      <c r="N5" t="str">
        <f t="shared" si="0"/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9.1497270000000022</v>
      </c>
      <c r="P5">
        <f t="shared" ref="P5:P68" si="1">IF(O5&lt;0," ",O5)</f>
        <v>9.1497270000000022</v>
      </c>
      <c r="S5">
        <f t="shared" ref="S5:S68" si="2">3.14159*((F5/2)^2)</f>
        <v>4.374349915999999</v>
      </c>
    </row>
    <row r="6" spans="1:19">
      <c r="A6" s="7">
        <v>42262</v>
      </c>
      <c r="B6" t="s">
        <v>19</v>
      </c>
      <c r="C6">
        <v>48</v>
      </c>
      <c r="D6" t="s">
        <v>20</v>
      </c>
      <c r="F6">
        <v>1.59</v>
      </c>
      <c r="J6">
        <f>93+107+108+114</f>
        <v>422</v>
      </c>
      <c r="K6">
        <v>4</v>
      </c>
      <c r="L6">
        <v>114</v>
      </c>
      <c r="N6" t="str">
        <f t="shared" si="0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10.170252000000001</v>
      </c>
      <c r="P6">
        <f t="shared" si="1"/>
        <v>10.170252000000001</v>
      </c>
      <c r="S6">
        <f t="shared" si="2"/>
        <v>1.9855634197500001</v>
      </c>
    </row>
    <row r="7" spans="1:19">
      <c r="A7" s="7">
        <v>42262</v>
      </c>
      <c r="B7" t="s">
        <v>19</v>
      </c>
      <c r="C7">
        <v>48</v>
      </c>
      <c r="D7" t="s">
        <v>20</v>
      </c>
      <c r="F7">
        <v>0.96</v>
      </c>
      <c r="J7">
        <f>78+82</f>
        <v>160</v>
      </c>
      <c r="K7">
        <v>2</v>
      </c>
      <c r="L7">
        <v>82</v>
      </c>
      <c r="N7" t="str">
        <f t="shared" si="0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9.2909879999999987</v>
      </c>
      <c r="P7">
        <f t="shared" si="1"/>
        <v>9.2909879999999987</v>
      </c>
      <c r="S7">
        <f t="shared" si="2"/>
        <v>0.7238223359999999</v>
      </c>
    </row>
    <row r="8" spans="1:19">
      <c r="A8" s="7">
        <v>42262</v>
      </c>
      <c r="B8" t="s">
        <v>19</v>
      </c>
      <c r="C8">
        <v>48</v>
      </c>
      <c r="D8" s="8" t="s">
        <v>20</v>
      </c>
      <c r="F8">
        <v>1.8</v>
      </c>
      <c r="J8">
        <f>43+72+85+100+126+140</f>
        <v>566</v>
      </c>
      <c r="K8">
        <v>6</v>
      </c>
      <c r="L8">
        <v>140</v>
      </c>
      <c r="N8" t="str">
        <f t="shared" si="0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1.7938960000000037</v>
      </c>
      <c r="P8">
        <f t="shared" si="1"/>
        <v>1.7938960000000037</v>
      </c>
      <c r="S8">
        <f t="shared" si="2"/>
        <v>2.5446879</v>
      </c>
    </row>
    <row r="9" spans="1:19">
      <c r="A9" s="7">
        <v>42262</v>
      </c>
      <c r="B9" t="s">
        <v>19</v>
      </c>
      <c r="C9">
        <v>48</v>
      </c>
      <c r="D9" s="8" t="s">
        <v>20</v>
      </c>
      <c r="F9">
        <v>4.71</v>
      </c>
      <c r="J9">
        <f>112+160+230+274+230+255</f>
        <v>1261</v>
      </c>
      <c r="K9">
        <v>6</v>
      </c>
      <c r="L9">
        <v>274</v>
      </c>
      <c r="N9" t="str">
        <f t="shared" si="0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26.586791000000012</v>
      </c>
      <c r="P9">
        <f t="shared" si="1"/>
        <v>26.586791000000012</v>
      </c>
      <c r="S9">
        <f t="shared" si="2"/>
        <v>17.423336679750001</v>
      </c>
    </row>
    <row r="10" spans="1:19">
      <c r="A10" s="7">
        <v>42262</v>
      </c>
      <c r="B10" t="s">
        <v>19</v>
      </c>
      <c r="C10">
        <v>48</v>
      </c>
      <c r="D10" s="8" t="s">
        <v>20</v>
      </c>
      <c r="F10">
        <v>1.71</v>
      </c>
      <c r="J10">
        <f>58+123+133+181+191</f>
        <v>686</v>
      </c>
      <c r="K10">
        <v>5</v>
      </c>
      <c r="L10">
        <v>191</v>
      </c>
      <c r="N10" t="str">
        <f t="shared" si="0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4.7033540000000116</v>
      </c>
      <c r="P10">
        <f t="shared" si="1"/>
        <v>4.7033540000000116</v>
      </c>
      <c r="S10">
        <f t="shared" si="2"/>
        <v>2.2965808297499999</v>
      </c>
    </row>
    <row r="11" spans="1:19">
      <c r="A11" s="7">
        <v>42262</v>
      </c>
      <c r="B11" t="s">
        <v>19</v>
      </c>
      <c r="C11">
        <v>48</v>
      </c>
      <c r="D11" s="8" t="s">
        <v>20</v>
      </c>
      <c r="F11">
        <v>3.33</v>
      </c>
      <c r="J11">
        <f>125+170+214+250+260+266</f>
        <v>1285</v>
      </c>
      <c r="K11">
        <v>6</v>
      </c>
      <c r="L11">
        <v>166</v>
      </c>
      <c r="N11" t="str">
        <f t="shared" si="0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61.371371000000003</v>
      </c>
      <c r="P11">
        <f t="shared" si="1"/>
        <v>61.371371000000003</v>
      </c>
      <c r="S11">
        <f t="shared" si="2"/>
        <v>8.7091943377500005</v>
      </c>
    </row>
    <row r="12" spans="1:19">
      <c r="A12" s="7">
        <v>42262</v>
      </c>
      <c r="B12" t="s">
        <v>19</v>
      </c>
      <c r="C12" s="8">
        <v>48</v>
      </c>
      <c r="D12" s="8" t="s">
        <v>20</v>
      </c>
      <c r="F12">
        <v>3.86</v>
      </c>
      <c r="J12">
        <f>144+145+190+221+252+277+280</f>
        <v>1509</v>
      </c>
      <c r="K12">
        <v>7</v>
      </c>
      <c r="L12">
        <v>280</v>
      </c>
      <c r="N12" t="str">
        <f t="shared" si="0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41.008208000000032</v>
      </c>
      <c r="P12">
        <f t="shared" si="1"/>
        <v>41.008208000000032</v>
      </c>
      <c r="S12">
        <f t="shared" si="2"/>
        <v>11.702108591</v>
      </c>
    </row>
    <row r="13" spans="1:19">
      <c r="A13" s="7">
        <v>42262</v>
      </c>
      <c r="B13" t="s">
        <v>19</v>
      </c>
      <c r="C13" s="8">
        <v>48</v>
      </c>
      <c r="D13" s="8" t="s">
        <v>20</v>
      </c>
      <c r="F13">
        <v>3.06</v>
      </c>
      <c r="J13">
        <f>78+110+175+165+212+218</f>
        <v>958</v>
      </c>
      <c r="K13">
        <v>6</v>
      </c>
      <c r="L13">
        <v>215</v>
      </c>
      <c r="N13" t="str">
        <f t="shared" si="0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15.952480999999999</v>
      </c>
      <c r="P13">
        <f t="shared" si="1"/>
        <v>15.952480999999999</v>
      </c>
      <c r="S13">
        <f t="shared" si="2"/>
        <v>7.3541480309999994</v>
      </c>
    </row>
    <row r="14" spans="1:19">
      <c r="A14" s="7">
        <v>42262</v>
      </c>
      <c r="B14" t="s">
        <v>19</v>
      </c>
      <c r="C14">
        <v>30</v>
      </c>
      <c r="D14" s="8" t="s">
        <v>20</v>
      </c>
      <c r="F14">
        <v>1.69</v>
      </c>
      <c r="J14">
        <f>75+105+144+164+203+205</f>
        <v>896</v>
      </c>
      <c r="K14">
        <v>6</v>
      </c>
      <c r="L14">
        <v>205</v>
      </c>
      <c r="N14" t="str">
        <f t="shared" si="0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13.152121000000001</v>
      </c>
      <c r="P14">
        <f t="shared" si="1"/>
        <v>13.152121000000001</v>
      </c>
      <c r="S14">
        <f t="shared" si="2"/>
        <v>2.2431737997499996</v>
      </c>
    </row>
    <row r="15" spans="1:19">
      <c r="A15" s="7">
        <v>42262</v>
      </c>
      <c r="B15" t="s">
        <v>19</v>
      </c>
      <c r="C15">
        <v>30</v>
      </c>
      <c r="D15" s="8" t="s">
        <v>20</v>
      </c>
      <c r="F15">
        <v>1.96</v>
      </c>
      <c r="J15">
        <f>126+205+251+247+265+288</f>
        <v>1382</v>
      </c>
      <c r="K15">
        <v>6</v>
      </c>
      <c r="L15">
        <v>288</v>
      </c>
      <c r="N15" t="str">
        <f t="shared" si="0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33.713716000000012</v>
      </c>
      <c r="P15">
        <f t="shared" si="1"/>
        <v>33.713716000000012</v>
      </c>
      <c r="S15">
        <f t="shared" si="2"/>
        <v>3.0171830359999996</v>
      </c>
    </row>
    <row r="16" spans="1:19">
      <c r="A16" s="7">
        <v>42262</v>
      </c>
      <c r="B16" t="s">
        <v>19</v>
      </c>
      <c r="C16">
        <v>30</v>
      </c>
      <c r="D16" s="8" t="s">
        <v>20</v>
      </c>
      <c r="F16">
        <v>1.46</v>
      </c>
      <c r="J16">
        <f>50+59+109+144+148</f>
        <v>510</v>
      </c>
      <c r="K16">
        <v>5</v>
      </c>
      <c r="L16">
        <v>148</v>
      </c>
      <c r="N16" t="str">
        <f t="shared" si="0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1.1560089999999974</v>
      </c>
      <c r="P16">
        <f t="shared" si="1"/>
        <v>1.1560089999999974</v>
      </c>
      <c r="S16">
        <f t="shared" si="2"/>
        <v>1.6741533109999998</v>
      </c>
    </row>
    <row r="17" spans="1:19">
      <c r="A17" s="7">
        <v>42262</v>
      </c>
      <c r="B17" t="s">
        <v>19</v>
      </c>
      <c r="C17">
        <v>30</v>
      </c>
      <c r="D17" s="8" t="s">
        <v>20</v>
      </c>
      <c r="F17">
        <v>1.77</v>
      </c>
      <c r="J17">
        <f>52+53+75</f>
        <v>180</v>
      </c>
      <c r="K17">
        <v>3</v>
      </c>
      <c r="L17">
        <v>75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6.2524499999999996</v>
      </c>
      <c r="P17">
        <f t="shared" si="1"/>
        <v>6.2524499999999996</v>
      </c>
      <c r="S17">
        <f t="shared" si="2"/>
        <v>2.4605718277499999</v>
      </c>
    </row>
    <row r="18" spans="1:19">
      <c r="A18" s="7">
        <v>42262</v>
      </c>
      <c r="B18" t="s">
        <v>19</v>
      </c>
      <c r="C18">
        <v>30</v>
      </c>
      <c r="D18" s="8" t="s">
        <v>20</v>
      </c>
      <c r="F18">
        <v>3.21</v>
      </c>
      <c r="J18">
        <f>105+160+205+249+184</f>
        <v>903</v>
      </c>
      <c r="K18">
        <v>5</v>
      </c>
      <c r="L18">
        <v>249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7.5759790000000038</v>
      </c>
      <c r="P18">
        <f t="shared" si="1"/>
        <v>7.5759790000000038</v>
      </c>
      <c r="S18">
        <f t="shared" si="2"/>
        <v>8.0928143797499992</v>
      </c>
    </row>
    <row r="19" spans="1:19">
      <c r="A19" s="7">
        <v>42262</v>
      </c>
      <c r="B19" t="s">
        <v>19</v>
      </c>
      <c r="C19">
        <v>30</v>
      </c>
      <c r="D19" s="8" t="s">
        <v>20</v>
      </c>
      <c r="F19">
        <v>1.92</v>
      </c>
      <c r="J19">
        <f>126+217</f>
        <v>343</v>
      </c>
      <c r="K19">
        <v>2</v>
      </c>
      <c r="L19">
        <v>217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-14.219921999999997</v>
      </c>
      <c r="P19" t="str">
        <f t="shared" si="1"/>
        <v xml:space="preserve"> </v>
      </c>
      <c r="S19">
        <f t="shared" si="2"/>
        <v>2.8952893439999996</v>
      </c>
    </row>
    <row r="20" spans="1:19">
      <c r="A20" s="7">
        <v>42262</v>
      </c>
      <c r="B20" t="s">
        <v>19</v>
      </c>
      <c r="C20">
        <v>21</v>
      </c>
      <c r="D20" s="8" t="s">
        <v>21</v>
      </c>
      <c r="E20">
        <v>211</v>
      </c>
      <c r="F20">
        <v>2.6</v>
      </c>
      <c r="H20">
        <v>27</v>
      </c>
      <c r="I20">
        <v>1.81</v>
      </c>
      <c r="J20" s="8"/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72.761770279999979</v>
      </c>
      <c r="P20">
        <f t="shared" si="1"/>
        <v>72.761770279999979</v>
      </c>
      <c r="S20">
        <f t="shared" si="2"/>
        <v>5.3092871000000006</v>
      </c>
    </row>
    <row r="21" spans="1:19">
      <c r="A21" s="7">
        <v>42262</v>
      </c>
      <c r="B21" t="s">
        <v>19</v>
      </c>
      <c r="C21">
        <v>21</v>
      </c>
      <c r="D21" s="8" t="s">
        <v>20</v>
      </c>
      <c r="F21">
        <v>4.34</v>
      </c>
      <c r="J21" s="8">
        <f>40+81+87+125+130+164+164+170</f>
        <v>961</v>
      </c>
      <c r="K21">
        <v>8</v>
      </c>
      <c r="L21">
        <v>170</v>
      </c>
      <c r="N21" t="str">
        <f t="shared" si="0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15.745065000000004</v>
      </c>
      <c r="P21">
        <f t="shared" si="1"/>
        <v>15.745065000000004</v>
      </c>
      <c r="S21">
        <f t="shared" si="2"/>
        <v>14.793433150999999</v>
      </c>
    </row>
    <row r="22" spans="1:19">
      <c r="A22" s="7">
        <v>42262</v>
      </c>
      <c r="B22" t="s">
        <v>19</v>
      </c>
      <c r="C22">
        <v>21</v>
      </c>
      <c r="D22" s="8" t="s">
        <v>20</v>
      </c>
      <c r="F22">
        <v>1.59</v>
      </c>
      <c r="J22" s="8">
        <f>37+51+52+81+135+135+163+163</f>
        <v>817</v>
      </c>
      <c r="K22">
        <v>8</v>
      </c>
      <c r="L22">
        <v>163</v>
      </c>
      <c r="N22" t="str">
        <f t="shared" si="0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4.3530600000000064</v>
      </c>
      <c r="P22">
        <f t="shared" si="1"/>
        <v>4.3530600000000064</v>
      </c>
      <c r="S22">
        <f t="shared" si="2"/>
        <v>1.9855634197500001</v>
      </c>
    </row>
    <row r="23" spans="1:19">
      <c r="A23" s="7">
        <v>42262</v>
      </c>
      <c r="B23" t="s">
        <v>19</v>
      </c>
      <c r="C23">
        <v>21</v>
      </c>
      <c r="D23" s="8" t="s">
        <v>20</v>
      </c>
      <c r="F23">
        <v>3.76</v>
      </c>
      <c r="J23" s="8">
        <f>51+95+134</f>
        <v>280</v>
      </c>
      <c r="K23">
        <v>3</v>
      </c>
      <c r="L23">
        <v>134</v>
      </c>
      <c r="N23" t="str">
        <f t="shared" si="0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-2.1455050000000071</v>
      </c>
      <c r="P23" t="str">
        <f t="shared" si="1"/>
        <v xml:space="preserve"> </v>
      </c>
      <c r="S23">
        <f t="shared" si="2"/>
        <v>11.103635696</v>
      </c>
    </row>
    <row r="24" spans="1:19">
      <c r="A24" s="7">
        <v>42262</v>
      </c>
      <c r="B24" t="s">
        <v>19</v>
      </c>
      <c r="C24">
        <v>21</v>
      </c>
      <c r="D24" s="8" t="s">
        <v>20</v>
      </c>
      <c r="F24">
        <v>0.67</v>
      </c>
      <c r="J24" s="8">
        <f>29+36+39</f>
        <v>104</v>
      </c>
      <c r="K24">
        <v>3</v>
      </c>
      <c r="L24">
        <v>39</v>
      </c>
      <c r="N24" t="str">
        <f t="shared" si="0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9.9718899999999948</v>
      </c>
      <c r="P24">
        <f t="shared" si="1"/>
        <v>9.9718899999999948</v>
      </c>
      <c r="S24">
        <f t="shared" si="2"/>
        <v>0.35256493775000003</v>
      </c>
    </row>
    <row r="25" spans="1:19">
      <c r="A25" s="7">
        <v>42262</v>
      </c>
      <c r="B25" t="s">
        <v>19</v>
      </c>
      <c r="C25">
        <v>21</v>
      </c>
      <c r="D25" s="8" t="s">
        <v>20</v>
      </c>
      <c r="F25">
        <v>4.1100000000000003</v>
      </c>
      <c r="J25" s="8">
        <f>41+43+52+53</f>
        <v>189</v>
      </c>
      <c r="K25">
        <v>4</v>
      </c>
      <c r="L25">
        <v>53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6.7012819999999991</v>
      </c>
      <c r="P25">
        <f t="shared" si="1"/>
        <v>6.7012819999999991</v>
      </c>
      <c r="S25">
        <f t="shared" si="2"/>
        <v>13.267013109750001</v>
      </c>
    </row>
    <row r="26" spans="1:19">
      <c r="A26" s="7">
        <v>42262</v>
      </c>
      <c r="B26" t="s">
        <v>19</v>
      </c>
      <c r="C26">
        <v>21</v>
      </c>
      <c r="D26" s="8" t="s">
        <v>20</v>
      </c>
      <c r="F26">
        <v>8.4</v>
      </c>
      <c r="J26" s="8">
        <f>80+93+141+142+187+160+171+201+213+215+223+258+240</f>
        <v>2324</v>
      </c>
      <c r="K26">
        <v>13</v>
      </c>
      <c r="L26">
        <v>258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81.911805000000015</v>
      </c>
      <c r="P26">
        <f t="shared" si="1"/>
        <v>81.911805000000015</v>
      </c>
      <c r="S26">
        <f t="shared" si="2"/>
        <v>55.417647600000002</v>
      </c>
    </row>
    <row r="27" spans="1:19">
      <c r="A27" s="7">
        <v>42262</v>
      </c>
      <c r="B27" t="s">
        <v>19</v>
      </c>
      <c r="C27">
        <v>21</v>
      </c>
      <c r="D27" s="8" t="s">
        <v>20</v>
      </c>
      <c r="F27">
        <v>1.7</v>
      </c>
      <c r="J27" s="8">
        <f>32+51+58+59</f>
        <v>200</v>
      </c>
      <c r="K27">
        <v>4</v>
      </c>
      <c r="L27">
        <v>59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5.9251170000000002</v>
      </c>
      <c r="P27">
        <f t="shared" si="1"/>
        <v>5.9251170000000002</v>
      </c>
      <c r="S27">
        <f t="shared" si="2"/>
        <v>2.2697987749999995</v>
      </c>
    </row>
    <row r="28" spans="1:19">
      <c r="A28" s="7">
        <v>42262</v>
      </c>
      <c r="B28" t="s">
        <v>19</v>
      </c>
      <c r="C28">
        <v>21</v>
      </c>
      <c r="D28" s="8" t="s">
        <v>20</v>
      </c>
      <c r="F28">
        <v>1.76</v>
      </c>
      <c r="J28" s="8">
        <f>29+40+48+55+55</f>
        <v>227</v>
      </c>
      <c r="K28">
        <v>5</v>
      </c>
      <c r="L28">
        <v>55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2.6391290000000005</v>
      </c>
      <c r="P28">
        <f t="shared" si="1"/>
        <v>2.6391290000000005</v>
      </c>
      <c r="S28">
        <f t="shared" si="2"/>
        <v>2.4328472959999998</v>
      </c>
    </row>
    <row r="29" spans="1:19">
      <c r="A29" s="7">
        <v>42262</v>
      </c>
      <c r="B29" t="s">
        <v>19</v>
      </c>
      <c r="C29" s="8">
        <v>21</v>
      </c>
      <c r="D29" s="8" t="s">
        <v>20</v>
      </c>
      <c r="F29">
        <v>0.89</v>
      </c>
      <c r="J29" s="8">
        <f>53+54+61</f>
        <v>168</v>
      </c>
      <c r="K29">
        <v>3</v>
      </c>
      <c r="L29">
        <v>61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9.3448199999999986</v>
      </c>
      <c r="P29">
        <f t="shared" si="1"/>
        <v>9.3448199999999986</v>
      </c>
      <c r="S29">
        <f t="shared" si="2"/>
        <v>0.62211335975000004</v>
      </c>
    </row>
    <row r="30" spans="1:19">
      <c r="A30" s="7">
        <v>42262</v>
      </c>
      <c r="B30" t="s">
        <v>19</v>
      </c>
      <c r="C30" s="8">
        <v>21</v>
      </c>
      <c r="D30" s="8" t="s">
        <v>20</v>
      </c>
      <c r="F30">
        <v>0.81</v>
      </c>
      <c r="J30" s="8">
        <f>45+50+62</f>
        <v>157</v>
      </c>
      <c r="K30">
        <v>3</v>
      </c>
      <c r="L30">
        <v>62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8.0122699999999973</v>
      </c>
      <c r="P30">
        <f t="shared" si="1"/>
        <v>8.0122699999999973</v>
      </c>
      <c r="S30">
        <f t="shared" si="2"/>
        <v>0.51529929975000011</v>
      </c>
    </row>
    <row r="31" spans="1:19">
      <c r="A31" s="7">
        <v>42262</v>
      </c>
      <c r="B31" t="s">
        <v>19</v>
      </c>
      <c r="C31" s="8">
        <v>21</v>
      </c>
      <c r="D31" s="8" t="s">
        <v>20</v>
      </c>
      <c r="F31">
        <v>1.89</v>
      </c>
      <c r="J31" s="8">
        <f>49+63+64+76+143</f>
        <v>395</v>
      </c>
      <c r="K31">
        <v>5</v>
      </c>
      <c r="L31">
        <v>143</v>
      </c>
      <c r="N31" t="str">
        <f t="shared" si="0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-8.1195909999999998</v>
      </c>
      <c r="P31" t="str">
        <f t="shared" si="1"/>
        <v xml:space="preserve"> </v>
      </c>
      <c r="S31">
        <f t="shared" si="2"/>
        <v>2.8055184097499999</v>
      </c>
    </row>
    <row r="32" spans="1:19">
      <c r="A32" s="7">
        <v>42262</v>
      </c>
      <c r="B32" t="s">
        <v>19</v>
      </c>
      <c r="C32" s="8">
        <v>21</v>
      </c>
      <c r="D32" s="8" t="s">
        <v>20</v>
      </c>
      <c r="F32">
        <v>0.46</v>
      </c>
      <c r="J32" s="8">
        <f>23+25+31</f>
        <v>79</v>
      </c>
      <c r="K32">
        <v>3</v>
      </c>
      <c r="L32">
        <v>31</v>
      </c>
      <c r="N32" t="str">
        <f t="shared" si="0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10.037974999999996</v>
      </c>
      <c r="P32">
        <f t="shared" si="1"/>
        <v>10.037974999999996</v>
      </c>
      <c r="S32">
        <f t="shared" si="2"/>
        <v>0.166190111</v>
      </c>
    </row>
    <row r="33" spans="1:19">
      <c r="A33" s="7">
        <v>42262</v>
      </c>
      <c r="B33" t="s">
        <v>19</v>
      </c>
      <c r="C33" s="8">
        <v>21</v>
      </c>
      <c r="D33" s="8" t="s">
        <v>20</v>
      </c>
      <c r="F33">
        <v>4.6100000000000003</v>
      </c>
      <c r="J33" s="8">
        <f>37+156+166+205+211+218+223+227+245</f>
        <v>1688</v>
      </c>
      <c r="K33">
        <v>9</v>
      </c>
      <c r="L33">
        <v>245</v>
      </c>
      <c r="N33" t="str">
        <f t="shared" si="0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54.289222000000002</v>
      </c>
      <c r="P33">
        <f t="shared" si="1"/>
        <v>54.289222000000002</v>
      </c>
      <c r="S33">
        <f t="shared" si="2"/>
        <v>16.691346209750002</v>
      </c>
    </row>
    <row r="34" spans="1:19">
      <c r="A34" s="7">
        <v>42262</v>
      </c>
      <c r="B34" t="s">
        <v>19</v>
      </c>
      <c r="C34">
        <v>20</v>
      </c>
      <c r="D34" s="8" t="s">
        <v>20</v>
      </c>
      <c r="F34">
        <v>4.8099999999999996</v>
      </c>
      <c r="J34" s="8">
        <f>42+74+124+147+172+176+182</f>
        <v>917</v>
      </c>
      <c r="K34">
        <v>7</v>
      </c>
      <c r="L34">
        <v>182</v>
      </c>
      <c r="N34" t="str">
        <f t="shared" si="0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15.02725800000001</v>
      </c>
      <c r="P34">
        <f t="shared" si="1"/>
        <v>15.02725800000001</v>
      </c>
      <c r="S34">
        <f t="shared" si="2"/>
        <v>18.171035099749997</v>
      </c>
    </row>
    <row r="35" spans="1:19">
      <c r="A35" s="7">
        <v>42262</v>
      </c>
      <c r="B35" t="s">
        <v>19</v>
      </c>
      <c r="C35">
        <v>20</v>
      </c>
      <c r="D35" s="8" t="s">
        <v>20</v>
      </c>
      <c r="F35">
        <v>0.88</v>
      </c>
      <c r="J35" s="8">
        <f>39+44+58</f>
        <v>141</v>
      </c>
      <c r="K35">
        <v>3</v>
      </c>
      <c r="L35">
        <v>58</v>
      </c>
      <c r="N35" t="str">
        <f t="shared" si="0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7.7171699999999959</v>
      </c>
      <c r="P35">
        <f t="shared" si="1"/>
        <v>7.7171699999999959</v>
      </c>
      <c r="S35">
        <f t="shared" si="2"/>
        <v>0.60821182399999996</v>
      </c>
    </row>
    <row r="36" spans="1:19">
      <c r="A36" s="7">
        <v>42262</v>
      </c>
      <c r="B36" t="s">
        <v>19</v>
      </c>
      <c r="C36">
        <v>20</v>
      </c>
      <c r="D36" s="8" t="s">
        <v>20</v>
      </c>
      <c r="F36">
        <v>5.0999999999999996</v>
      </c>
      <c r="J36" s="8">
        <f>92+114+120+141+172+173+198+199</f>
        <v>1209</v>
      </c>
      <c r="K36">
        <v>8</v>
      </c>
      <c r="L36">
        <v>199</v>
      </c>
      <c r="N36" t="str">
        <f t="shared" si="0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30.260200000000005</v>
      </c>
      <c r="P36">
        <f t="shared" si="1"/>
        <v>30.260200000000005</v>
      </c>
      <c r="S36">
        <f t="shared" si="2"/>
        <v>20.428188974999998</v>
      </c>
    </row>
    <row r="37" spans="1:19">
      <c r="A37" s="7">
        <v>42262</v>
      </c>
      <c r="B37" t="s">
        <v>19</v>
      </c>
      <c r="C37">
        <v>20</v>
      </c>
      <c r="D37" s="8" t="s">
        <v>20</v>
      </c>
      <c r="F37">
        <v>0.62</v>
      </c>
      <c r="J37" s="8">
        <f>33+65+66</f>
        <v>164</v>
      </c>
      <c r="K37">
        <v>3</v>
      </c>
      <c r="L37">
        <v>66</v>
      </c>
      <c r="N37" t="str">
        <f t="shared" si="0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7.4635749999999987</v>
      </c>
      <c r="P37">
        <f t="shared" si="1"/>
        <v>7.4635749999999987</v>
      </c>
      <c r="S37">
        <f t="shared" si="2"/>
        <v>0.301906799</v>
      </c>
    </row>
    <row r="38" spans="1:19">
      <c r="A38" s="7">
        <v>42262</v>
      </c>
      <c r="B38" t="s">
        <v>19</v>
      </c>
      <c r="C38" s="8">
        <v>20</v>
      </c>
      <c r="D38" s="8" t="s">
        <v>20</v>
      </c>
      <c r="F38">
        <v>1.1299999999999999</v>
      </c>
      <c r="J38" s="8">
        <f>47+76+77</f>
        <v>200</v>
      </c>
      <c r="K38">
        <v>3</v>
      </c>
      <c r="L38">
        <v>77</v>
      </c>
      <c r="N38" t="str">
        <f t="shared" si="0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7.5250599999999999</v>
      </c>
      <c r="P38">
        <f t="shared" si="1"/>
        <v>7.5250599999999999</v>
      </c>
      <c r="S38">
        <f t="shared" si="2"/>
        <v>1.0028740677499997</v>
      </c>
    </row>
    <row r="39" spans="1:19">
      <c r="A39" s="7">
        <v>42262</v>
      </c>
      <c r="B39" t="s">
        <v>19</v>
      </c>
      <c r="C39" s="8">
        <v>20</v>
      </c>
      <c r="D39" s="8" t="s">
        <v>20</v>
      </c>
      <c r="F39">
        <v>10.199999999999999</v>
      </c>
      <c r="J39" s="8">
        <f>73+81+98+12+143+144+150+190+195+212+157+152+225+242+150+144+171+171+171+171+186</f>
        <v>3238</v>
      </c>
      <c r="K39">
        <v>21</v>
      </c>
      <c r="L39">
        <v>242</v>
      </c>
      <c r="N39" t="str">
        <f t="shared" si="0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116.24497099999999</v>
      </c>
      <c r="P39">
        <f t="shared" si="1"/>
        <v>116.24497099999999</v>
      </c>
      <c r="S39">
        <f t="shared" si="2"/>
        <v>81.712755899999991</v>
      </c>
    </row>
    <row r="40" spans="1:19">
      <c r="A40" s="7">
        <v>42262</v>
      </c>
      <c r="B40" t="s">
        <v>19</v>
      </c>
      <c r="C40" s="8">
        <v>20</v>
      </c>
      <c r="D40" s="8" t="s">
        <v>20</v>
      </c>
      <c r="F40">
        <v>4</v>
      </c>
      <c r="J40">
        <f>54+73+98+110+149+155+158+175</f>
        <v>972</v>
      </c>
      <c r="K40">
        <v>8</v>
      </c>
      <c r="L40">
        <v>175</v>
      </c>
      <c r="N40" t="str">
        <f t="shared" si="0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15.270145000000007</v>
      </c>
      <c r="P40">
        <f t="shared" si="1"/>
        <v>15.270145000000007</v>
      </c>
      <c r="S40">
        <f t="shared" si="2"/>
        <v>12.56636</v>
      </c>
    </row>
    <row r="41" spans="1:19">
      <c r="A41" s="7">
        <v>42262</v>
      </c>
      <c r="B41" t="s">
        <v>19</v>
      </c>
      <c r="C41" s="8">
        <v>20</v>
      </c>
      <c r="D41" s="8" t="s">
        <v>20</v>
      </c>
      <c r="F41">
        <v>2.41</v>
      </c>
      <c r="J41">
        <f>69+82+133+138+161</f>
        <v>583</v>
      </c>
      <c r="K41">
        <v>5</v>
      </c>
      <c r="L41">
        <v>185</v>
      </c>
      <c r="N41" t="str">
        <f t="shared" si="0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-3.1459410000000005</v>
      </c>
      <c r="P41" t="str">
        <f t="shared" si="1"/>
        <v xml:space="preserve"> </v>
      </c>
      <c r="S41">
        <f t="shared" si="2"/>
        <v>4.5616672197500003</v>
      </c>
    </row>
    <row r="42" spans="1:19">
      <c r="A42" s="7">
        <v>42262</v>
      </c>
      <c r="B42" t="s">
        <v>19</v>
      </c>
      <c r="C42" s="8">
        <v>20</v>
      </c>
      <c r="D42" s="8" t="s">
        <v>20</v>
      </c>
      <c r="F42">
        <v>1.99</v>
      </c>
      <c r="J42">
        <f>63+82+133+138+161</f>
        <v>577</v>
      </c>
      <c r="K42">
        <v>5</v>
      </c>
      <c r="L42">
        <v>161</v>
      </c>
      <c r="N42" t="str">
        <f t="shared" si="0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3.5214090000000056</v>
      </c>
      <c r="P42">
        <f t="shared" si="1"/>
        <v>3.5214090000000056</v>
      </c>
      <c r="S42">
        <f t="shared" si="2"/>
        <v>3.1102526397500001</v>
      </c>
    </row>
    <row r="43" spans="1:19">
      <c r="A43" s="7">
        <v>42262</v>
      </c>
      <c r="B43" t="s">
        <v>19</v>
      </c>
      <c r="C43" s="8">
        <v>20</v>
      </c>
      <c r="D43" s="8" t="s">
        <v>20</v>
      </c>
      <c r="F43">
        <v>1.41</v>
      </c>
      <c r="J43">
        <f>45+57+57+65+139</f>
        <v>363</v>
      </c>
      <c r="K43">
        <v>5</v>
      </c>
      <c r="L43">
        <v>139</v>
      </c>
      <c r="N43" t="str">
        <f t="shared" si="0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-9.9147710000000018</v>
      </c>
      <c r="P43" t="str">
        <f t="shared" si="1"/>
        <v xml:space="preserve"> </v>
      </c>
      <c r="S43">
        <f t="shared" si="2"/>
        <v>1.5614487697499997</v>
      </c>
    </row>
    <row r="44" spans="1:19">
      <c r="A44" s="7">
        <v>42262</v>
      </c>
      <c r="B44" t="s">
        <v>19</v>
      </c>
      <c r="C44" s="8">
        <v>20</v>
      </c>
      <c r="D44" s="8" t="s">
        <v>20</v>
      </c>
      <c r="F44">
        <v>4.17</v>
      </c>
      <c r="J44">
        <f>106+136+144+181+199+205+226</f>
        <v>1197</v>
      </c>
      <c r="K44">
        <v>7</v>
      </c>
      <c r="L44">
        <v>226</v>
      </c>
      <c r="N44" t="str">
        <f t="shared" si="0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28.023878000000018</v>
      </c>
      <c r="P44">
        <f t="shared" si="1"/>
        <v>28.023878000000018</v>
      </c>
      <c r="S44">
        <f t="shared" si="2"/>
        <v>13.657198587749999</v>
      </c>
    </row>
    <row r="45" spans="1:19">
      <c r="A45" s="7">
        <v>42262</v>
      </c>
      <c r="B45" t="s">
        <v>19</v>
      </c>
      <c r="C45" s="8">
        <v>20</v>
      </c>
      <c r="D45" s="8" t="s">
        <v>20</v>
      </c>
      <c r="F45">
        <v>4.13</v>
      </c>
      <c r="J45">
        <f>76+123+146+164+168+190+205</f>
        <v>1072</v>
      </c>
      <c r="K45">
        <v>7</v>
      </c>
      <c r="L45">
        <v>205</v>
      </c>
      <c r="N45" t="str">
        <f t="shared" si="0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22.630648000000015</v>
      </c>
      <c r="P45">
        <f t="shared" si="1"/>
        <v>22.630648000000015</v>
      </c>
      <c r="S45">
        <f t="shared" si="2"/>
        <v>13.396446617749998</v>
      </c>
    </row>
    <row r="46" spans="1:19">
      <c r="A46" s="7">
        <v>42262</v>
      </c>
      <c r="B46" t="s">
        <v>19</v>
      </c>
      <c r="C46" s="8">
        <v>20</v>
      </c>
      <c r="D46" s="8" t="s">
        <v>20</v>
      </c>
      <c r="F46">
        <v>1.91</v>
      </c>
      <c r="J46">
        <f>76+136+160+172</f>
        <v>544</v>
      </c>
      <c r="K46">
        <v>4</v>
      </c>
      <c r="L46">
        <v>172</v>
      </c>
      <c r="N46" t="str">
        <f t="shared" si="0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4.1361520000000063</v>
      </c>
      <c r="P46">
        <f t="shared" si="1"/>
        <v>4.1361520000000063</v>
      </c>
      <c r="S46">
        <f t="shared" si="2"/>
        <v>2.8652086197499997</v>
      </c>
    </row>
    <row r="47" spans="1:19">
      <c r="A47" s="7">
        <v>42262</v>
      </c>
      <c r="B47" t="s">
        <v>19</v>
      </c>
      <c r="C47" s="8">
        <v>20</v>
      </c>
      <c r="D47" s="8" t="s">
        <v>20</v>
      </c>
      <c r="F47">
        <v>3.25</v>
      </c>
      <c r="J47">
        <f>50+11+140+170+179+203+211</f>
        <v>964</v>
      </c>
      <c r="K47">
        <v>7</v>
      </c>
      <c r="L47">
        <v>211</v>
      </c>
      <c r="N47" t="str">
        <f t="shared" si="0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10.697638000000012</v>
      </c>
      <c r="P47">
        <f t="shared" si="1"/>
        <v>10.697638000000012</v>
      </c>
      <c r="S47">
        <f t="shared" si="2"/>
        <v>8.2957610937500004</v>
      </c>
    </row>
    <row r="48" spans="1:19">
      <c r="A48" s="7">
        <v>42262</v>
      </c>
      <c r="B48" t="s">
        <v>19</v>
      </c>
      <c r="C48">
        <v>9</v>
      </c>
      <c r="D48" s="8"/>
      <c r="M48" t="s">
        <v>22</v>
      </c>
      <c r="N48" t="str">
        <f t="shared" si="0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0</v>
      </c>
      <c r="P48">
        <f t="shared" si="1"/>
        <v>0</v>
      </c>
      <c r="S48">
        <f t="shared" si="2"/>
        <v>0</v>
      </c>
    </row>
    <row r="49" spans="1:19">
      <c r="A49" s="7">
        <v>42262</v>
      </c>
      <c r="B49" t="s">
        <v>19</v>
      </c>
      <c r="C49">
        <v>7</v>
      </c>
      <c r="D49" s="8"/>
      <c r="M49" t="s">
        <v>22</v>
      </c>
      <c r="N49" t="str">
        <f t="shared" si="0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0</v>
      </c>
      <c r="P49">
        <f t="shared" si="1"/>
        <v>0</v>
      </c>
      <c r="S49">
        <f t="shared" si="2"/>
        <v>0</v>
      </c>
    </row>
    <row r="50" spans="1:19">
      <c r="A50" s="7">
        <v>42262</v>
      </c>
      <c r="B50" s="8" t="s">
        <v>65</v>
      </c>
      <c r="C50">
        <v>45</v>
      </c>
      <c r="D50" s="8" t="s">
        <v>20</v>
      </c>
      <c r="F50">
        <v>2.84</v>
      </c>
      <c r="J50">
        <f>81+151+170+195+243+245</f>
        <v>1085</v>
      </c>
      <c r="K50">
        <v>6</v>
      </c>
      <c r="L50">
        <v>245</v>
      </c>
      <c r="N50" t="str">
        <f t="shared" si="0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18.822015999999998</v>
      </c>
      <c r="P50">
        <f t="shared" si="1"/>
        <v>18.822015999999998</v>
      </c>
      <c r="S50">
        <f t="shared" si="2"/>
        <v>6.3347020759999992</v>
      </c>
    </row>
    <row r="51" spans="1:19">
      <c r="A51" s="7">
        <v>42262</v>
      </c>
      <c r="B51" s="8" t="s">
        <v>65</v>
      </c>
      <c r="C51">
        <v>45</v>
      </c>
      <c r="D51" s="8" t="s">
        <v>20</v>
      </c>
      <c r="F51">
        <v>10.82</v>
      </c>
      <c r="J51">
        <f>97+208+223+268+274+290+296+300+315+226+261+281+293+296+294+299</f>
        <v>4221</v>
      </c>
      <c r="K51">
        <v>16</v>
      </c>
      <c r="L51">
        <v>315</v>
      </c>
      <c r="N51" t="str">
        <f t="shared" si="0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221.52701600000003</v>
      </c>
      <c r="P51">
        <f t="shared" si="1"/>
        <v>221.52701600000003</v>
      </c>
      <c r="S51">
        <f t="shared" si="2"/>
        <v>91.948370279000002</v>
      </c>
    </row>
    <row r="52" spans="1:19">
      <c r="A52" s="7">
        <v>42262</v>
      </c>
      <c r="B52" s="8" t="s">
        <v>65</v>
      </c>
      <c r="C52">
        <v>45</v>
      </c>
      <c r="D52" s="8" t="s">
        <v>20</v>
      </c>
      <c r="F52">
        <v>4.0999999999999996</v>
      </c>
      <c r="J52">
        <f>193+286+308+345+359+359+359</f>
        <v>2209</v>
      </c>
      <c r="K52">
        <v>7</v>
      </c>
      <c r="L52">
        <v>359</v>
      </c>
      <c r="N52" t="str">
        <f t="shared" si="0"/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82.838353000000012</v>
      </c>
      <c r="P52">
        <f t="shared" si="1"/>
        <v>82.838353000000012</v>
      </c>
      <c r="S52">
        <f t="shared" si="2"/>
        <v>13.202531974999998</v>
      </c>
    </row>
    <row r="53" spans="1:19">
      <c r="A53" s="7">
        <v>42262</v>
      </c>
      <c r="B53" s="8" t="s">
        <v>65</v>
      </c>
      <c r="C53">
        <v>45</v>
      </c>
      <c r="D53" s="8" t="s">
        <v>20</v>
      </c>
      <c r="F53">
        <v>4.25</v>
      </c>
      <c r="J53">
        <f>129+319+330+360+362+379+378+379</f>
        <v>2636</v>
      </c>
      <c r="K53">
        <v>8</v>
      </c>
      <c r="L53">
        <v>379</v>
      </c>
      <c r="N53" t="str">
        <f t="shared" si="0"/>
        <v>NA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109.82448500000001</v>
      </c>
      <c r="P53">
        <f t="shared" si="1"/>
        <v>109.82448500000001</v>
      </c>
      <c r="S53">
        <f t="shared" si="2"/>
        <v>14.186242343749999</v>
      </c>
    </row>
    <row r="54" spans="1:19">
      <c r="A54" s="7">
        <v>42262</v>
      </c>
      <c r="B54" s="8" t="s">
        <v>65</v>
      </c>
      <c r="C54">
        <v>45</v>
      </c>
      <c r="D54" s="8" t="s">
        <v>20</v>
      </c>
      <c r="F54">
        <v>1.73</v>
      </c>
      <c r="J54">
        <f>111+173</f>
        <v>284</v>
      </c>
      <c r="K54">
        <v>2</v>
      </c>
      <c r="L54">
        <v>173</v>
      </c>
      <c r="N54" t="str">
        <f t="shared" si="0"/>
        <v>NA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-6.4966869999999943</v>
      </c>
      <c r="P54" t="str">
        <f t="shared" si="1"/>
        <v xml:space="preserve"> </v>
      </c>
      <c r="S54">
        <f t="shared" si="2"/>
        <v>2.3506161777500001</v>
      </c>
    </row>
    <row r="55" spans="1:19">
      <c r="A55" s="7">
        <v>42262</v>
      </c>
      <c r="B55" s="8" t="s">
        <v>65</v>
      </c>
      <c r="C55">
        <v>45</v>
      </c>
      <c r="D55" s="8" t="s">
        <v>20</v>
      </c>
      <c r="F55">
        <v>2.09</v>
      </c>
      <c r="J55">
        <f>56+98+101+120+162</f>
        <v>537</v>
      </c>
      <c r="K55">
        <v>5</v>
      </c>
      <c r="L55">
        <v>162</v>
      </c>
      <c r="N55" t="str">
        <f t="shared" si="0"/>
        <v>NA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-0.53003600000000262</v>
      </c>
      <c r="P55" t="str">
        <f t="shared" si="1"/>
        <v xml:space="preserve"> </v>
      </c>
      <c r="S55">
        <f t="shared" si="2"/>
        <v>3.4306948197499993</v>
      </c>
    </row>
    <row r="56" spans="1:19">
      <c r="A56" s="7">
        <v>42262</v>
      </c>
      <c r="B56" s="8" t="s">
        <v>65</v>
      </c>
      <c r="C56">
        <v>45</v>
      </c>
      <c r="D56" s="8" t="s">
        <v>20</v>
      </c>
      <c r="F56">
        <v>6.93</v>
      </c>
      <c r="J56">
        <f>289+258+280+300+328+333+320+322+329</f>
        <v>2759</v>
      </c>
      <c r="K56">
        <v>9</v>
      </c>
      <c r="L56">
        <v>329</v>
      </c>
      <c r="N56" t="str">
        <f t="shared" si="0"/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129.39624700000002</v>
      </c>
      <c r="P56">
        <f t="shared" si="1"/>
        <v>129.39624700000002</v>
      </c>
      <c r="S56">
        <f t="shared" si="2"/>
        <v>37.718636397749997</v>
      </c>
    </row>
    <row r="57" spans="1:19">
      <c r="A57" s="7">
        <v>42262</v>
      </c>
      <c r="B57" s="8" t="s">
        <v>65</v>
      </c>
      <c r="C57">
        <v>45</v>
      </c>
      <c r="D57" s="8" t="s">
        <v>20</v>
      </c>
      <c r="F57">
        <v>6.86</v>
      </c>
      <c r="J57">
        <f>243+263+294+307+314+325+330+332</f>
        <v>2408</v>
      </c>
      <c r="K57">
        <v>8</v>
      </c>
      <c r="L57">
        <v>332</v>
      </c>
      <c r="N57" t="str">
        <f t="shared" si="0"/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102.60686000000001</v>
      </c>
      <c r="P57">
        <f t="shared" si="1"/>
        <v>102.60686000000001</v>
      </c>
      <c r="S57">
        <f t="shared" si="2"/>
        <v>36.960492191</v>
      </c>
    </row>
    <row r="58" spans="1:19">
      <c r="A58" s="7">
        <v>42262</v>
      </c>
      <c r="B58" s="8" t="s">
        <v>65</v>
      </c>
      <c r="C58">
        <v>45</v>
      </c>
      <c r="D58" s="8" t="s">
        <v>20</v>
      </c>
      <c r="F58">
        <v>1.1499999999999999</v>
      </c>
      <c r="J58">
        <f>16+30+30+31</f>
        <v>107</v>
      </c>
      <c r="K58">
        <v>4</v>
      </c>
      <c r="L58">
        <v>31</v>
      </c>
      <c r="N58" t="str">
        <f t="shared" si="0"/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5.6407620000000023</v>
      </c>
      <c r="P58">
        <f t="shared" si="1"/>
        <v>5.6407620000000023</v>
      </c>
      <c r="S58">
        <f t="shared" si="2"/>
        <v>1.0386881937499999</v>
      </c>
    </row>
    <row r="59" spans="1:19">
      <c r="A59" s="7">
        <v>42262</v>
      </c>
      <c r="B59" s="8" t="s">
        <v>65</v>
      </c>
      <c r="C59">
        <v>45</v>
      </c>
      <c r="D59" s="8" t="s">
        <v>20</v>
      </c>
      <c r="F59">
        <v>0.91</v>
      </c>
      <c r="J59">
        <f>62+100</f>
        <v>162</v>
      </c>
      <c r="K59">
        <v>2</v>
      </c>
      <c r="L59">
        <v>100</v>
      </c>
      <c r="N59" t="str">
        <f t="shared" si="0"/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4.0560880000000026</v>
      </c>
      <c r="P59">
        <f t="shared" si="1"/>
        <v>4.0560880000000026</v>
      </c>
      <c r="S59">
        <f t="shared" si="2"/>
        <v>0.65038766975000006</v>
      </c>
    </row>
    <row r="60" spans="1:19">
      <c r="A60" s="7">
        <v>42262</v>
      </c>
      <c r="B60" s="8" t="s">
        <v>65</v>
      </c>
      <c r="C60">
        <v>45</v>
      </c>
      <c r="D60" s="8" t="s">
        <v>20</v>
      </c>
      <c r="F60">
        <v>1.9</v>
      </c>
      <c r="J60">
        <f>51+95+99+114+156</f>
        <v>515</v>
      </c>
      <c r="K60">
        <v>5</v>
      </c>
      <c r="L60">
        <v>156</v>
      </c>
      <c r="N60" t="str">
        <f t="shared" si="0"/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-0.78517599999999987</v>
      </c>
      <c r="P60" t="str">
        <f t="shared" si="1"/>
        <v xml:space="preserve"> </v>
      </c>
      <c r="S60">
        <f t="shared" si="2"/>
        <v>2.835284975</v>
      </c>
    </row>
    <row r="61" spans="1:19">
      <c r="A61" s="7">
        <v>42262</v>
      </c>
      <c r="B61" s="8" t="s">
        <v>65</v>
      </c>
      <c r="C61">
        <v>26</v>
      </c>
      <c r="D61" s="8" t="s">
        <v>20</v>
      </c>
      <c r="F61">
        <v>2.34</v>
      </c>
      <c r="J61">
        <f>81+82+54+115+116+129+129</f>
        <v>706</v>
      </c>
      <c r="K61">
        <v>7</v>
      </c>
      <c r="L61">
        <v>129</v>
      </c>
      <c r="N61" t="str">
        <f t="shared" si="0"/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11.210937999999999</v>
      </c>
      <c r="P61">
        <f t="shared" si="1"/>
        <v>11.210937999999999</v>
      </c>
      <c r="S61">
        <f t="shared" si="2"/>
        <v>4.3005225509999994</v>
      </c>
    </row>
    <row r="62" spans="1:19">
      <c r="A62" s="7">
        <v>42262</v>
      </c>
      <c r="B62" s="8" t="s">
        <v>65</v>
      </c>
      <c r="C62">
        <v>26</v>
      </c>
      <c r="D62" s="8" t="s">
        <v>20</v>
      </c>
      <c r="F62">
        <v>4.6399999999999997</v>
      </c>
      <c r="J62">
        <f>85+112+140+145+153+165+175+175</f>
        <v>1150</v>
      </c>
      <c r="K62">
        <v>8</v>
      </c>
      <c r="L62">
        <v>175</v>
      </c>
      <c r="N62" t="str">
        <f t="shared" si="0"/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31.958535000000005</v>
      </c>
      <c r="P62">
        <f t="shared" si="1"/>
        <v>31.958535000000005</v>
      </c>
      <c r="S62">
        <f t="shared" si="2"/>
        <v>16.909294015999997</v>
      </c>
    </row>
    <row r="63" spans="1:19">
      <c r="A63" s="7">
        <v>42262</v>
      </c>
      <c r="B63" s="8" t="s">
        <v>65</v>
      </c>
      <c r="C63">
        <v>26</v>
      </c>
      <c r="D63" s="8" t="s">
        <v>20</v>
      </c>
      <c r="F63">
        <v>4.51</v>
      </c>
      <c r="J63">
        <f>59+86+81+91+113+115+126+137+158+169+175</f>
        <v>1310</v>
      </c>
      <c r="K63">
        <v>11</v>
      </c>
      <c r="L63">
        <v>175</v>
      </c>
      <c r="N63" t="str">
        <f t="shared" si="0"/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25.89227600000001</v>
      </c>
      <c r="P63">
        <f t="shared" si="1"/>
        <v>25.89227600000001</v>
      </c>
      <c r="S63">
        <f t="shared" si="2"/>
        <v>15.97506368975</v>
      </c>
    </row>
    <row r="64" spans="1:19">
      <c r="A64" s="7">
        <v>42262</v>
      </c>
      <c r="B64" s="8" t="s">
        <v>65</v>
      </c>
      <c r="C64">
        <v>26</v>
      </c>
      <c r="D64" s="8" t="s">
        <v>20</v>
      </c>
      <c r="F64">
        <v>6.75</v>
      </c>
      <c r="J64">
        <f>110+121+126+140+149+150+182+164+170+180+186</f>
        <v>1678</v>
      </c>
      <c r="K64">
        <v>11</v>
      </c>
      <c r="L64">
        <v>186</v>
      </c>
      <c r="N64" t="str">
        <f t="shared" si="0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57.08042100000003</v>
      </c>
      <c r="P64">
        <f t="shared" si="1"/>
        <v>57.08042100000003</v>
      </c>
      <c r="S64">
        <f t="shared" si="2"/>
        <v>35.78467359375</v>
      </c>
    </row>
    <row r="65" spans="1:19">
      <c r="A65" s="7">
        <v>42262</v>
      </c>
      <c r="B65" s="8" t="s">
        <v>65</v>
      </c>
      <c r="C65">
        <v>26</v>
      </c>
      <c r="D65" s="8" t="s">
        <v>20</v>
      </c>
      <c r="F65">
        <v>2.09</v>
      </c>
      <c r="J65">
        <f>26+44+71+91+101+111</f>
        <v>444</v>
      </c>
      <c r="K65">
        <v>6</v>
      </c>
      <c r="L65">
        <v>111</v>
      </c>
      <c r="N65" t="str">
        <f t="shared" si="0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-0.90810900000000316</v>
      </c>
      <c r="P65" t="str">
        <f t="shared" si="1"/>
        <v xml:space="preserve"> </v>
      </c>
      <c r="S65">
        <f t="shared" si="2"/>
        <v>3.4306948197499993</v>
      </c>
    </row>
    <row r="66" spans="1:19">
      <c r="A66" s="7">
        <v>42262</v>
      </c>
      <c r="B66" s="8" t="s">
        <v>65</v>
      </c>
      <c r="C66">
        <v>26</v>
      </c>
      <c r="D66" s="8" t="s">
        <v>20</v>
      </c>
      <c r="F66">
        <v>5.03</v>
      </c>
      <c r="J66">
        <f>84+103+114+118+129+132+141+153+169+173</f>
        <v>1316</v>
      </c>
      <c r="K66">
        <v>10</v>
      </c>
      <c r="L66">
        <v>173</v>
      </c>
      <c r="N66" t="str">
        <f t="shared" si="0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34.079649000000003</v>
      </c>
      <c r="P66">
        <f t="shared" si="1"/>
        <v>34.079649000000003</v>
      </c>
      <c r="S66">
        <f t="shared" si="2"/>
        <v>19.871263607750002</v>
      </c>
    </row>
    <row r="67" spans="1:19">
      <c r="A67" s="7">
        <v>42262</v>
      </c>
      <c r="B67" s="8" t="s">
        <v>65</v>
      </c>
      <c r="C67">
        <v>26</v>
      </c>
      <c r="D67" s="8" t="s">
        <v>20</v>
      </c>
      <c r="F67">
        <v>5.24</v>
      </c>
      <c r="J67">
        <f>105+135+153+160+161+169+177+185</f>
        <v>1245</v>
      </c>
      <c r="K67">
        <v>8</v>
      </c>
      <c r="L67">
        <v>185</v>
      </c>
      <c r="N67" t="str">
        <f t="shared" si="0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37.852809999999998</v>
      </c>
      <c r="P67">
        <f t="shared" si="1"/>
        <v>37.852809999999998</v>
      </c>
      <c r="S67">
        <f t="shared" si="2"/>
        <v>21.565130396000001</v>
      </c>
    </row>
    <row r="68" spans="1:19">
      <c r="A68" s="7">
        <v>42262</v>
      </c>
      <c r="B68" s="8" t="s">
        <v>65</v>
      </c>
      <c r="C68">
        <v>26</v>
      </c>
      <c r="D68" s="8" t="s">
        <v>20</v>
      </c>
      <c r="F68">
        <v>5.1100000000000003</v>
      </c>
      <c r="J68">
        <f>79+94+117+136+143+156+169+170+173</f>
        <v>1237</v>
      </c>
      <c r="K68">
        <v>9</v>
      </c>
      <c r="L68">
        <v>173</v>
      </c>
      <c r="N68" t="str">
        <f t="shared" ref="N68:N131" si="3">IF(OR(D68="S. acutus", D68="S. tabernaemontani", D68="S. californicus"),(1/3)*(3.14159)*((F68/2)^2)*E68,"NA")</f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33.695357000000001</v>
      </c>
      <c r="P68">
        <f t="shared" si="1"/>
        <v>33.695357000000001</v>
      </c>
      <c r="S68">
        <f t="shared" si="2"/>
        <v>20.508378059750001</v>
      </c>
    </row>
    <row r="69" spans="1:19">
      <c r="A69" s="7">
        <v>42262</v>
      </c>
      <c r="B69" s="8" t="s">
        <v>65</v>
      </c>
      <c r="C69">
        <v>26</v>
      </c>
      <c r="D69" s="8" t="s">
        <v>20</v>
      </c>
      <c r="F69">
        <v>3.7</v>
      </c>
      <c r="J69">
        <f>34+47+82+55+94+95+124+131+136+147+148</f>
        <v>1093</v>
      </c>
      <c r="K69">
        <v>11</v>
      </c>
      <c r="L69">
        <v>148</v>
      </c>
      <c r="N69" t="str">
        <f t="shared" si="3"/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13.681056000000005</v>
      </c>
      <c r="P69">
        <f t="shared" ref="P69:P132" si="4">IF(O69&lt;0," ",O69)</f>
        <v>13.681056000000005</v>
      </c>
      <c r="S69">
        <f t="shared" ref="S69:S132" si="5">3.14159*((F69/2)^2)</f>
        <v>10.752091775</v>
      </c>
    </row>
    <row r="70" spans="1:19">
      <c r="A70" s="7">
        <v>42262</v>
      </c>
      <c r="B70" s="8" t="s">
        <v>65</v>
      </c>
      <c r="C70">
        <v>26</v>
      </c>
      <c r="D70" s="8" t="s">
        <v>20</v>
      </c>
      <c r="F70">
        <v>5.3</v>
      </c>
      <c r="J70">
        <f>40+83+105+138+144+157+164+171+173</f>
        <v>1175</v>
      </c>
      <c r="K70">
        <v>9</v>
      </c>
      <c r="L70">
        <v>173</v>
      </c>
      <c r="N70" t="str">
        <f t="shared" si="3"/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27.882547000000002</v>
      </c>
      <c r="P70">
        <f t="shared" si="4"/>
        <v>27.882547000000002</v>
      </c>
      <c r="S70">
        <f t="shared" si="5"/>
        <v>22.061815774999999</v>
      </c>
    </row>
    <row r="71" spans="1:19">
      <c r="A71" s="7">
        <v>42262</v>
      </c>
      <c r="B71" s="8" t="s">
        <v>65</v>
      </c>
      <c r="C71">
        <v>26</v>
      </c>
      <c r="D71" s="8" t="s">
        <v>20</v>
      </c>
      <c r="F71">
        <v>5.0599999999999996</v>
      </c>
      <c r="J71">
        <f>138+159+171+216+148+161</f>
        <v>993</v>
      </c>
      <c r="K71">
        <v>6</v>
      </c>
      <c r="L71">
        <v>216</v>
      </c>
      <c r="N71" t="str">
        <f t="shared" si="3"/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18.932661000000003</v>
      </c>
      <c r="P71">
        <f t="shared" si="4"/>
        <v>18.932661000000003</v>
      </c>
      <c r="S71">
        <f t="shared" si="5"/>
        <v>20.109003430999998</v>
      </c>
    </row>
    <row r="72" spans="1:19">
      <c r="A72" s="7">
        <v>42262</v>
      </c>
      <c r="B72" s="8" t="s">
        <v>65</v>
      </c>
      <c r="C72">
        <v>26</v>
      </c>
      <c r="D72" s="8" t="s">
        <v>20</v>
      </c>
      <c r="F72">
        <v>1.96</v>
      </c>
      <c r="J72">
        <f>40+67+72+92+95</f>
        <v>366</v>
      </c>
      <c r="K72">
        <v>5</v>
      </c>
      <c r="L72">
        <v>95</v>
      </c>
      <c r="N72" t="str">
        <f t="shared" si="3"/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3.6212740000000068</v>
      </c>
      <c r="P72">
        <f t="shared" si="4"/>
        <v>3.6212740000000068</v>
      </c>
      <c r="S72">
        <f t="shared" si="5"/>
        <v>3.0171830359999996</v>
      </c>
    </row>
    <row r="73" spans="1:19">
      <c r="A73" s="7">
        <v>42262</v>
      </c>
      <c r="B73" s="8" t="s">
        <v>65</v>
      </c>
      <c r="C73">
        <v>26</v>
      </c>
      <c r="D73" s="8" t="s">
        <v>20</v>
      </c>
      <c r="F73">
        <v>1.39</v>
      </c>
      <c r="J73">
        <f>29+30+32+32</f>
        <v>123</v>
      </c>
      <c r="K73">
        <v>4</v>
      </c>
      <c r="L73">
        <v>32</v>
      </c>
      <c r="N73" t="str">
        <f t="shared" si="3"/>
        <v>NA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6.8395969999999977</v>
      </c>
      <c r="P73">
        <f t="shared" si="4"/>
        <v>6.8395969999999977</v>
      </c>
      <c r="S73">
        <f t="shared" si="5"/>
        <v>1.5174665097499997</v>
      </c>
    </row>
    <row r="74" spans="1:19">
      <c r="A74" s="7">
        <v>42262</v>
      </c>
      <c r="B74" s="8" t="s">
        <v>65</v>
      </c>
      <c r="C74">
        <v>24</v>
      </c>
      <c r="D74" s="8" t="s">
        <v>20</v>
      </c>
      <c r="F74">
        <v>1.56</v>
      </c>
      <c r="J74">
        <f>62+77+87+100+113+129</f>
        <v>568</v>
      </c>
      <c r="K74">
        <v>6</v>
      </c>
      <c r="L74">
        <v>129</v>
      </c>
      <c r="N74" t="str">
        <f t="shared" si="3"/>
        <v>NA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5.2951010000000025</v>
      </c>
      <c r="P74">
        <f t="shared" si="4"/>
        <v>5.2951010000000025</v>
      </c>
      <c r="S74">
        <f t="shared" si="5"/>
        <v>1.9113433560000002</v>
      </c>
    </row>
    <row r="75" spans="1:19">
      <c r="A75" s="7">
        <v>42262</v>
      </c>
      <c r="B75" s="8" t="s">
        <v>65</v>
      </c>
      <c r="C75">
        <v>24</v>
      </c>
      <c r="D75" s="8" t="s">
        <v>20</v>
      </c>
      <c r="F75">
        <v>4.17</v>
      </c>
      <c r="J75">
        <f>63+105+118+129+147+152+156+166</f>
        <v>1036</v>
      </c>
      <c r="K75">
        <v>8</v>
      </c>
      <c r="L75">
        <v>166</v>
      </c>
      <c r="N75" t="str">
        <f t="shared" si="3"/>
        <v>NA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23.981670000000008</v>
      </c>
      <c r="P75">
        <f t="shared" si="4"/>
        <v>23.981670000000008</v>
      </c>
      <c r="S75">
        <f t="shared" si="5"/>
        <v>13.657198587749999</v>
      </c>
    </row>
    <row r="76" spans="1:19">
      <c r="A76" s="7">
        <v>42262</v>
      </c>
      <c r="B76" s="8" t="s">
        <v>65</v>
      </c>
      <c r="C76">
        <v>24</v>
      </c>
      <c r="D76" s="8" t="s">
        <v>20</v>
      </c>
      <c r="F76">
        <v>4.59</v>
      </c>
      <c r="J76">
        <f>65+81+71+125+130+138+154+166+176+180+188</f>
        <v>1474</v>
      </c>
      <c r="K76">
        <v>11</v>
      </c>
      <c r="L76">
        <v>188</v>
      </c>
      <c r="N76" t="str">
        <f t="shared" si="3"/>
        <v>NA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37.351911000000015</v>
      </c>
      <c r="P76">
        <f t="shared" si="4"/>
        <v>37.351911000000015</v>
      </c>
      <c r="S76">
        <f t="shared" si="5"/>
        <v>16.546833069749997</v>
      </c>
    </row>
    <row r="77" spans="1:19">
      <c r="A77" s="7">
        <v>42262</v>
      </c>
      <c r="B77" s="8" t="s">
        <v>65</v>
      </c>
      <c r="C77">
        <v>24</v>
      </c>
      <c r="D77" s="8" t="s">
        <v>20</v>
      </c>
      <c r="F77">
        <v>5.21</v>
      </c>
      <c r="J77">
        <f>111+166+180+185+188+200</f>
        <v>1030</v>
      </c>
      <c r="K77">
        <v>6</v>
      </c>
      <c r="L77">
        <v>200</v>
      </c>
      <c r="N77" t="str">
        <f t="shared" si="3"/>
        <v>NA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27.221516000000001</v>
      </c>
      <c r="P77">
        <f t="shared" si="4"/>
        <v>27.221516000000001</v>
      </c>
      <c r="S77">
        <f t="shared" si="5"/>
        <v>21.318908279749998</v>
      </c>
    </row>
    <row r="78" spans="1:19">
      <c r="A78" s="7">
        <v>42262</v>
      </c>
      <c r="B78" s="8" t="s">
        <v>65</v>
      </c>
      <c r="C78">
        <v>24</v>
      </c>
      <c r="D78" s="8" t="s">
        <v>20</v>
      </c>
      <c r="F78">
        <v>4.99</v>
      </c>
      <c r="J78">
        <f>97+99+130+143+138+169+193+204</f>
        <v>1173</v>
      </c>
      <c r="K78">
        <v>8</v>
      </c>
      <c r="L78">
        <v>204</v>
      </c>
      <c r="N78" t="str">
        <f t="shared" si="3"/>
        <v>NA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25.378795000000004</v>
      </c>
      <c r="P78">
        <f t="shared" si="4"/>
        <v>25.378795000000004</v>
      </c>
      <c r="S78">
        <f t="shared" si="5"/>
        <v>19.556476289750002</v>
      </c>
    </row>
    <row r="79" spans="1:19">
      <c r="A79" s="7">
        <v>42262</v>
      </c>
      <c r="B79" s="8" t="s">
        <v>65</v>
      </c>
      <c r="C79">
        <v>19</v>
      </c>
      <c r="D79" s="8" t="s">
        <v>20</v>
      </c>
      <c r="F79">
        <v>1.89</v>
      </c>
      <c r="J79">
        <f>60+70+60+84+98+108</f>
        <v>480</v>
      </c>
      <c r="K79">
        <v>6</v>
      </c>
      <c r="L79">
        <v>108</v>
      </c>
      <c r="N79" t="str">
        <f t="shared" si="3"/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3.3708060000000017</v>
      </c>
      <c r="P79">
        <f t="shared" si="4"/>
        <v>3.3708060000000017</v>
      </c>
      <c r="S79">
        <f t="shared" si="5"/>
        <v>2.8055184097499999</v>
      </c>
    </row>
    <row r="80" spans="1:19">
      <c r="A80" s="7">
        <v>42262</v>
      </c>
      <c r="B80" s="8" t="s">
        <v>65</v>
      </c>
      <c r="C80">
        <v>19</v>
      </c>
      <c r="D80" s="8" t="s">
        <v>20</v>
      </c>
      <c r="F80">
        <v>3.65</v>
      </c>
      <c r="J80">
        <f>58+68+70+77+88+89+90+96+97+100+105+110</f>
        <v>1048</v>
      </c>
      <c r="K80">
        <v>12</v>
      </c>
      <c r="L80">
        <v>110</v>
      </c>
      <c r="N80" t="str">
        <f t="shared" si="3"/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13.887037999999997</v>
      </c>
      <c r="P80">
        <f t="shared" si="4"/>
        <v>13.887037999999997</v>
      </c>
      <c r="S80">
        <f t="shared" si="5"/>
        <v>10.46345819375</v>
      </c>
    </row>
    <row r="81" spans="1:19">
      <c r="A81" s="7">
        <v>42262</v>
      </c>
      <c r="B81" s="8" t="s">
        <v>65</v>
      </c>
      <c r="C81">
        <v>19</v>
      </c>
      <c r="D81" s="8" t="s">
        <v>20</v>
      </c>
      <c r="F81">
        <v>3.32</v>
      </c>
      <c r="J81">
        <f>54+62+80+81+87+89+108</f>
        <v>561</v>
      </c>
      <c r="K81">
        <v>7</v>
      </c>
      <c r="L81">
        <v>108</v>
      </c>
      <c r="N81" t="str">
        <f t="shared" si="3"/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3.942608000000007</v>
      </c>
      <c r="P81">
        <f t="shared" si="4"/>
        <v>3.942608000000007</v>
      </c>
      <c r="S81">
        <f t="shared" si="5"/>
        <v>8.6569654039999993</v>
      </c>
    </row>
    <row r="82" spans="1:19">
      <c r="A82" s="7">
        <v>42262</v>
      </c>
      <c r="B82" s="8" t="s">
        <v>65</v>
      </c>
      <c r="C82">
        <v>9</v>
      </c>
      <c r="D82" s="8"/>
      <c r="M82" t="s">
        <v>22</v>
      </c>
      <c r="N82" t="str">
        <f t="shared" si="3"/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0</v>
      </c>
      <c r="P82">
        <f t="shared" si="4"/>
        <v>0</v>
      </c>
      <c r="S82">
        <f t="shared" si="5"/>
        <v>0</v>
      </c>
    </row>
    <row r="83" spans="1:19">
      <c r="A83" s="7">
        <v>42262</v>
      </c>
      <c r="B83" s="8" t="s">
        <v>23</v>
      </c>
      <c r="C83">
        <v>39</v>
      </c>
      <c r="D83" s="8" t="s">
        <v>20</v>
      </c>
      <c r="F83">
        <v>2.2000000000000002</v>
      </c>
      <c r="J83">
        <f>118+148+158+121+125+126</f>
        <v>796</v>
      </c>
      <c r="K83">
        <v>6</v>
      </c>
      <c r="L83">
        <v>158</v>
      </c>
      <c r="N83" t="str">
        <f t="shared" si="3"/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17.935136</v>
      </c>
      <c r="P83">
        <f t="shared" si="4"/>
        <v>17.935136</v>
      </c>
      <c r="S83">
        <f t="shared" si="5"/>
        <v>3.8013239000000003</v>
      </c>
    </row>
    <row r="84" spans="1:19">
      <c r="A84" s="7">
        <v>42262</v>
      </c>
      <c r="B84" s="8" t="s">
        <v>23</v>
      </c>
      <c r="C84">
        <v>39</v>
      </c>
      <c r="D84" s="8" t="s">
        <v>20</v>
      </c>
      <c r="F84">
        <v>5.97</v>
      </c>
      <c r="J84">
        <f>87+125+168+166</f>
        <v>546</v>
      </c>
      <c r="K84">
        <v>4</v>
      </c>
      <c r="L84">
        <v>168</v>
      </c>
      <c r="N84" t="str">
        <f t="shared" si="3"/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5.5286420000000014</v>
      </c>
      <c r="P84">
        <f t="shared" si="4"/>
        <v>5.5286420000000014</v>
      </c>
      <c r="S84">
        <f t="shared" si="5"/>
        <v>27.992273757749995</v>
      </c>
    </row>
    <row r="85" spans="1:19">
      <c r="A85" s="7">
        <v>42262</v>
      </c>
      <c r="B85" s="8" t="s">
        <v>23</v>
      </c>
      <c r="C85">
        <v>39</v>
      </c>
      <c r="D85" s="8" t="s">
        <v>20</v>
      </c>
      <c r="F85">
        <v>3.29</v>
      </c>
      <c r="J85">
        <f>94+118+160+163+196+212+213</f>
        <v>1156</v>
      </c>
      <c r="K85">
        <v>7</v>
      </c>
      <c r="L85">
        <v>213</v>
      </c>
      <c r="N85" t="str">
        <f t="shared" si="3"/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28.096108000000008</v>
      </c>
      <c r="P85">
        <f t="shared" si="4"/>
        <v>28.096108000000008</v>
      </c>
      <c r="S85">
        <f t="shared" si="5"/>
        <v>8.5012210797499996</v>
      </c>
    </row>
    <row r="86" spans="1:19">
      <c r="A86" s="7">
        <v>42262</v>
      </c>
      <c r="B86" s="8" t="s">
        <v>23</v>
      </c>
      <c r="C86">
        <v>39</v>
      </c>
      <c r="D86" s="8" t="s">
        <v>20</v>
      </c>
      <c r="F86">
        <v>3.39</v>
      </c>
      <c r="J86">
        <f>74+91+194+162+200+210+232</f>
        <v>1163</v>
      </c>
      <c r="K86">
        <v>7</v>
      </c>
      <c r="L86">
        <v>232</v>
      </c>
      <c r="N86" t="str">
        <f t="shared" si="3"/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23.028738000000011</v>
      </c>
      <c r="P86">
        <f t="shared" si="4"/>
        <v>23.028738000000011</v>
      </c>
      <c r="S86">
        <f t="shared" si="5"/>
        <v>9.0258666097500004</v>
      </c>
    </row>
    <row r="87" spans="1:19">
      <c r="A87" s="7">
        <v>42262</v>
      </c>
      <c r="B87" s="8" t="s">
        <v>23</v>
      </c>
      <c r="C87">
        <v>39</v>
      </c>
      <c r="D87" s="8" t="s">
        <v>20</v>
      </c>
      <c r="F87">
        <v>4.7699999999999996</v>
      </c>
      <c r="J87">
        <f>109+189+205+242+259+282+322+347+257+317</f>
        <v>2529</v>
      </c>
      <c r="K87">
        <v>10</v>
      </c>
      <c r="L87">
        <v>347</v>
      </c>
      <c r="N87" t="str">
        <f t="shared" si="3"/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95.387834000000026</v>
      </c>
      <c r="P87">
        <f t="shared" si="4"/>
        <v>95.387834000000026</v>
      </c>
      <c r="S87">
        <f t="shared" si="5"/>
        <v>17.870070777749998</v>
      </c>
    </row>
    <row r="88" spans="1:19">
      <c r="A88" s="7">
        <v>42262</v>
      </c>
      <c r="B88" s="8" t="s">
        <v>23</v>
      </c>
      <c r="C88">
        <v>39</v>
      </c>
      <c r="D88" s="8" t="s">
        <v>20</v>
      </c>
      <c r="F88">
        <v>2.4700000000000002</v>
      </c>
      <c r="J88">
        <f>69+109+125+158+160</f>
        <v>621</v>
      </c>
      <c r="K88">
        <v>5</v>
      </c>
      <c r="L88">
        <v>160</v>
      </c>
      <c r="N88" t="str">
        <f t="shared" si="3"/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7.9478740000000059</v>
      </c>
      <c r="P88">
        <f t="shared" si="4"/>
        <v>7.9478740000000059</v>
      </c>
      <c r="S88">
        <f t="shared" si="5"/>
        <v>4.7916316077500003</v>
      </c>
    </row>
    <row r="89" spans="1:19">
      <c r="A89" s="7">
        <v>42262</v>
      </c>
      <c r="B89" s="8" t="s">
        <v>23</v>
      </c>
      <c r="C89">
        <v>39</v>
      </c>
      <c r="D89" s="8" t="s">
        <v>20</v>
      </c>
      <c r="F89">
        <v>1.81</v>
      </c>
      <c r="J89">
        <f>69+111+138+138+149</f>
        <v>605</v>
      </c>
      <c r="K89">
        <v>5</v>
      </c>
      <c r="L89">
        <v>149</v>
      </c>
      <c r="N89" t="str">
        <f t="shared" si="3"/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9.7614890000000045</v>
      </c>
      <c r="P89">
        <f t="shared" si="4"/>
        <v>9.7614890000000045</v>
      </c>
      <c r="S89">
        <f t="shared" si="5"/>
        <v>2.5730407497500001</v>
      </c>
    </row>
    <row r="90" spans="1:19">
      <c r="A90" s="7">
        <v>42262</v>
      </c>
      <c r="B90" s="8" t="s">
        <v>23</v>
      </c>
      <c r="C90">
        <v>39</v>
      </c>
      <c r="D90" s="8" t="s">
        <v>20</v>
      </c>
      <c r="F90">
        <v>1.17</v>
      </c>
      <c r="J90">
        <f>98+134</f>
        <v>232</v>
      </c>
      <c r="K90">
        <v>2</v>
      </c>
      <c r="L90">
        <v>134</v>
      </c>
      <c r="N90" t="str">
        <f t="shared" si="3"/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0.37660799999999739</v>
      </c>
      <c r="P90">
        <f t="shared" si="4"/>
        <v>0.37660799999999739</v>
      </c>
      <c r="S90">
        <f t="shared" si="5"/>
        <v>1.0751306377499998</v>
      </c>
    </row>
    <row r="91" spans="1:19">
      <c r="A91" s="7">
        <v>42262</v>
      </c>
      <c r="B91" s="8" t="s">
        <v>23</v>
      </c>
      <c r="C91">
        <v>27</v>
      </c>
      <c r="D91" s="8" t="s">
        <v>20</v>
      </c>
      <c r="F91">
        <v>2.75</v>
      </c>
      <c r="J91">
        <f>78+84+100+113+138+151+155+197+197</f>
        <v>1213</v>
      </c>
      <c r="K91">
        <v>9</v>
      </c>
      <c r="L91">
        <v>197</v>
      </c>
      <c r="N91" t="str">
        <f t="shared" si="3"/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24.215357000000004</v>
      </c>
      <c r="P91">
        <f t="shared" si="4"/>
        <v>24.215357000000004</v>
      </c>
      <c r="S91">
        <f t="shared" si="5"/>
        <v>5.9395685937499998</v>
      </c>
    </row>
    <row r="92" spans="1:19">
      <c r="A92" s="7">
        <v>42262</v>
      </c>
      <c r="B92" s="8" t="s">
        <v>23</v>
      </c>
      <c r="C92">
        <v>27</v>
      </c>
      <c r="D92" s="8" t="s">
        <v>20</v>
      </c>
      <c r="F92">
        <v>5.1100000000000003</v>
      </c>
      <c r="J92">
        <f>100+163+178+197+211+213+214+216+219</f>
        <v>1711</v>
      </c>
      <c r="K92">
        <v>9</v>
      </c>
      <c r="L92">
        <v>219</v>
      </c>
      <c r="N92" t="str">
        <f t="shared" si="3"/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64.277956999999986</v>
      </c>
      <c r="P92">
        <f t="shared" si="4"/>
        <v>64.277956999999986</v>
      </c>
      <c r="S92">
        <f t="shared" si="5"/>
        <v>20.508378059750001</v>
      </c>
    </row>
    <row r="93" spans="1:19">
      <c r="A93" s="7">
        <v>42262</v>
      </c>
      <c r="B93" s="8" t="s">
        <v>23</v>
      </c>
      <c r="C93">
        <v>27</v>
      </c>
      <c r="D93" s="8" t="s">
        <v>20</v>
      </c>
      <c r="F93">
        <v>1.45</v>
      </c>
      <c r="J93">
        <f>54+75+75+108+132</f>
        <v>444</v>
      </c>
      <c r="K93">
        <v>5</v>
      </c>
      <c r="L93">
        <v>132</v>
      </c>
      <c r="N93" t="str">
        <f t="shared" si="3"/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-0.21190099999999745</v>
      </c>
      <c r="P93" t="str">
        <f t="shared" si="4"/>
        <v xml:space="preserve"> </v>
      </c>
      <c r="S93">
        <f t="shared" si="5"/>
        <v>1.6512982437499999</v>
      </c>
    </row>
    <row r="94" spans="1:19">
      <c r="A94" s="7">
        <v>42262</v>
      </c>
      <c r="B94" s="8" t="s">
        <v>23</v>
      </c>
      <c r="C94">
        <v>27</v>
      </c>
      <c r="D94" s="8" t="s">
        <v>20</v>
      </c>
      <c r="F94">
        <v>2.98</v>
      </c>
      <c r="J94">
        <f>132+150+161+176+179+189+195</f>
        <v>1182</v>
      </c>
      <c r="K94">
        <v>7</v>
      </c>
      <c r="L94">
        <v>195</v>
      </c>
      <c r="N94" t="str">
        <f t="shared" si="3"/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35.956148000000006</v>
      </c>
      <c r="P94">
        <f t="shared" si="4"/>
        <v>35.956148000000006</v>
      </c>
      <c r="S94">
        <f t="shared" si="5"/>
        <v>6.9746439589999998</v>
      </c>
    </row>
    <row r="95" spans="1:19">
      <c r="A95" s="7">
        <v>42262</v>
      </c>
      <c r="B95" s="8" t="s">
        <v>23</v>
      </c>
      <c r="C95">
        <v>27</v>
      </c>
      <c r="D95" s="8" t="s">
        <v>20</v>
      </c>
      <c r="F95">
        <v>3.16</v>
      </c>
      <c r="J95">
        <f>132+171+151+184+197+200</f>
        <v>1035</v>
      </c>
      <c r="K95">
        <v>6</v>
      </c>
      <c r="L95">
        <v>200</v>
      </c>
      <c r="N95" t="str">
        <f t="shared" si="3"/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27.690291000000009</v>
      </c>
      <c r="P95">
        <f t="shared" si="4"/>
        <v>27.690291000000009</v>
      </c>
      <c r="S95">
        <f t="shared" si="5"/>
        <v>7.8426652760000009</v>
      </c>
    </row>
    <row r="96" spans="1:19">
      <c r="A96" s="7">
        <v>42262</v>
      </c>
      <c r="B96" s="8" t="s">
        <v>23</v>
      </c>
      <c r="C96">
        <v>27</v>
      </c>
      <c r="D96" s="8" t="s">
        <v>20</v>
      </c>
      <c r="F96">
        <v>1.96</v>
      </c>
      <c r="J96">
        <f>34+52+85+90+106+107</f>
        <v>474</v>
      </c>
      <c r="K96">
        <v>6</v>
      </c>
      <c r="L96">
        <v>107</v>
      </c>
      <c r="N96" t="str">
        <f t="shared" si="3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3.1095209999999938</v>
      </c>
      <c r="P96">
        <f t="shared" si="4"/>
        <v>3.1095209999999938</v>
      </c>
      <c r="S96">
        <f t="shared" si="5"/>
        <v>3.0171830359999996</v>
      </c>
    </row>
    <row r="97" spans="1:19">
      <c r="A97" s="7">
        <v>42262</v>
      </c>
      <c r="B97" s="8" t="s">
        <v>23</v>
      </c>
      <c r="C97">
        <v>27</v>
      </c>
      <c r="D97" s="8" t="s">
        <v>20</v>
      </c>
      <c r="F97">
        <v>0.98</v>
      </c>
      <c r="J97">
        <f>55+57+76+82+96</f>
        <v>366</v>
      </c>
      <c r="K97">
        <v>5</v>
      </c>
      <c r="L97">
        <v>96</v>
      </c>
      <c r="N97" t="str">
        <f t="shared" si="3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3.3200290000000052</v>
      </c>
      <c r="P97">
        <f t="shared" si="4"/>
        <v>3.3200290000000052</v>
      </c>
      <c r="S97">
        <f t="shared" si="5"/>
        <v>0.7542957589999999</v>
      </c>
    </row>
    <row r="98" spans="1:19">
      <c r="A98" s="7">
        <v>42262</v>
      </c>
      <c r="B98" s="8" t="s">
        <v>23</v>
      </c>
      <c r="C98">
        <v>14</v>
      </c>
      <c r="D98" s="8" t="s">
        <v>20</v>
      </c>
      <c r="F98">
        <v>0.7</v>
      </c>
      <c r="J98">
        <f>42+47+69+81+89</f>
        <v>328</v>
      </c>
      <c r="K98">
        <v>5</v>
      </c>
      <c r="L98">
        <v>89</v>
      </c>
      <c r="N98" t="str">
        <f t="shared" si="3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1.8660540000000019</v>
      </c>
      <c r="P98">
        <f t="shared" si="4"/>
        <v>1.8660540000000019</v>
      </c>
      <c r="S98">
        <f t="shared" si="5"/>
        <v>0.38484477499999992</v>
      </c>
    </row>
    <row r="99" spans="1:19">
      <c r="A99" s="7">
        <v>42262</v>
      </c>
      <c r="B99" s="8" t="s">
        <v>23</v>
      </c>
      <c r="C99">
        <v>14</v>
      </c>
      <c r="D99" s="8" t="s">
        <v>20</v>
      </c>
      <c r="F99">
        <v>1.73</v>
      </c>
      <c r="J99">
        <f>64+95+95+107+117</f>
        <v>478</v>
      </c>
      <c r="K99">
        <v>5</v>
      </c>
      <c r="L99">
        <v>117</v>
      </c>
      <c r="N99" t="str">
        <f t="shared" si="3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7.4944440000000085</v>
      </c>
      <c r="P99">
        <f t="shared" si="4"/>
        <v>7.4944440000000085</v>
      </c>
      <c r="S99">
        <f t="shared" si="5"/>
        <v>2.3506161777500001</v>
      </c>
    </row>
    <row r="100" spans="1:19">
      <c r="A100" s="7">
        <v>42262</v>
      </c>
      <c r="B100" s="8" t="s">
        <v>23</v>
      </c>
      <c r="C100">
        <v>14</v>
      </c>
      <c r="D100" s="8" t="s">
        <v>20</v>
      </c>
      <c r="F100">
        <v>4.16</v>
      </c>
      <c r="J100">
        <f>41+90+89+100+111+112+139+150+158</f>
        <v>990</v>
      </c>
      <c r="K100">
        <v>9</v>
      </c>
      <c r="L100">
        <v>158</v>
      </c>
      <c r="N100" t="str">
        <f t="shared" si="3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15.056547000000009</v>
      </c>
      <c r="P100">
        <f t="shared" si="4"/>
        <v>15.056547000000009</v>
      </c>
      <c r="S100">
        <f t="shared" si="5"/>
        <v>13.591774976000002</v>
      </c>
    </row>
    <row r="101" spans="1:19">
      <c r="A101" s="7">
        <v>42262</v>
      </c>
      <c r="B101" s="8" t="s">
        <v>23</v>
      </c>
      <c r="C101">
        <v>14</v>
      </c>
      <c r="D101" s="8" t="s">
        <v>20</v>
      </c>
      <c r="F101">
        <v>1.95</v>
      </c>
      <c r="J101">
        <f>40+66+75+75+79+84+100</f>
        <v>519</v>
      </c>
      <c r="K101">
        <v>7</v>
      </c>
      <c r="L101">
        <v>100</v>
      </c>
      <c r="N101" t="str">
        <f t="shared" si="3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2.4148580000000024</v>
      </c>
      <c r="P101">
        <f t="shared" si="4"/>
        <v>2.4148580000000024</v>
      </c>
      <c r="S101">
        <f t="shared" si="5"/>
        <v>2.9864739937499998</v>
      </c>
    </row>
    <row r="102" spans="1:19">
      <c r="A102" s="7">
        <v>42262</v>
      </c>
      <c r="B102" s="8" t="s">
        <v>23</v>
      </c>
      <c r="C102">
        <v>14</v>
      </c>
      <c r="D102" s="8" t="s">
        <v>24</v>
      </c>
      <c r="E102">
        <v>116</v>
      </c>
      <c r="F102">
        <v>0.79</v>
      </c>
      <c r="N102">
        <f t="shared" si="3"/>
        <v>18.953107750333334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3.5415830000000001</v>
      </c>
      <c r="P102">
        <f t="shared" si="4"/>
        <v>3.5415830000000001</v>
      </c>
      <c r="S102">
        <f t="shared" si="5"/>
        <v>0.49016657975000005</v>
      </c>
    </row>
    <row r="103" spans="1:19">
      <c r="A103" s="7">
        <v>42262</v>
      </c>
      <c r="B103" s="8" t="s">
        <v>23</v>
      </c>
      <c r="C103">
        <v>14</v>
      </c>
      <c r="D103" s="8" t="s">
        <v>24</v>
      </c>
      <c r="E103">
        <v>88</v>
      </c>
      <c r="F103">
        <v>0.99</v>
      </c>
      <c r="N103">
        <f t="shared" si="3"/>
        <v>22.579863965999998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1.5786430000000005</v>
      </c>
      <c r="P103">
        <f t="shared" si="4"/>
        <v>1.5786430000000005</v>
      </c>
      <c r="S103">
        <f t="shared" si="5"/>
        <v>0.76976808975</v>
      </c>
    </row>
    <row r="104" spans="1:19">
      <c r="A104" s="7">
        <v>42262</v>
      </c>
      <c r="B104" s="8" t="s">
        <v>23</v>
      </c>
      <c r="C104">
        <v>11</v>
      </c>
      <c r="D104" s="8" t="s">
        <v>20</v>
      </c>
      <c r="F104">
        <v>3.12</v>
      </c>
      <c r="J104">
        <f>47+80+93+137+146+148</f>
        <v>651</v>
      </c>
      <c r="K104">
        <v>6</v>
      </c>
      <c r="L104">
        <v>148</v>
      </c>
      <c r="N104" t="str">
        <f t="shared" si="3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7.3531109999999984</v>
      </c>
      <c r="P104">
        <f t="shared" si="4"/>
        <v>7.3531109999999984</v>
      </c>
      <c r="S104">
        <f t="shared" si="5"/>
        <v>7.6453734240000006</v>
      </c>
    </row>
    <row r="105" spans="1:19">
      <c r="A105" s="7">
        <v>42262</v>
      </c>
      <c r="B105" s="8" t="s">
        <v>23</v>
      </c>
      <c r="C105">
        <v>11</v>
      </c>
      <c r="D105" s="8" t="s">
        <v>20</v>
      </c>
      <c r="F105">
        <v>0.84</v>
      </c>
      <c r="J105">
        <f>49+55+77+89</f>
        <v>270</v>
      </c>
      <c r="K105">
        <v>4</v>
      </c>
      <c r="L105">
        <v>89</v>
      </c>
      <c r="N105" t="str">
        <f t="shared" si="3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3.4506170000000012</v>
      </c>
      <c r="P105">
        <f t="shared" si="4"/>
        <v>3.4506170000000012</v>
      </c>
      <c r="S105">
        <f t="shared" si="5"/>
        <v>0.55417647599999986</v>
      </c>
    </row>
    <row r="106" spans="1:19">
      <c r="A106" s="7">
        <v>42262</v>
      </c>
      <c r="B106" s="8" t="s">
        <v>23</v>
      </c>
      <c r="C106">
        <v>11</v>
      </c>
      <c r="D106" s="8" t="s">
        <v>24</v>
      </c>
      <c r="E106">
        <v>31</v>
      </c>
      <c r="F106">
        <v>0.32</v>
      </c>
      <c r="N106">
        <f t="shared" si="3"/>
        <v>0.83105527466666662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-2.4173419999999997</v>
      </c>
      <c r="P106" t="str">
        <f t="shared" si="4"/>
        <v xml:space="preserve"> </v>
      </c>
      <c r="S106">
        <f t="shared" si="5"/>
        <v>8.0424704E-2</v>
      </c>
    </row>
    <row r="107" spans="1:19">
      <c r="A107" s="7">
        <v>42262</v>
      </c>
      <c r="B107" s="8" t="s">
        <v>23</v>
      </c>
      <c r="C107">
        <v>11</v>
      </c>
      <c r="D107" s="8" t="s">
        <v>24</v>
      </c>
      <c r="E107">
        <v>57</v>
      </c>
      <c r="F107">
        <v>0.44</v>
      </c>
      <c r="N107">
        <f t="shared" si="3"/>
        <v>2.8890061639999995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-0.5946119999999997</v>
      </c>
      <c r="P107" t="str">
        <f t="shared" si="4"/>
        <v xml:space="preserve"> </v>
      </c>
      <c r="S107">
        <f t="shared" si="5"/>
        <v>0.15205295599999999</v>
      </c>
    </row>
    <row r="108" spans="1:19">
      <c r="A108" s="7">
        <v>42262</v>
      </c>
      <c r="B108" s="8" t="s">
        <v>23</v>
      </c>
      <c r="C108">
        <v>11</v>
      </c>
      <c r="D108" s="8" t="s">
        <v>24</v>
      </c>
      <c r="E108">
        <v>21</v>
      </c>
      <c r="F108">
        <v>0.45</v>
      </c>
      <c r="N108">
        <f t="shared" si="3"/>
        <v>1.11330095625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-3.1183920000000001</v>
      </c>
      <c r="P108" t="str">
        <f t="shared" si="4"/>
        <v xml:space="preserve"> </v>
      </c>
      <c r="S108">
        <f t="shared" si="5"/>
        <v>0.15904299375</v>
      </c>
    </row>
    <row r="109" spans="1:19">
      <c r="A109" s="7">
        <v>42262</v>
      </c>
      <c r="B109" s="8" t="s">
        <v>23</v>
      </c>
      <c r="C109">
        <v>11</v>
      </c>
      <c r="D109" s="8" t="s">
        <v>20</v>
      </c>
      <c r="F109">
        <v>4.3899999999999997</v>
      </c>
      <c r="J109">
        <f>49+53+86+101+121+123+141+142+149+143</f>
        <v>1108</v>
      </c>
      <c r="K109">
        <v>10</v>
      </c>
      <c r="L109">
        <v>149</v>
      </c>
      <c r="N109" t="str">
        <f t="shared" si="3"/>
        <v>NA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21.808489000000016</v>
      </c>
      <c r="P109">
        <f t="shared" si="4"/>
        <v>21.808489000000016</v>
      </c>
      <c r="S109">
        <f t="shared" si="5"/>
        <v>15.136259159749999</v>
      </c>
    </row>
    <row r="110" spans="1:19">
      <c r="A110" s="7">
        <v>42262</v>
      </c>
      <c r="B110" s="8" t="s">
        <v>23</v>
      </c>
      <c r="C110">
        <v>11</v>
      </c>
      <c r="D110" s="8" t="s">
        <v>20</v>
      </c>
      <c r="F110">
        <v>3.88</v>
      </c>
      <c r="J110">
        <f>100+135+136+143+146+154</f>
        <v>814</v>
      </c>
      <c r="K110">
        <v>6</v>
      </c>
      <c r="L110">
        <v>154</v>
      </c>
      <c r="N110" t="str">
        <f t="shared" si="3"/>
        <v>NA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20.827705999999999</v>
      </c>
      <c r="P110">
        <f t="shared" si="4"/>
        <v>20.827705999999999</v>
      </c>
      <c r="S110">
        <f t="shared" si="5"/>
        <v>11.823688123999998</v>
      </c>
    </row>
    <row r="111" spans="1:19">
      <c r="A111" s="7">
        <v>42262</v>
      </c>
      <c r="B111" s="8" t="s">
        <v>23</v>
      </c>
      <c r="C111">
        <v>11</v>
      </c>
      <c r="D111" s="8" t="s">
        <v>20</v>
      </c>
      <c r="F111">
        <v>3.23</v>
      </c>
      <c r="J111">
        <f>56+59+77+83+96+102+113+132+134</f>
        <v>852</v>
      </c>
      <c r="K111">
        <v>9</v>
      </c>
      <c r="L111">
        <v>134</v>
      </c>
      <c r="N111" t="str">
        <f t="shared" si="3"/>
        <v>NA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9.3482369999999975</v>
      </c>
      <c r="P111">
        <f t="shared" si="4"/>
        <v>9.3482369999999975</v>
      </c>
      <c r="S111">
        <f t="shared" si="5"/>
        <v>8.1939735777500005</v>
      </c>
    </row>
    <row r="112" spans="1:19">
      <c r="A112" s="7">
        <v>42262</v>
      </c>
      <c r="B112" s="8" t="s">
        <v>23</v>
      </c>
      <c r="C112">
        <v>11</v>
      </c>
      <c r="D112" s="8" t="s">
        <v>20</v>
      </c>
      <c r="F112">
        <v>4.1900000000000004</v>
      </c>
      <c r="J112">
        <f>51+40+71+81+100+109+114+118+132+142+143</f>
        <v>1101</v>
      </c>
      <c r="K112">
        <v>11</v>
      </c>
      <c r="L112">
        <v>143</v>
      </c>
      <c r="N112" t="str">
        <f t="shared" si="3"/>
        <v>NA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15.937321000000004</v>
      </c>
      <c r="P112">
        <f t="shared" si="4"/>
        <v>15.937321000000004</v>
      </c>
      <c r="S112">
        <f t="shared" si="5"/>
        <v>13.788517049750002</v>
      </c>
    </row>
    <row r="113" spans="1:19">
      <c r="A113" s="7">
        <v>42262</v>
      </c>
      <c r="B113" s="8" t="s">
        <v>23</v>
      </c>
      <c r="C113">
        <v>11</v>
      </c>
      <c r="D113" s="8" t="s">
        <v>20</v>
      </c>
      <c r="F113">
        <v>0.7</v>
      </c>
      <c r="J113">
        <f>21+22+25+44+53+60</f>
        <v>225</v>
      </c>
      <c r="K113">
        <v>6</v>
      </c>
      <c r="L113">
        <v>60</v>
      </c>
      <c r="N113" t="str">
        <f t="shared" si="3"/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-6.0769590000000022</v>
      </c>
      <c r="P113" t="str">
        <f t="shared" si="4"/>
        <v xml:space="preserve"> </v>
      </c>
      <c r="S113">
        <f t="shared" si="5"/>
        <v>0.38484477499999992</v>
      </c>
    </row>
    <row r="114" spans="1:19">
      <c r="A114" s="7">
        <v>42262</v>
      </c>
      <c r="B114" s="8" t="s">
        <v>23</v>
      </c>
      <c r="C114">
        <v>11</v>
      </c>
      <c r="D114" s="8" t="s">
        <v>20</v>
      </c>
      <c r="F114">
        <v>3.71</v>
      </c>
      <c r="J114">
        <f>33+65+72+86+99+112+129+143+145</f>
        <v>884</v>
      </c>
      <c r="K114">
        <v>9</v>
      </c>
      <c r="L114">
        <v>145</v>
      </c>
      <c r="N114" t="str">
        <f t="shared" si="3"/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9.03470200000001</v>
      </c>
      <c r="P114">
        <f t="shared" si="4"/>
        <v>9.03470200000001</v>
      </c>
      <c r="S114">
        <f t="shared" si="5"/>
        <v>10.810289729749998</v>
      </c>
    </row>
    <row r="115" spans="1:19">
      <c r="A115" s="7">
        <v>42262</v>
      </c>
      <c r="B115" s="8" t="s">
        <v>23</v>
      </c>
      <c r="C115">
        <v>11</v>
      </c>
      <c r="D115" s="8" t="s">
        <v>20</v>
      </c>
      <c r="F115">
        <v>3.03</v>
      </c>
      <c r="J115">
        <f>71+72+88+95+107+120+120</f>
        <v>673</v>
      </c>
      <c r="K115">
        <v>7</v>
      </c>
      <c r="L115">
        <v>120</v>
      </c>
      <c r="N115" t="str">
        <f t="shared" si="3"/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10.828228000000003</v>
      </c>
      <c r="P115">
        <f t="shared" si="4"/>
        <v>10.828228000000003</v>
      </c>
      <c r="S115">
        <f t="shared" si="5"/>
        <v>7.2106559077499996</v>
      </c>
    </row>
    <row r="116" spans="1:19">
      <c r="A116" s="7">
        <v>42262</v>
      </c>
      <c r="B116" s="8" t="s">
        <v>23</v>
      </c>
      <c r="C116">
        <v>11</v>
      </c>
      <c r="D116" s="8" t="s">
        <v>20</v>
      </c>
      <c r="F116">
        <v>2.86</v>
      </c>
      <c r="J116">
        <f>49+60+72+86+110+123+125</f>
        <v>625</v>
      </c>
      <c r="K116">
        <v>7</v>
      </c>
      <c r="L116">
        <v>125</v>
      </c>
      <c r="N116" t="str">
        <f t="shared" si="3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4.8217630000000042</v>
      </c>
      <c r="P116">
        <f t="shared" si="4"/>
        <v>4.8217630000000042</v>
      </c>
      <c r="S116">
        <f t="shared" si="5"/>
        <v>6.4242373909999992</v>
      </c>
    </row>
    <row r="117" spans="1:19">
      <c r="A117" s="7">
        <v>42262</v>
      </c>
      <c r="B117" s="8" t="s">
        <v>23</v>
      </c>
      <c r="C117">
        <v>11</v>
      </c>
      <c r="D117" s="8" t="s">
        <v>20</v>
      </c>
      <c r="F117">
        <v>4.1399999999999997</v>
      </c>
      <c r="J117">
        <f>105+130+132+140+142+149</f>
        <v>798</v>
      </c>
      <c r="K117">
        <v>6</v>
      </c>
      <c r="L117">
        <v>149</v>
      </c>
      <c r="N117" t="str">
        <f t="shared" si="3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20.833851000000003</v>
      </c>
      <c r="P117">
        <f t="shared" si="4"/>
        <v>20.833851000000003</v>
      </c>
      <c r="S117">
        <f t="shared" si="5"/>
        <v>13.461398990999998</v>
      </c>
    </row>
    <row r="118" spans="1:19">
      <c r="A118" s="7">
        <v>42262</v>
      </c>
      <c r="B118" s="8" t="s">
        <v>23</v>
      </c>
      <c r="C118">
        <v>6</v>
      </c>
      <c r="D118" s="8" t="s">
        <v>20</v>
      </c>
      <c r="F118">
        <v>5.77</v>
      </c>
      <c r="J118">
        <f>48+67+100+107+133+137+147+162+167+171+181+183</f>
        <v>1603</v>
      </c>
      <c r="K118">
        <v>12</v>
      </c>
      <c r="L118">
        <v>183</v>
      </c>
      <c r="N118" t="str">
        <f t="shared" si="3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43.930177999999998</v>
      </c>
      <c r="P118">
        <f t="shared" si="4"/>
        <v>43.930177999999998</v>
      </c>
      <c r="S118">
        <f t="shared" si="5"/>
        <v>26.148160427749996</v>
      </c>
    </row>
    <row r="119" spans="1:19">
      <c r="A119" s="7">
        <v>42262</v>
      </c>
      <c r="B119" s="8" t="s">
        <v>23</v>
      </c>
      <c r="C119">
        <v>6</v>
      </c>
      <c r="D119" s="8" t="s">
        <v>20</v>
      </c>
      <c r="F119">
        <v>1.62</v>
      </c>
      <c r="J119">
        <f>45+45+80+113+131+144</f>
        <v>558</v>
      </c>
      <c r="K119">
        <v>6</v>
      </c>
      <c r="L119">
        <v>144</v>
      </c>
      <c r="N119" t="str">
        <f t="shared" si="3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-0.16112399999999383</v>
      </c>
      <c r="P119" t="str">
        <f t="shared" si="4"/>
        <v xml:space="preserve"> </v>
      </c>
      <c r="S119">
        <f t="shared" si="5"/>
        <v>2.0611971990000004</v>
      </c>
    </row>
    <row r="120" spans="1:19">
      <c r="A120" s="7">
        <v>42262</v>
      </c>
      <c r="B120" s="8" t="s">
        <v>23</v>
      </c>
      <c r="C120">
        <v>6</v>
      </c>
      <c r="D120" s="8" t="s">
        <v>20</v>
      </c>
      <c r="F120">
        <v>0.52</v>
      </c>
      <c r="J120">
        <f>24+60+81</f>
        <v>165</v>
      </c>
      <c r="K120">
        <v>3</v>
      </c>
      <c r="L120">
        <v>81</v>
      </c>
      <c r="N120" t="str">
        <f t="shared" si="3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3.0386549999999986</v>
      </c>
      <c r="P120">
        <f t="shared" si="4"/>
        <v>3.0386549999999986</v>
      </c>
      <c r="S120">
        <f t="shared" si="5"/>
        <v>0.21237148400000003</v>
      </c>
    </row>
    <row r="121" spans="1:19">
      <c r="A121" s="7">
        <v>42262</v>
      </c>
      <c r="B121" s="8" t="s">
        <v>23</v>
      </c>
      <c r="C121">
        <v>6</v>
      </c>
      <c r="D121" s="8" t="s">
        <v>20</v>
      </c>
      <c r="F121">
        <v>2.35</v>
      </c>
      <c r="J121">
        <f>53+78+102+115+135+149+155</f>
        <v>787</v>
      </c>
      <c r="K121">
        <v>7</v>
      </c>
      <c r="L121">
        <v>155</v>
      </c>
      <c r="N121" t="str">
        <f t="shared" si="3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10.972723000000002</v>
      </c>
      <c r="P121">
        <f t="shared" si="4"/>
        <v>10.972723000000002</v>
      </c>
      <c r="S121">
        <f t="shared" si="5"/>
        <v>4.3373576937500005</v>
      </c>
    </row>
    <row r="122" spans="1:19">
      <c r="A122" s="7">
        <v>42262</v>
      </c>
      <c r="B122" s="8" t="s">
        <v>23</v>
      </c>
      <c r="C122">
        <v>6</v>
      </c>
      <c r="D122" s="8" t="s">
        <v>20</v>
      </c>
      <c r="F122">
        <v>5.15</v>
      </c>
      <c r="J122">
        <f>166+183+193+190+197</f>
        <v>929</v>
      </c>
      <c r="K122">
        <v>5</v>
      </c>
      <c r="L122">
        <v>197</v>
      </c>
      <c r="N122" t="str">
        <f t="shared" si="3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25.678349000000011</v>
      </c>
      <c r="P122">
        <f t="shared" si="4"/>
        <v>25.678349000000011</v>
      </c>
      <c r="S122">
        <f t="shared" si="5"/>
        <v>20.830705193750003</v>
      </c>
    </row>
    <row r="123" spans="1:19">
      <c r="A123" s="7">
        <v>42262</v>
      </c>
      <c r="B123" s="8" t="s">
        <v>23</v>
      </c>
      <c r="C123">
        <v>6</v>
      </c>
      <c r="D123" s="8" t="s">
        <v>20</v>
      </c>
      <c r="F123">
        <v>2.21</v>
      </c>
      <c r="J123">
        <f>78+121+161+166+189</f>
        <v>715</v>
      </c>
      <c r="K123">
        <v>5</v>
      </c>
      <c r="L123">
        <v>189</v>
      </c>
      <c r="N123" t="str">
        <f t="shared" si="3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8.0247389999999967</v>
      </c>
      <c r="P123">
        <f t="shared" si="4"/>
        <v>8.0247389999999967</v>
      </c>
      <c r="S123">
        <f t="shared" si="5"/>
        <v>3.83595992975</v>
      </c>
    </row>
    <row r="124" spans="1:19">
      <c r="A124" s="7">
        <v>42262</v>
      </c>
      <c r="B124" s="8" t="s">
        <v>23</v>
      </c>
      <c r="C124">
        <v>6</v>
      </c>
      <c r="D124" s="8" t="s">
        <v>20</v>
      </c>
      <c r="F124">
        <v>5.0199999999999996</v>
      </c>
      <c r="J124">
        <f>53+89+83+121+171+175+176</f>
        <v>868</v>
      </c>
      <c r="K124">
        <v>7</v>
      </c>
      <c r="L124">
        <v>176</v>
      </c>
      <c r="N124" t="str">
        <f t="shared" si="3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12.240732999999999</v>
      </c>
      <c r="P124">
        <f t="shared" si="4"/>
        <v>12.240732999999999</v>
      </c>
      <c r="S124">
        <f t="shared" si="5"/>
        <v>19.792331158999996</v>
      </c>
    </row>
    <row r="125" spans="1:19">
      <c r="A125" s="7">
        <v>42262</v>
      </c>
      <c r="B125" s="8" t="s">
        <v>23</v>
      </c>
      <c r="C125">
        <v>6</v>
      </c>
      <c r="D125" s="8" t="s">
        <v>20</v>
      </c>
      <c r="F125">
        <v>1.72</v>
      </c>
      <c r="J125">
        <f>67+98+128+141</f>
        <v>434</v>
      </c>
      <c r="K125">
        <v>4</v>
      </c>
      <c r="L125">
        <v>141</v>
      </c>
      <c r="N125" t="str">
        <f t="shared" si="3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3.1616970000000002</v>
      </c>
      <c r="P125">
        <f t="shared" si="4"/>
        <v>3.1616970000000002</v>
      </c>
      <c r="S125">
        <f t="shared" si="5"/>
        <v>2.3235199639999995</v>
      </c>
    </row>
    <row r="126" spans="1:19">
      <c r="A126" s="7">
        <v>42262</v>
      </c>
      <c r="B126" s="8" t="s">
        <v>23</v>
      </c>
      <c r="C126">
        <v>6</v>
      </c>
      <c r="D126" s="8" t="s">
        <v>20</v>
      </c>
      <c r="F126">
        <v>1.71</v>
      </c>
      <c r="J126">
        <f>62+64+101+149+158</f>
        <v>534</v>
      </c>
      <c r="K126">
        <v>5</v>
      </c>
      <c r="L126">
        <v>158</v>
      </c>
      <c r="N126" t="str">
        <f t="shared" si="3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0.39367900000000589</v>
      </c>
      <c r="P126">
        <f t="shared" si="4"/>
        <v>0.39367900000000589</v>
      </c>
      <c r="S126">
        <f t="shared" si="5"/>
        <v>2.2965808297499999</v>
      </c>
    </row>
    <row r="127" spans="1:19">
      <c r="A127" s="7">
        <v>42262</v>
      </c>
      <c r="B127" s="8" t="s">
        <v>23</v>
      </c>
      <c r="C127">
        <v>6</v>
      </c>
      <c r="D127" s="8" t="s">
        <v>20</v>
      </c>
      <c r="F127">
        <v>1.81</v>
      </c>
      <c r="J127" s="8">
        <f>85+120+152+167</f>
        <v>524</v>
      </c>
      <c r="K127">
        <v>4</v>
      </c>
      <c r="L127">
        <v>167</v>
      </c>
      <c r="N127" t="str">
        <f t="shared" si="3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3.7672770000000035</v>
      </c>
      <c r="P127">
        <f t="shared" si="4"/>
        <v>3.7672770000000035</v>
      </c>
      <c r="S127">
        <f t="shared" si="5"/>
        <v>2.5730407497500001</v>
      </c>
    </row>
    <row r="128" spans="1:19">
      <c r="A128" s="7">
        <v>42262</v>
      </c>
      <c r="B128" s="8" t="s">
        <v>23</v>
      </c>
      <c r="C128">
        <v>6</v>
      </c>
      <c r="D128" s="8" t="s">
        <v>20</v>
      </c>
      <c r="F128">
        <v>0.94</v>
      </c>
      <c r="J128">
        <f>86+113+130+151</f>
        <v>480</v>
      </c>
      <c r="K128">
        <v>4</v>
      </c>
      <c r="L128">
        <v>151</v>
      </c>
      <c r="N128" t="str">
        <f t="shared" si="3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4.461977000000001</v>
      </c>
      <c r="P128">
        <f t="shared" si="4"/>
        <v>4.461977000000001</v>
      </c>
      <c r="S128">
        <f t="shared" si="5"/>
        <v>0.69397723099999997</v>
      </c>
    </row>
    <row r="129" spans="1:19">
      <c r="A129" s="7">
        <v>42262</v>
      </c>
      <c r="B129" s="8" t="s">
        <v>23</v>
      </c>
      <c r="C129">
        <v>6</v>
      </c>
      <c r="D129" s="8" t="s">
        <v>20</v>
      </c>
      <c r="F129">
        <v>1.55</v>
      </c>
      <c r="J129">
        <f>75+76+85+120+120+157+157</f>
        <v>790</v>
      </c>
      <c r="K129">
        <v>7</v>
      </c>
      <c r="L129">
        <v>157</v>
      </c>
      <c r="N129" t="str">
        <f t="shared" si="3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10.651498000000004</v>
      </c>
      <c r="P129">
        <f t="shared" si="4"/>
        <v>10.651498000000004</v>
      </c>
      <c r="S129">
        <f t="shared" si="5"/>
        <v>1.8869174937500002</v>
      </c>
    </row>
    <row r="130" spans="1:19">
      <c r="A130" s="7">
        <v>42269</v>
      </c>
      <c r="B130" s="8" t="s">
        <v>25</v>
      </c>
      <c r="C130">
        <v>42</v>
      </c>
      <c r="D130" s="8" t="s">
        <v>20</v>
      </c>
      <c r="F130">
        <v>1.2</v>
      </c>
      <c r="J130">
        <f>92+45</f>
        <v>137</v>
      </c>
      <c r="K130">
        <v>2</v>
      </c>
      <c r="L130">
        <v>92</v>
      </c>
      <c r="N130" t="str">
        <f t="shared" si="3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4.1221729999999965</v>
      </c>
      <c r="P130">
        <f t="shared" si="4"/>
        <v>4.1221729999999965</v>
      </c>
      <c r="S130">
        <f t="shared" si="5"/>
        <v>1.1309723999999999</v>
      </c>
    </row>
    <row r="131" spans="1:19">
      <c r="A131" s="7">
        <v>42269</v>
      </c>
      <c r="B131" s="8" t="s">
        <v>25</v>
      </c>
      <c r="C131">
        <v>42</v>
      </c>
      <c r="D131" s="8" t="s">
        <v>20</v>
      </c>
      <c r="F131">
        <v>1.75</v>
      </c>
      <c r="J131">
        <f>109+182+220</f>
        <v>511</v>
      </c>
      <c r="K131">
        <v>3</v>
      </c>
      <c r="L131">
        <v>220</v>
      </c>
      <c r="N131" t="str">
        <f t="shared" si="3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-6.3951700000000002</v>
      </c>
      <c r="P131" t="str">
        <f t="shared" si="4"/>
        <v xml:space="preserve"> </v>
      </c>
      <c r="S131">
        <f t="shared" si="5"/>
        <v>2.4052798437499998</v>
      </c>
    </row>
    <row r="132" spans="1:19">
      <c r="A132" s="7">
        <v>42269</v>
      </c>
      <c r="B132" s="8" t="s">
        <v>25</v>
      </c>
      <c r="C132">
        <v>42</v>
      </c>
      <c r="D132" s="8" t="s">
        <v>21</v>
      </c>
      <c r="F132">
        <v>1.22</v>
      </c>
      <c r="J132">
        <f>237+265+289+276+266+280+280</f>
        <v>1893</v>
      </c>
      <c r="K132">
        <v>7</v>
      </c>
      <c r="L132">
        <v>289</v>
      </c>
      <c r="N132" t="str">
        <f t="shared" ref="N132:N195" si="6"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74.29892300000003</v>
      </c>
      <c r="P132">
        <f t="shared" si="4"/>
        <v>74.29892300000003</v>
      </c>
      <c r="S132">
        <f t="shared" si="5"/>
        <v>1.168985639</v>
      </c>
    </row>
    <row r="133" spans="1:19">
      <c r="A133" s="7">
        <v>42269</v>
      </c>
      <c r="B133" s="8" t="s">
        <v>25</v>
      </c>
      <c r="C133">
        <v>42</v>
      </c>
      <c r="D133" s="8" t="s">
        <v>20</v>
      </c>
      <c r="F133">
        <v>3.78</v>
      </c>
      <c r="J133">
        <f>140+197+249+271+278</f>
        <v>1135</v>
      </c>
      <c r="K133">
        <v>5</v>
      </c>
      <c r="L133">
        <v>278</v>
      </c>
      <c r="N133" t="str">
        <f t="shared" si="6"/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20.591034000000001</v>
      </c>
      <c r="P133">
        <f t="shared" ref="P133:P196" si="7">IF(O133&lt;0," ",O133)</f>
        <v>20.591034000000001</v>
      </c>
      <c r="S133">
        <f t="shared" ref="S133:S196" si="8">3.14159*((F133/2)^2)</f>
        <v>11.222073639</v>
      </c>
    </row>
    <row r="134" spans="1:19">
      <c r="A134" s="7">
        <v>42269</v>
      </c>
      <c r="B134" s="8" t="s">
        <v>25</v>
      </c>
      <c r="C134">
        <v>42</v>
      </c>
      <c r="D134" s="8" t="s">
        <v>20</v>
      </c>
      <c r="F134">
        <v>0.76</v>
      </c>
      <c r="J134">
        <f>83+123+160+194+210</f>
        <v>770</v>
      </c>
      <c r="K134">
        <v>5</v>
      </c>
      <c r="L134">
        <v>210</v>
      </c>
      <c r="N134" t="str">
        <f t="shared" si="6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6.855119000000002</v>
      </c>
      <c r="P134">
        <f t="shared" si="7"/>
        <v>6.855119000000002</v>
      </c>
      <c r="S134">
        <f t="shared" si="8"/>
        <v>0.45364559599999998</v>
      </c>
    </row>
    <row r="135" spans="1:19">
      <c r="A135" s="7">
        <v>42269</v>
      </c>
      <c r="B135" s="8" t="s">
        <v>25</v>
      </c>
      <c r="C135">
        <v>42</v>
      </c>
      <c r="D135" s="8" t="s">
        <v>20</v>
      </c>
      <c r="F135">
        <v>2.89</v>
      </c>
      <c r="J135">
        <f>70+103+150+198+250</f>
        <v>771</v>
      </c>
      <c r="K135">
        <v>5</v>
      </c>
      <c r="L135">
        <v>250</v>
      </c>
      <c r="N135" t="str">
        <f t="shared" si="6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-5.1009260000000012</v>
      </c>
      <c r="P135" t="str">
        <f t="shared" si="7"/>
        <v xml:space="preserve"> </v>
      </c>
      <c r="S135">
        <f t="shared" si="8"/>
        <v>6.55971845975</v>
      </c>
    </row>
    <row r="136" spans="1:19">
      <c r="A136" s="7">
        <v>42269</v>
      </c>
      <c r="B136" s="8" t="s">
        <v>25</v>
      </c>
      <c r="C136">
        <v>42</v>
      </c>
      <c r="D136" s="8" t="s">
        <v>20</v>
      </c>
      <c r="F136">
        <v>1.1299999999999999</v>
      </c>
      <c r="J136">
        <f>35+37+52+62</f>
        <v>186</v>
      </c>
      <c r="K136">
        <v>4</v>
      </c>
      <c r="L136">
        <v>62</v>
      </c>
      <c r="N136" t="str">
        <f t="shared" si="6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3.7088119999999982</v>
      </c>
      <c r="P136">
        <f t="shared" si="7"/>
        <v>3.7088119999999982</v>
      </c>
      <c r="S136">
        <f t="shared" si="8"/>
        <v>1.0028740677499997</v>
      </c>
    </row>
    <row r="137" spans="1:19">
      <c r="A137" s="7">
        <v>42269</v>
      </c>
      <c r="B137" s="8" t="s">
        <v>25</v>
      </c>
      <c r="C137">
        <v>42</v>
      </c>
      <c r="D137" s="8" t="s">
        <v>20</v>
      </c>
      <c r="F137">
        <v>7.53</v>
      </c>
      <c r="J137">
        <f>180+233+258+329+360+366+362+367+374</f>
        <v>2829</v>
      </c>
      <c r="K137">
        <v>9</v>
      </c>
      <c r="L137">
        <v>374</v>
      </c>
      <c r="N137" t="str">
        <f t="shared" si="6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122.40307200000004</v>
      </c>
      <c r="P137">
        <f t="shared" si="7"/>
        <v>122.40307200000004</v>
      </c>
      <c r="S137">
        <f t="shared" si="8"/>
        <v>44.532745107750003</v>
      </c>
    </row>
    <row r="138" spans="1:19">
      <c r="A138" s="7">
        <v>42269</v>
      </c>
      <c r="B138" s="8" t="s">
        <v>25</v>
      </c>
      <c r="C138">
        <v>42</v>
      </c>
      <c r="D138" s="8" t="s">
        <v>20</v>
      </c>
      <c r="F138">
        <v>6.55</v>
      </c>
      <c r="J138">
        <f>104+213+267+270+274</f>
        <v>1128</v>
      </c>
      <c r="K138">
        <v>5</v>
      </c>
      <c r="L138">
        <v>274</v>
      </c>
      <c r="N138" t="str">
        <f t="shared" si="6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21.13972900000001</v>
      </c>
      <c r="P138">
        <f t="shared" si="7"/>
        <v>21.13972900000001</v>
      </c>
      <c r="S138">
        <f t="shared" si="8"/>
        <v>33.695516243749999</v>
      </c>
    </row>
    <row r="139" spans="1:19">
      <c r="A139" s="7">
        <v>42269</v>
      </c>
      <c r="B139" s="8" t="s">
        <v>25</v>
      </c>
      <c r="C139">
        <v>33</v>
      </c>
      <c r="D139" s="8" t="s">
        <v>20</v>
      </c>
      <c r="F139">
        <v>1.57</v>
      </c>
      <c r="J139">
        <f>33+89+56+101+116</f>
        <v>395</v>
      </c>
      <c r="K139">
        <v>5</v>
      </c>
      <c r="L139">
        <v>116</v>
      </c>
      <c r="N139" t="str">
        <f t="shared" si="6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1.4023999999999148E-2</v>
      </c>
      <c r="P139">
        <f t="shared" si="7"/>
        <v>1.4023999999999148E-2</v>
      </c>
      <c r="S139">
        <f t="shared" si="8"/>
        <v>1.93592629775</v>
      </c>
    </row>
    <row r="140" spans="1:19">
      <c r="A140" s="7">
        <v>42269</v>
      </c>
      <c r="B140" s="8" t="s">
        <v>25</v>
      </c>
      <c r="C140">
        <v>33</v>
      </c>
      <c r="D140" s="8" t="s">
        <v>20</v>
      </c>
      <c r="F140">
        <v>2.85</v>
      </c>
      <c r="J140">
        <f>54+51+129+181+241</f>
        <v>656</v>
      </c>
      <c r="K140">
        <v>5</v>
      </c>
      <c r="L140">
        <v>241</v>
      </c>
      <c r="N140" t="str">
        <f t="shared" si="6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-13.171545999999992</v>
      </c>
      <c r="P140" t="str">
        <f t="shared" si="7"/>
        <v xml:space="preserve"> </v>
      </c>
      <c r="S140">
        <f t="shared" si="8"/>
        <v>6.3793911937500001</v>
      </c>
    </row>
    <row r="141" spans="1:19">
      <c r="A141" s="7">
        <v>42269</v>
      </c>
      <c r="B141" s="8" t="s">
        <v>25</v>
      </c>
      <c r="C141">
        <v>33</v>
      </c>
      <c r="D141" s="8" t="s">
        <v>20</v>
      </c>
      <c r="F141">
        <v>1.65</v>
      </c>
      <c r="J141">
        <f>59+70+100+133+135</f>
        <v>497</v>
      </c>
      <c r="K141">
        <v>5</v>
      </c>
      <c r="L141">
        <v>135</v>
      </c>
      <c r="N141" t="str">
        <f t="shared" si="6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3.8533790000000039</v>
      </c>
      <c r="P141">
        <f t="shared" si="7"/>
        <v>3.8533790000000039</v>
      </c>
      <c r="S141">
        <f t="shared" si="8"/>
        <v>2.1382446937499995</v>
      </c>
    </row>
    <row r="142" spans="1:19">
      <c r="A142" s="7">
        <v>42269</v>
      </c>
      <c r="B142" s="8" t="s">
        <v>25</v>
      </c>
      <c r="C142">
        <v>33</v>
      </c>
      <c r="D142" s="8" t="s">
        <v>20</v>
      </c>
      <c r="F142">
        <v>7.6</v>
      </c>
      <c r="J142">
        <f>59+166+204+226+230+241+248+262+262+258+272</f>
        <v>2428</v>
      </c>
      <c r="K142">
        <v>11</v>
      </c>
      <c r="L142">
        <v>272</v>
      </c>
      <c r="N142" t="str">
        <f t="shared" si="6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101.48960100000002</v>
      </c>
      <c r="P142">
        <f t="shared" si="7"/>
        <v>101.48960100000002</v>
      </c>
      <c r="S142">
        <f t="shared" si="8"/>
        <v>45.3645596</v>
      </c>
    </row>
    <row r="143" spans="1:19">
      <c r="A143" s="7">
        <v>42269</v>
      </c>
      <c r="B143" s="8" t="s">
        <v>25</v>
      </c>
      <c r="C143">
        <v>33</v>
      </c>
      <c r="D143" s="8" t="s">
        <v>20</v>
      </c>
      <c r="F143">
        <v>2.5299999999999998</v>
      </c>
      <c r="J143">
        <f>44+81+99+99+124+187</f>
        <v>634</v>
      </c>
      <c r="K143">
        <v>6</v>
      </c>
      <c r="L143">
        <v>187</v>
      </c>
      <c r="N143" t="str">
        <f t="shared" si="6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-5.9892789999999962</v>
      </c>
      <c r="P143" t="str">
        <f t="shared" si="7"/>
        <v xml:space="preserve"> </v>
      </c>
      <c r="S143">
        <f t="shared" si="8"/>
        <v>5.0272508577499995</v>
      </c>
    </row>
    <row r="144" spans="1:19">
      <c r="A144" s="7">
        <v>42269</v>
      </c>
      <c r="B144" s="8" t="s">
        <v>25</v>
      </c>
      <c r="C144">
        <v>33</v>
      </c>
      <c r="D144" s="8" t="s">
        <v>20</v>
      </c>
      <c r="F144">
        <v>0.63</v>
      </c>
      <c r="J144">
        <f>13+41+48+66</f>
        <v>168</v>
      </c>
      <c r="K144">
        <v>4</v>
      </c>
      <c r="L144">
        <v>66</v>
      </c>
      <c r="N144" t="str">
        <f t="shared" si="6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0.81624199999999547</v>
      </c>
      <c r="P144">
        <f t="shared" si="7"/>
        <v>0.81624199999999547</v>
      </c>
      <c r="S144">
        <f t="shared" si="8"/>
        <v>0.31172426775000001</v>
      </c>
    </row>
    <row r="145" spans="1:19">
      <c r="A145" s="7">
        <v>42269</v>
      </c>
      <c r="B145" s="8" t="s">
        <v>25</v>
      </c>
      <c r="C145">
        <v>33</v>
      </c>
      <c r="D145" s="8" t="s">
        <v>20</v>
      </c>
      <c r="F145">
        <v>3.68</v>
      </c>
      <c r="J145">
        <f>95+166+177+215+224</f>
        <v>877</v>
      </c>
      <c r="K145">
        <v>5</v>
      </c>
      <c r="L145">
        <v>224</v>
      </c>
      <c r="N145" t="str">
        <f t="shared" si="6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12.669473999999994</v>
      </c>
      <c r="P145">
        <f t="shared" si="7"/>
        <v>12.669473999999994</v>
      </c>
      <c r="S145">
        <f t="shared" si="8"/>
        <v>10.636167104</v>
      </c>
    </row>
    <row r="146" spans="1:19">
      <c r="A146" s="7">
        <v>42269</v>
      </c>
      <c r="B146" s="8" t="s">
        <v>25</v>
      </c>
      <c r="C146">
        <v>33</v>
      </c>
      <c r="D146" s="8" t="s">
        <v>20</v>
      </c>
      <c r="F146">
        <v>2.12</v>
      </c>
      <c r="J146">
        <f>50+54+66+76+139</f>
        <v>385</v>
      </c>
      <c r="K146">
        <v>5</v>
      </c>
      <c r="L146">
        <v>139</v>
      </c>
      <c r="N146" t="str">
        <f t="shared" si="6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-7.8521610000000024</v>
      </c>
      <c r="P146" t="str">
        <f t="shared" si="7"/>
        <v xml:space="preserve"> </v>
      </c>
      <c r="S146">
        <f t="shared" si="8"/>
        <v>3.5298905240000003</v>
      </c>
    </row>
    <row r="147" spans="1:19">
      <c r="A147" s="7">
        <v>42269</v>
      </c>
      <c r="B147" s="8" t="s">
        <v>25</v>
      </c>
      <c r="C147">
        <v>31</v>
      </c>
      <c r="D147" s="8" t="s">
        <v>20</v>
      </c>
      <c r="F147">
        <v>0.69</v>
      </c>
      <c r="J147">
        <f>56+96+129+147+158+184+187+220</f>
        <v>1177</v>
      </c>
      <c r="K147">
        <v>8</v>
      </c>
      <c r="L147">
        <v>220</v>
      </c>
      <c r="N147" t="str">
        <f t="shared" si="6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20.933895000000007</v>
      </c>
      <c r="P147">
        <f t="shared" si="7"/>
        <v>20.933895000000007</v>
      </c>
      <c r="S147">
        <f t="shared" si="8"/>
        <v>0.37392774974999993</v>
      </c>
    </row>
    <row r="148" spans="1:19">
      <c r="A148" s="7">
        <v>42269</v>
      </c>
      <c r="B148" s="8" t="s">
        <v>25</v>
      </c>
      <c r="C148">
        <v>31</v>
      </c>
      <c r="D148" s="8" t="s">
        <v>20</v>
      </c>
      <c r="F148">
        <v>2.75</v>
      </c>
      <c r="J148">
        <f>82+93+139+140+180+186+207</f>
        <v>1027</v>
      </c>
      <c r="K148">
        <v>7</v>
      </c>
      <c r="L148">
        <v>207</v>
      </c>
      <c r="N148" t="str">
        <f t="shared" si="6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17.809183000000012</v>
      </c>
      <c r="P148">
        <f t="shared" si="7"/>
        <v>17.809183000000012</v>
      </c>
      <c r="S148">
        <f t="shared" si="8"/>
        <v>5.9395685937499998</v>
      </c>
    </row>
    <row r="149" spans="1:19">
      <c r="A149" s="7">
        <v>42269</v>
      </c>
      <c r="B149" s="8" t="s">
        <v>25</v>
      </c>
      <c r="C149">
        <v>31</v>
      </c>
      <c r="D149" s="8" t="s">
        <v>20</v>
      </c>
      <c r="F149">
        <v>1.22</v>
      </c>
      <c r="J149">
        <f>85+112+138+184+186</f>
        <v>705</v>
      </c>
      <c r="K149">
        <v>5</v>
      </c>
      <c r="L149">
        <v>186</v>
      </c>
      <c r="N149" t="str">
        <f t="shared" si="6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7.9909240000000139</v>
      </c>
      <c r="P149">
        <f t="shared" si="7"/>
        <v>7.9909240000000139</v>
      </c>
      <c r="S149">
        <f t="shared" si="8"/>
        <v>1.168985639</v>
      </c>
    </row>
    <row r="150" spans="1:19">
      <c r="A150" s="7">
        <v>42269</v>
      </c>
      <c r="B150" s="8" t="s">
        <v>25</v>
      </c>
      <c r="C150">
        <v>31</v>
      </c>
      <c r="D150" s="8" t="s">
        <v>20</v>
      </c>
      <c r="F150">
        <v>11.36</v>
      </c>
      <c r="J150">
        <f>135+165+210+224+254+241+254+264+265+272+264+271+272+275+280</f>
        <v>3646</v>
      </c>
      <c r="K150">
        <v>15</v>
      </c>
      <c r="L150">
        <v>280</v>
      </c>
      <c r="N150" t="str">
        <f t="shared" si="6"/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185.183819</v>
      </c>
      <c r="P150">
        <f t="shared" si="7"/>
        <v>185.183819</v>
      </c>
      <c r="S150">
        <f t="shared" si="8"/>
        <v>101.35523321599999</v>
      </c>
    </row>
    <row r="151" spans="1:19">
      <c r="A151" s="7">
        <v>42269</v>
      </c>
      <c r="B151" s="8" t="s">
        <v>25</v>
      </c>
      <c r="C151">
        <v>31</v>
      </c>
      <c r="D151" s="8" t="s">
        <v>20</v>
      </c>
      <c r="F151">
        <v>3.12</v>
      </c>
      <c r="J151">
        <f>56+124+171+120+201+232+264+254</f>
        <v>1422</v>
      </c>
      <c r="K151">
        <v>8</v>
      </c>
      <c r="L151">
        <v>264</v>
      </c>
      <c r="N151" t="str">
        <f t="shared" si="6"/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30.649090000000022</v>
      </c>
      <c r="P151">
        <f t="shared" si="7"/>
        <v>30.649090000000022</v>
      </c>
      <c r="S151">
        <f t="shared" si="8"/>
        <v>7.6453734240000006</v>
      </c>
    </row>
    <row r="152" spans="1:19">
      <c r="A152" s="7">
        <v>42269</v>
      </c>
      <c r="B152" s="8" t="s">
        <v>25</v>
      </c>
      <c r="C152">
        <v>31</v>
      </c>
      <c r="D152" s="8" t="s">
        <v>20</v>
      </c>
      <c r="F152">
        <v>2.91</v>
      </c>
      <c r="J152">
        <f>65+130+149+152+19+212+214</f>
        <v>941</v>
      </c>
      <c r="K152">
        <v>7</v>
      </c>
      <c r="L152">
        <v>214</v>
      </c>
      <c r="N152" t="str">
        <f t="shared" si="6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7.6375379999999993</v>
      </c>
      <c r="P152">
        <f t="shared" si="7"/>
        <v>7.6375379999999993</v>
      </c>
      <c r="S152">
        <f t="shared" si="8"/>
        <v>6.650824569750001</v>
      </c>
    </row>
    <row r="153" spans="1:19">
      <c r="A153" s="7">
        <v>42269</v>
      </c>
      <c r="B153" s="8" t="s">
        <v>25</v>
      </c>
      <c r="C153">
        <v>31</v>
      </c>
      <c r="D153" s="8" t="s">
        <v>20</v>
      </c>
      <c r="F153">
        <v>2.46</v>
      </c>
      <c r="J153">
        <f>87+140+169+232+246</f>
        <v>874</v>
      </c>
      <c r="K153">
        <v>5</v>
      </c>
      <c r="L153">
        <v>246</v>
      </c>
      <c r="N153" t="str">
        <f t="shared" si="6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5.7608190000000121</v>
      </c>
      <c r="P153">
        <f t="shared" si="7"/>
        <v>5.7608190000000121</v>
      </c>
      <c r="S153">
        <f t="shared" si="8"/>
        <v>4.7529115109999998</v>
      </c>
    </row>
    <row r="154" spans="1:19">
      <c r="A154" s="7">
        <v>42269</v>
      </c>
      <c r="B154" s="8" t="s">
        <v>25</v>
      </c>
      <c r="C154">
        <v>31</v>
      </c>
      <c r="D154" s="8" t="s">
        <v>20</v>
      </c>
      <c r="F154">
        <v>3.86</v>
      </c>
      <c r="J154">
        <f>131+196+230+251+273+283+287+129+167</f>
        <v>1947</v>
      </c>
      <c r="K154">
        <v>9</v>
      </c>
      <c r="L154">
        <v>287</v>
      </c>
      <c r="N154" t="str">
        <f t="shared" si="6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65.919477000000001</v>
      </c>
      <c r="P154">
        <f t="shared" si="7"/>
        <v>65.919477000000001</v>
      </c>
      <c r="S154">
        <f t="shared" si="8"/>
        <v>11.702108591</v>
      </c>
    </row>
    <row r="155" spans="1:19">
      <c r="A155" s="7">
        <v>42269</v>
      </c>
      <c r="B155" s="8" t="s">
        <v>25</v>
      </c>
      <c r="C155">
        <v>31</v>
      </c>
      <c r="D155" s="8" t="s">
        <v>20</v>
      </c>
      <c r="F155">
        <v>1.96</v>
      </c>
      <c r="J155">
        <f>67+89+111+112+145+157+171</f>
        <v>852</v>
      </c>
      <c r="K155">
        <v>7</v>
      </c>
      <c r="L155">
        <v>171</v>
      </c>
      <c r="N155" t="str">
        <f t="shared" si="6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12.246878000000002</v>
      </c>
      <c r="P155">
        <f t="shared" si="7"/>
        <v>12.246878000000002</v>
      </c>
      <c r="S155">
        <f t="shared" si="8"/>
        <v>3.0171830359999996</v>
      </c>
    </row>
    <row r="156" spans="1:19">
      <c r="A156" s="7">
        <v>42269</v>
      </c>
      <c r="B156" s="8" t="s">
        <v>25</v>
      </c>
      <c r="C156">
        <v>31</v>
      </c>
      <c r="D156" s="8" t="s">
        <v>20</v>
      </c>
      <c r="E156">
        <v>240</v>
      </c>
      <c r="F156">
        <v>3.84</v>
      </c>
      <c r="H156">
        <v>31</v>
      </c>
      <c r="I156">
        <v>2.1</v>
      </c>
      <c r="N156" t="str">
        <f t="shared" si="6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114.24936828</v>
      </c>
      <c r="P156">
        <f t="shared" si="7"/>
        <v>114.24936828</v>
      </c>
      <c r="S156">
        <f t="shared" si="8"/>
        <v>11.581157375999998</v>
      </c>
    </row>
    <row r="157" spans="1:19">
      <c r="A157" s="7">
        <v>42269</v>
      </c>
      <c r="B157" s="8" t="s">
        <v>25</v>
      </c>
      <c r="C157">
        <v>31</v>
      </c>
      <c r="D157" s="8" t="s">
        <v>20</v>
      </c>
      <c r="F157">
        <v>0.61</v>
      </c>
      <c r="J157">
        <f>34+71+74+33</f>
        <v>212</v>
      </c>
      <c r="K157">
        <v>4</v>
      </c>
      <c r="L157">
        <v>74</v>
      </c>
      <c r="N157" t="str">
        <f t="shared" si="6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2.5315019999999997</v>
      </c>
      <c r="P157">
        <f t="shared" si="7"/>
        <v>2.5315019999999997</v>
      </c>
      <c r="S157">
        <f t="shared" si="8"/>
        <v>0.29224640974999999</v>
      </c>
    </row>
    <row r="158" spans="1:19">
      <c r="A158" s="7">
        <v>42269</v>
      </c>
      <c r="B158" s="8" t="s">
        <v>25</v>
      </c>
      <c r="C158">
        <v>31</v>
      </c>
      <c r="D158" s="8" t="s">
        <v>20</v>
      </c>
      <c r="F158">
        <v>1.75</v>
      </c>
      <c r="J158">
        <f>49+56+91+1103+129+142</f>
        <v>1570</v>
      </c>
      <c r="K158">
        <v>6</v>
      </c>
      <c r="L158">
        <v>142</v>
      </c>
      <c r="N158" t="str">
        <f t="shared" si="6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95.321426000000017</v>
      </c>
      <c r="P158">
        <f t="shared" si="7"/>
        <v>95.321426000000017</v>
      </c>
      <c r="S158">
        <f t="shared" si="8"/>
        <v>2.4052798437499998</v>
      </c>
    </row>
    <row r="159" spans="1:19">
      <c r="A159" s="7">
        <v>42269</v>
      </c>
      <c r="B159" s="8" t="s">
        <v>25</v>
      </c>
      <c r="C159">
        <v>31</v>
      </c>
      <c r="D159" s="8" t="s">
        <v>20</v>
      </c>
      <c r="F159">
        <v>2.63</v>
      </c>
      <c r="J159">
        <f>57+70+90+90+97+123+167+189</f>
        <v>883</v>
      </c>
      <c r="K159">
        <v>8</v>
      </c>
      <c r="L159">
        <v>189</v>
      </c>
      <c r="N159" t="str">
        <f t="shared" si="6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2.7085200000000071</v>
      </c>
      <c r="P159">
        <f t="shared" si="7"/>
        <v>2.7085200000000071</v>
      </c>
      <c r="S159">
        <f t="shared" si="8"/>
        <v>5.4325159677499988</v>
      </c>
    </row>
    <row r="160" spans="1:19">
      <c r="A160" s="7">
        <v>42269</v>
      </c>
      <c r="B160" s="8" t="s">
        <v>25</v>
      </c>
      <c r="C160">
        <v>31</v>
      </c>
      <c r="D160" s="8" t="s">
        <v>20</v>
      </c>
      <c r="F160">
        <v>2.12</v>
      </c>
      <c r="J160">
        <f>70+88+124+150+157+187</f>
        <v>776</v>
      </c>
      <c r="K160">
        <v>6</v>
      </c>
      <c r="L160">
        <v>187</v>
      </c>
      <c r="N160" t="str">
        <f t="shared" si="6"/>
        <v>NA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7.3239310000000089</v>
      </c>
      <c r="P160">
        <f t="shared" si="7"/>
        <v>7.3239310000000089</v>
      </c>
      <c r="S160">
        <f t="shared" si="8"/>
        <v>3.5298905240000003</v>
      </c>
    </row>
    <row r="161" spans="1:19">
      <c r="A161" s="7">
        <v>42269</v>
      </c>
      <c r="B161" s="8" t="s">
        <v>25</v>
      </c>
      <c r="C161">
        <v>31</v>
      </c>
      <c r="D161" s="8" t="s">
        <v>20</v>
      </c>
      <c r="F161">
        <v>1.78</v>
      </c>
      <c r="J161">
        <f>48+67+87+112+120+135</f>
        <v>569</v>
      </c>
      <c r="K161">
        <v>6</v>
      </c>
      <c r="L161">
        <v>135</v>
      </c>
      <c r="N161" t="str">
        <f t="shared" si="6"/>
        <v>NA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3.581386000000002</v>
      </c>
      <c r="P161">
        <f t="shared" si="7"/>
        <v>3.581386000000002</v>
      </c>
      <c r="S161">
        <f t="shared" si="8"/>
        <v>2.4884534390000002</v>
      </c>
    </row>
    <row r="162" spans="1:19">
      <c r="A162" s="7">
        <v>42269</v>
      </c>
      <c r="B162" s="8" t="s">
        <v>25</v>
      </c>
      <c r="C162">
        <v>18</v>
      </c>
      <c r="D162" s="8" t="s">
        <v>20</v>
      </c>
      <c r="F162">
        <v>2.2599999999999998</v>
      </c>
      <c r="J162">
        <f>43+57+60+58+78+111+142+165</f>
        <v>714</v>
      </c>
      <c r="K162">
        <v>8</v>
      </c>
      <c r="L162">
        <v>165</v>
      </c>
      <c r="N162" t="str">
        <f t="shared" si="6"/>
        <v>NA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-5.9061949999999896</v>
      </c>
      <c r="P162" t="str">
        <f t="shared" si="7"/>
        <v xml:space="preserve"> </v>
      </c>
      <c r="S162">
        <f t="shared" si="8"/>
        <v>4.0114962709999986</v>
      </c>
    </row>
    <row r="163" spans="1:19">
      <c r="A163" s="7">
        <v>42269</v>
      </c>
      <c r="B163" s="8" t="s">
        <v>25</v>
      </c>
      <c r="C163">
        <v>18</v>
      </c>
      <c r="D163" s="8" t="s">
        <v>20</v>
      </c>
      <c r="F163">
        <v>2.08</v>
      </c>
      <c r="J163">
        <f>51+96+134+140+155+173+188</f>
        <v>937</v>
      </c>
      <c r="K163">
        <v>7</v>
      </c>
      <c r="L163">
        <v>188</v>
      </c>
      <c r="N163" t="str">
        <f t="shared" si="6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15.094888000000012</v>
      </c>
      <c r="P163">
        <f t="shared" si="7"/>
        <v>15.094888000000012</v>
      </c>
      <c r="S163">
        <f t="shared" si="8"/>
        <v>3.3979437440000004</v>
      </c>
    </row>
    <row r="164" spans="1:19">
      <c r="A164" s="7">
        <v>42269</v>
      </c>
      <c r="B164" s="8" t="s">
        <v>25</v>
      </c>
      <c r="C164">
        <v>18</v>
      </c>
      <c r="D164" s="8" t="s">
        <v>20</v>
      </c>
      <c r="F164">
        <v>1.92</v>
      </c>
      <c r="J164">
        <f>53+79+93+101+118</f>
        <v>444</v>
      </c>
      <c r="K164">
        <v>5</v>
      </c>
      <c r="L164">
        <v>118</v>
      </c>
      <c r="N164" t="str">
        <f t="shared" si="6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4.0055290000000028</v>
      </c>
      <c r="P164">
        <f t="shared" si="7"/>
        <v>4.0055290000000028</v>
      </c>
      <c r="S164">
        <f t="shared" si="8"/>
        <v>2.8952893439999996</v>
      </c>
    </row>
    <row r="165" spans="1:19">
      <c r="A165" s="7">
        <v>42269</v>
      </c>
      <c r="B165" s="8" t="s">
        <v>25</v>
      </c>
      <c r="C165">
        <v>18</v>
      </c>
      <c r="D165" s="8" t="s">
        <v>20</v>
      </c>
      <c r="F165">
        <v>0.7</v>
      </c>
      <c r="J165">
        <f>19+20+32+30</f>
        <v>101</v>
      </c>
      <c r="K165">
        <v>4</v>
      </c>
      <c r="L165">
        <v>32</v>
      </c>
      <c r="N165" t="str">
        <f t="shared" si="6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4.7769869999999983</v>
      </c>
      <c r="P165">
        <f t="shared" si="7"/>
        <v>4.7769869999999983</v>
      </c>
      <c r="S165">
        <f t="shared" si="8"/>
        <v>0.38484477499999992</v>
      </c>
    </row>
    <row r="166" spans="1:19">
      <c r="A166" s="7">
        <v>42269</v>
      </c>
      <c r="B166" s="8" t="s">
        <v>25</v>
      </c>
      <c r="C166">
        <v>18</v>
      </c>
      <c r="D166" s="8" t="s">
        <v>20</v>
      </c>
      <c r="F166">
        <v>1.27</v>
      </c>
      <c r="J166">
        <f>65+97+108+125</f>
        <v>395</v>
      </c>
      <c r="K166">
        <v>4</v>
      </c>
      <c r="L166">
        <v>125</v>
      </c>
      <c r="N166" t="str">
        <f t="shared" si="6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4.3251719999999985</v>
      </c>
      <c r="P166">
        <f t="shared" si="7"/>
        <v>4.3251719999999985</v>
      </c>
      <c r="S166">
        <f t="shared" si="8"/>
        <v>1.26676762775</v>
      </c>
    </row>
    <row r="167" spans="1:19">
      <c r="A167" s="7">
        <v>42269</v>
      </c>
      <c r="B167" s="8" t="s">
        <v>25</v>
      </c>
      <c r="C167">
        <v>18</v>
      </c>
      <c r="D167" s="8" t="s">
        <v>20</v>
      </c>
      <c r="F167">
        <v>3.6</v>
      </c>
      <c r="J167">
        <f>45+68+96+125+139+169+179+194+198</f>
        <v>1213</v>
      </c>
      <c r="K167">
        <v>9</v>
      </c>
      <c r="L167">
        <v>196</v>
      </c>
      <c r="N167" t="str">
        <f t="shared" si="6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24.516602000000006</v>
      </c>
      <c r="P167">
        <f t="shared" si="7"/>
        <v>24.516602000000006</v>
      </c>
      <c r="S167">
        <f t="shared" si="8"/>
        <v>10.1787516</v>
      </c>
    </row>
    <row r="168" spans="1:19">
      <c r="A168" s="7">
        <v>42269</v>
      </c>
      <c r="B168" s="8" t="s">
        <v>25</v>
      </c>
      <c r="C168">
        <v>18</v>
      </c>
      <c r="D168" s="8" t="s">
        <v>20</v>
      </c>
      <c r="F168">
        <v>1.98</v>
      </c>
      <c r="J168">
        <f>51+54+87+111+113+129</f>
        <v>545</v>
      </c>
      <c r="K168">
        <v>6</v>
      </c>
      <c r="L168">
        <v>129</v>
      </c>
      <c r="N168" t="str">
        <f t="shared" si="6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3.1387360000000015</v>
      </c>
      <c r="P168">
        <f t="shared" si="7"/>
        <v>3.1387360000000015</v>
      </c>
      <c r="S168">
        <f t="shared" si="8"/>
        <v>3.079072359</v>
      </c>
    </row>
    <row r="169" spans="1:19">
      <c r="A169" s="7">
        <v>42269</v>
      </c>
      <c r="B169" s="8" t="s">
        <v>25</v>
      </c>
      <c r="C169">
        <v>18</v>
      </c>
      <c r="D169" s="8" t="s">
        <v>20</v>
      </c>
      <c r="F169">
        <v>1.59</v>
      </c>
      <c r="J169">
        <f>60+101+122+132</f>
        <v>415</v>
      </c>
      <c r="K169">
        <v>4</v>
      </c>
      <c r="L169">
        <v>132</v>
      </c>
      <c r="N169" t="str">
        <f t="shared" si="6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4.0915570000000052</v>
      </c>
      <c r="P169">
        <f t="shared" si="7"/>
        <v>4.0915570000000052</v>
      </c>
      <c r="S169">
        <f t="shared" si="8"/>
        <v>1.9855634197500001</v>
      </c>
    </row>
    <row r="170" spans="1:19">
      <c r="A170" s="7">
        <v>42269</v>
      </c>
      <c r="B170" s="8" t="s">
        <v>25</v>
      </c>
      <c r="C170">
        <v>12</v>
      </c>
      <c r="D170" s="8"/>
      <c r="M170" t="s">
        <v>26</v>
      </c>
      <c r="N170" t="str">
        <f t="shared" si="6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0</v>
      </c>
      <c r="P170">
        <f t="shared" si="7"/>
        <v>0</v>
      </c>
      <c r="S170">
        <f t="shared" si="8"/>
        <v>0</v>
      </c>
    </row>
    <row r="171" spans="1:19">
      <c r="A171" s="7">
        <v>42269</v>
      </c>
      <c r="B171" s="8" t="s">
        <v>27</v>
      </c>
      <c r="C171">
        <v>50</v>
      </c>
      <c r="D171" s="8" t="s">
        <v>20</v>
      </c>
      <c r="F171">
        <v>16.3</v>
      </c>
      <c r="J171">
        <f>130+134+236+204+299+307+325+353+353+390+306+382+382+328+357+368+371+372</f>
        <v>5597</v>
      </c>
      <c r="K171">
        <v>18</v>
      </c>
      <c r="L171">
        <v>390</v>
      </c>
      <c r="N171" t="str">
        <f t="shared" si="6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313.89581500000008</v>
      </c>
      <c r="P171">
        <f t="shared" si="7"/>
        <v>313.89581500000008</v>
      </c>
      <c r="S171">
        <f t="shared" si="8"/>
        <v>208.67226177499998</v>
      </c>
    </row>
    <row r="172" spans="1:19">
      <c r="A172" s="7">
        <v>42269</v>
      </c>
      <c r="B172" s="8" t="s">
        <v>27</v>
      </c>
      <c r="C172">
        <v>50</v>
      </c>
      <c r="D172" s="8" t="s">
        <v>20</v>
      </c>
      <c r="F172">
        <v>3.84</v>
      </c>
      <c r="J172">
        <f>63+104+114+164+180+209+234</f>
        <v>1068</v>
      </c>
      <c r="K172">
        <v>7</v>
      </c>
      <c r="L172">
        <v>234</v>
      </c>
      <c r="N172" t="str">
        <f t="shared" si="6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13.519523000000014</v>
      </c>
      <c r="P172">
        <f t="shared" si="7"/>
        <v>13.519523000000014</v>
      </c>
      <c r="S172">
        <f t="shared" si="8"/>
        <v>11.581157375999998</v>
      </c>
    </row>
    <row r="173" spans="1:19">
      <c r="A173" s="7">
        <v>42269</v>
      </c>
      <c r="B173" s="8" t="s">
        <v>27</v>
      </c>
      <c r="C173">
        <v>50</v>
      </c>
      <c r="D173" s="8" t="s">
        <v>20</v>
      </c>
      <c r="F173">
        <v>2.9</v>
      </c>
      <c r="J173">
        <f>58+46+50+64+64</f>
        <v>282</v>
      </c>
      <c r="K173">
        <v>5</v>
      </c>
      <c r="L173">
        <v>64</v>
      </c>
      <c r="N173" t="str">
        <f t="shared" si="6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5.0844489999999993</v>
      </c>
      <c r="P173">
        <f t="shared" si="7"/>
        <v>5.0844489999999993</v>
      </c>
      <c r="S173">
        <f t="shared" si="8"/>
        <v>6.6051929749999996</v>
      </c>
    </row>
    <row r="174" spans="1:19">
      <c r="A174" s="7">
        <v>42269</v>
      </c>
      <c r="B174" s="8" t="s">
        <v>27</v>
      </c>
      <c r="C174">
        <v>50</v>
      </c>
      <c r="D174" s="8" t="s">
        <v>21</v>
      </c>
      <c r="E174">
        <v>326</v>
      </c>
      <c r="F174">
        <v>4.7300000000000004</v>
      </c>
      <c r="H174">
        <v>27</v>
      </c>
      <c r="I174">
        <v>2.2000000000000002</v>
      </c>
      <c r="N174" t="str">
        <f t="shared" si="6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155.55416661000004</v>
      </c>
      <c r="P174">
        <f t="shared" si="7"/>
        <v>155.55416661000004</v>
      </c>
      <c r="S174">
        <f t="shared" si="8"/>
        <v>17.571619727750004</v>
      </c>
    </row>
    <row r="175" spans="1:19">
      <c r="A175" s="7">
        <v>42269</v>
      </c>
      <c r="B175" s="8" t="s">
        <v>27</v>
      </c>
      <c r="C175">
        <v>50</v>
      </c>
      <c r="D175" s="8" t="s">
        <v>20</v>
      </c>
      <c r="F175">
        <v>13.48</v>
      </c>
      <c r="J175">
        <f>330+376+397+405+417+230+297+343+366+376+388+398</f>
        <v>4323</v>
      </c>
      <c r="K175">
        <v>12</v>
      </c>
      <c r="L175">
        <v>417</v>
      </c>
      <c r="N175" t="str">
        <f t="shared" si="6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228.45244799999998</v>
      </c>
      <c r="P175">
        <f t="shared" si="7"/>
        <v>228.45244799999998</v>
      </c>
      <c r="S175">
        <f t="shared" si="8"/>
        <v>142.71489388400002</v>
      </c>
    </row>
    <row r="176" spans="1:19">
      <c r="A176" s="7">
        <v>42269</v>
      </c>
      <c r="B176" s="8" t="s">
        <v>27</v>
      </c>
      <c r="C176">
        <v>50</v>
      </c>
      <c r="D176" s="8" t="s">
        <v>21</v>
      </c>
      <c r="E176">
        <v>363</v>
      </c>
      <c r="F176">
        <v>4.2</v>
      </c>
      <c r="H176">
        <v>37</v>
      </c>
      <c r="I176">
        <v>2.6</v>
      </c>
      <c r="N176" t="str">
        <f t="shared" si="6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172.88094820000003</v>
      </c>
      <c r="P176">
        <f t="shared" si="7"/>
        <v>172.88094820000003</v>
      </c>
      <c r="S176">
        <f t="shared" si="8"/>
        <v>13.854411900000001</v>
      </c>
    </row>
    <row r="177" spans="1:19">
      <c r="A177" s="7">
        <v>42269</v>
      </c>
      <c r="B177" s="8" t="s">
        <v>27</v>
      </c>
      <c r="C177">
        <v>50</v>
      </c>
      <c r="D177" s="8" t="s">
        <v>20</v>
      </c>
      <c r="F177">
        <v>1.22</v>
      </c>
      <c r="J177">
        <f>200+263</f>
        <v>463</v>
      </c>
      <c r="K177">
        <v>2</v>
      </c>
      <c r="L177">
        <v>263</v>
      </c>
      <c r="N177" t="str">
        <f t="shared" si="6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-16.826591999999998</v>
      </c>
      <c r="P177" t="str">
        <f t="shared" si="7"/>
        <v xml:space="preserve"> </v>
      </c>
      <c r="S177">
        <f t="shared" si="8"/>
        <v>1.168985639</v>
      </c>
    </row>
    <row r="178" spans="1:19">
      <c r="A178" s="7">
        <v>42269</v>
      </c>
      <c r="B178" s="8" t="s">
        <v>27</v>
      </c>
      <c r="C178">
        <v>50</v>
      </c>
      <c r="D178" s="8" t="s">
        <v>20</v>
      </c>
      <c r="F178">
        <v>0.83</v>
      </c>
      <c r="J178">
        <f>44+55</f>
        <v>99</v>
      </c>
      <c r="K178">
        <v>2</v>
      </c>
      <c r="L178">
        <v>55</v>
      </c>
      <c r="N178" t="str">
        <f t="shared" si="6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11.705548</v>
      </c>
      <c r="P178">
        <f t="shared" si="7"/>
        <v>11.705548</v>
      </c>
      <c r="S178">
        <f t="shared" si="8"/>
        <v>0.54106033774999995</v>
      </c>
    </row>
    <row r="179" spans="1:19">
      <c r="A179" s="7">
        <v>42269</v>
      </c>
      <c r="B179" s="8" t="s">
        <v>27</v>
      </c>
      <c r="C179">
        <v>50</v>
      </c>
      <c r="D179" s="8" t="s">
        <v>20</v>
      </c>
      <c r="F179">
        <v>3.6</v>
      </c>
      <c r="J179">
        <f>83+129+186+241+246+176</f>
        <v>1061</v>
      </c>
      <c r="K179">
        <v>6</v>
      </c>
      <c r="L179">
        <v>246</v>
      </c>
      <c r="N179" t="str">
        <f t="shared" si="6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16.270651000000008</v>
      </c>
      <c r="P179">
        <f t="shared" si="7"/>
        <v>16.270651000000008</v>
      </c>
      <c r="S179">
        <f t="shared" si="8"/>
        <v>10.1787516</v>
      </c>
    </row>
    <row r="180" spans="1:19">
      <c r="A180" s="7">
        <v>42269</v>
      </c>
      <c r="B180" s="8" t="s">
        <v>27</v>
      </c>
      <c r="C180">
        <v>9</v>
      </c>
      <c r="D180" s="8" t="s">
        <v>20</v>
      </c>
      <c r="F180">
        <v>3.02</v>
      </c>
      <c r="J180">
        <f>42+56+73+76+95+96+115+173</f>
        <v>726</v>
      </c>
      <c r="K180">
        <v>8</v>
      </c>
      <c r="L180">
        <v>173</v>
      </c>
      <c r="N180" t="str">
        <f t="shared" si="6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-7.1910949999999971</v>
      </c>
      <c r="P180" t="str">
        <f t="shared" si="7"/>
        <v xml:space="preserve"> </v>
      </c>
      <c r="S180">
        <f t="shared" si="8"/>
        <v>7.1631393589999997</v>
      </c>
    </row>
    <row r="181" spans="1:19">
      <c r="A181" s="7">
        <v>42269</v>
      </c>
      <c r="B181" s="8" t="s">
        <v>27</v>
      </c>
      <c r="C181">
        <v>9</v>
      </c>
      <c r="D181" s="8" t="s">
        <v>24</v>
      </c>
      <c r="E181">
        <v>193</v>
      </c>
      <c r="F181">
        <v>2.15</v>
      </c>
      <c r="N181">
        <f t="shared" si="6"/>
        <v>233.56216304791661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8.9396680000000011</v>
      </c>
      <c r="P181">
        <f t="shared" si="7"/>
        <v>8.9396680000000011</v>
      </c>
      <c r="S181">
        <f t="shared" si="8"/>
        <v>3.6304999437499994</v>
      </c>
    </row>
    <row r="182" spans="1:19">
      <c r="A182" s="7">
        <v>42269</v>
      </c>
      <c r="B182" s="8" t="s">
        <v>27</v>
      </c>
      <c r="C182">
        <v>9</v>
      </c>
      <c r="D182" s="8" t="s">
        <v>24</v>
      </c>
      <c r="E182">
        <v>154</v>
      </c>
      <c r="F182">
        <v>1.92</v>
      </c>
      <c r="N182">
        <f t="shared" si="6"/>
        <v>148.62485299199997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6.2055730000000002</v>
      </c>
      <c r="P182">
        <f t="shared" si="7"/>
        <v>6.2055730000000002</v>
      </c>
      <c r="S182">
        <f t="shared" si="8"/>
        <v>2.8952893439999996</v>
      </c>
    </row>
    <row r="183" spans="1:19">
      <c r="A183" s="7">
        <v>42269</v>
      </c>
      <c r="B183" s="8" t="s">
        <v>27</v>
      </c>
      <c r="C183">
        <v>9</v>
      </c>
      <c r="D183" s="8" t="s">
        <v>20</v>
      </c>
      <c r="F183">
        <v>12.48</v>
      </c>
      <c r="J183">
        <f>180+212+236+210+231+242+250+175+200+218+217+221+219+232+248+256+254</f>
        <v>3801</v>
      </c>
      <c r="K183">
        <v>17</v>
      </c>
      <c r="L183">
        <v>256</v>
      </c>
      <c r="N183" t="str">
        <f t="shared" si="6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192.90101799999999</v>
      </c>
      <c r="P183">
        <f t="shared" si="7"/>
        <v>192.90101799999999</v>
      </c>
      <c r="S183">
        <f t="shared" si="8"/>
        <v>122.32597478400001</v>
      </c>
    </row>
    <row r="184" spans="1:19">
      <c r="A184" s="7">
        <v>42269</v>
      </c>
      <c r="B184" s="8" t="s">
        <v>27</v>
      </c>
      <c r="C184">
        <v>9</v>
      </c>
      <c r="D184" s="8" t="s">
        <v>20</v>
      </c>
      <c r="F184">
        <v>2.38</v>
      </c>
      <c r="J184">
        <f>81+82+111+137+141+148</f>
        <v>700</v>
      </c>
      <c r="K184">
        <v>6</v>
      </c>
      <c r="L184">
        <v>148</v>
      </c>
      <c r="N184" t="str">
        <f t="shared" si="6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11.947105999999998</v>
      </c>
      <c r="P184">
        <f t="shared" si="7"/>
        <v>11.947105999999998</v>
      </c>
      <c r="S184">
        <f t="shared" si="8"/>
        <v>4.4488055989999999</v>
      </c>
    </row>
    <row r="185" spans="1:19">
      <c r="A185" s="7">
        <v>42269</v>
      </c>
      <c r="B185" s="8" t="s">
        <v>27</v>
      </c>
      <c r="C185">
        <v>9</v>
      </c>
      <c r="D185" t="s">
        <v>28</v>
      </c>
      <c r="E185">
        <v>64</v>
      </c>
      <c r="F185">
        <v>1.07</v>
      </c>
      <c r="N185">
        <f t="shared" si="6"/>
        <v>19.182967418666664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-0.10387699999999978</v>
      </c>
      <c r="P185" t="str">
        <f t="shared" si="7"/>
        <v xml:space="preserve"> </v>
      </c>
      <c r="S185">
        <f t="shared" si="8"/>
        <v>0.89920159774999997</v>
      </c>
    </row>
    <row r="186" spans="1:19">
      <c r="A186" s="7">
        <v>42269</v>
      </c>
      <c r="B186" s="8" t="s">
        <v>27</v>
      </c>
      <c r="C186">
        <v>6</v>
      </c>
      <c r="D186" s="8"/>
      <c r="M186" t="s">
        <v>26</v>
      </c>
      <c r="N186" t="str">
        <f t="shared" si="6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0</v>
      </c>
      <c r="P186">
        <f t="shared" si="7"/>
        <v>0</v>
      </c>
      <c r="S186">
        <f t="shared" si="8"/>
        <v>0</v>
      </c>
    </row>
    <row r="187" spans="1:19">
      <c r="A187" s="7">
        <v>42269</v>
      </c>
      <c r="B187" s="8" t="s">
        <v>27</v>
      </c>
      <c r="C187">
        <v>4</v>
      </c>
      <c r="D187" s="8" t="s">
        <v>20</v>
      </c>
      <c r="F187">
        <v>0.84</v>
      </c>
      <c r="J187">
        <f>40+57+59</f>
        <v>156</v>
      </c>
      <c r="K187">
        <v>3</v>
      </c>
      <c r="L187">
        <v>59</v>
      </c>
      <c r="N187" t="str">
        <f t="shared" si="6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8.8222499999999968</v>
      </c>
      <c r="P187">
        <f t="shared" si="7"/>
        <v>8.8222499999999968</v>
      </c>
      <c r="S187">
        <f t="shared" si="8"/>
        <v>0.55417647599999986</v>
      </c>
    </row>
    <row r="188" spans="1:19">
      <c r="A188" s="7">
        <v>42269</v>
      </c>
      <c r="B188" s="8" t="s">
        <v>27</v>
      </c>
      <c r="C188">
        <v>4</v>
      </c>
      <c r="D188" s="8" t="s">
        <v>20</v>
      </c>
      <c r="F188">
        <v>5.28</v>
      </c>
      <c r="J188">
        <f>142+200+209+165+208+209+219+234+243</f>
        <v>1829</v>
      </c>
      <c r="K188">
        <v>9</v>
      </c>
      <c r="L188">
        <v>243</v>
      </c>
      <c r="N188" t="str">
        <f t="shared" si="6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68.111167000000023</v>
      </c>
      <c r="P188">
        <f t="shared" si="7"/>
        <v>68.111167000000023</v>
      </c>
      <c r="S188">
        <f t="shared" si="8"/>
        <v>21.895625664000001</v>
      </c>
    </row>
    <row r="189" spans="1:19">
      <c r="A189" s="7">
        <v>42269</v>
      </c>
      <c r="B189" s="8" t="s">
        <v>27</v>
      </c>
      <c r="C189">
        <v>4</v>
      </c>
      <c r="D189" s="8" t="s">
        <v>24</v>
      </c>
      <c r="E189">
        <v>134</v>
      </c>
      <c r="F189">
        <v>1.69</v>
      </c>
      <c r="N189">
        <f t="shared" si="6"/>
        <v>100.19509638883331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4.8034729999999994</v>
      </c>
      <c r="P189">
        <f t="shared" si="7"/>
        <v>4.8034729999999994</v>
      </c>
      <c r="S189">
        <f t="shared" si="8"/>
        <v>2.2431737997499996</v>
      </c>
    </row>
    <row r="190" spans="1:19">
      <c r="A190" s="7">
        <v>42269</v>
      </c>
      <c r="B190" s="8" t="s">
        <v>27</v>
      </c>
      <c r="C190">
        <v>4</v>
      </c>
      <c r="D190" s="8" t="s">
        <v>20</v>
      </c>
      <c r="F190">
        <v>0.92</v>
      </c>
      <c r="J190">
        <f>27+31+50+53</f>
        <v>161</v>
      </c>
      <c r="K190">
        <v>4</v>
      </c>
      <c r="L190">
        <v>53</v>
      </c>
      <c r="N190" t="str">
        <f t="shared" si="6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4.0761419999999973</v>
      </c>
      <c r="P190">
        <f t="shared" si="7"/>
        <v>4.0761419999999973</v>
      </c>
      <c r="S190">
        <f t="shared" si="8"/>
        <v>0.66476044400000001</v>
      </c>
    </row>
    <row r="191" spans="1:19">
      <c r="A191" s="7">
        <v>42269</v>
      </c>
      <c r="B191" s="8" t="s">
        <v>27</v>
      </c>
      <c r="C191">
        <v>4</v>
      </c>
      <c r="D191" s="8" t="s">
        <v>24</v>
      </c>
      <c r="E191">
        <v>110</v>
      </c>
      <c r="F191">
        <v>1.42</v>
      </c>
      <c r="N191">
        <f t="shared" si="6"/>
        <v>58.068102363333331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3.1209530000000001</v>
      </c>
      <c r="P191">
        <f t="shared" si="7"/>
        <v>3.1209530000000001</v>
      </c>
      <c r="S191">
        <f t="shared" si="8"/>
        <v>1.5836755189999998</v>
      </c>
    </row>
    <row r="192" spans="1:19">
      <c r="A192" s="7">
        <v>42269</v>
      </c>
      <c r="B192" s="8" t="s">
        <v>27</v>
      </c>
      <c r="C192">
        <v>4</v>
      </c>
      <c r="D192" s="8" t="s">
        <v>20</v>
      </c>
      <c r="F192">
        <v>5.6</v>
      </c>
      <c r="J192">
        <f>162+180+188+235+250+308+309</f>
        <v>1632</v>
      </c>
      <c r="K192">
        <v>7</v>
      </c>
      <c r="L192">
        <v>309</v>
      </c>
      <c r="N192" t="str">
        <f t="shared" si="6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43.803968000000005</v>
      </c>
      <c r="P192">
        <f t="shared" si="7"/>
        <v>43.803968000000005</v>
      </c>
      <c r="S192">
        <f t="shared" si="8"/>
        <v>24.630065599999995</v>
      </c>
    </row>
    <row r="193" spans="1:19">
      <c r="A193" s="7">
        <v>42269</v>
      </c>
      <c r="B193" s="8" t="s">
        <v>27</v>
      </c>
      <c r="C193">
        <v>4</v>
      </c>
      <c r="D193" s="8" t="s">
        <v>20</v>
      </c>
      <c r="F193">
        <v>4.71</v>
      </c>
      <c r="J193">
        <f>73+116+120+151+159+160+162+167</f>
        <v>1108</v>
      </c>
      <c r="K193">
        <v>8</v>
      </c>
      <c r="L193">
        <v>167</v>
      </c>
      <c r="N193" t="str">
        <f t="shared" si="6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30.430785000000014</v>
      </c>
      <c r="P193">
        <f t="shared" si="7"/>
        <v>30.430785000000014</v>
      </c>
      <c r="S193">
        <f t="shared" si="8"/>
        <v>17.423336679750001</v>
      </c>
    </row>
    <row r="194" spans="1:19">
      <c r="A194" s="7">
        <v>42269</v>
      </c>
      <c r="B194" s="8" t="s">
        <v>27</v>
      </c>
      <c r="C194">
        <v>4</v>
      </c>
      <c r="D194" s="8" t="s">
        <v>20</v>
      </c>
      <c r="F194">
        <v>3.24</v>
      </c>
      <c r="J194">
        <f>76+130+152+151+165+167+167</f>
        <v>1008</v>
      </c>
      <c r="K194">
        <v>7</v>
      </c>
      <c r="L194">
        <v>167</v>
      </c>
      <c r="N194" t="str">
        <f t="shared" si="6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28.077638000000015</v>
      </c>
      <c r="P194">
        <f t="shared" si="7"/>
        <v>28.077638000000015</v>
      </c>
      <c r="S194">
        <f t="shared" si="8"/>
        <v>8.2447887960000017</v>
      </c>
    </row>
    <row r="195" spans="1:19">
      <c r="A195" s="7">
        <v>42269</v>
      </c>
      <c r="B195" s="8" t="s">
        <v>27</v>
      </c>
      <c r="C195">
        <v>4</v>
      </c>
      <c r="D195" s="8" t="s">
        <v>20</v>
      </c>
      <c r="F195">
        <v>0.92</v>
      </c>
      <c r="J195">
        <f>21+41+49+49</f>
        <v>160</v>
      </c>
      <c r="K195">
        <v>4</v>
      </c>
      <c r="L195">
        <v>49</v>
      </c>
      <c r="N195" t="str">
        <f t="shared" si="6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5.1873670000000018</v>
      </c>
      <c r="P195">
        <f t="shared" si="7"/>
        <v>5.1873670000000018</v>
      </c>
      <c r="S195">
        <f t="shared" si="8"/>
        <v>0.66476044400000001</v>
      </c>
    </row>
    <row r="196" spans="1:19">
      <c r="A196" s="7">
        <v>42269</v>
      </c>
      <c r="B196" s="8" t="s">
        <v>27</v>
      </c>
      <c r="C196">
        <v>4</v>
      </c>
      <c r="D196" s="8" t="s">
        <v>20</v>
      </c>
      <c r="F196">
        <v>2.66</v>
      </c>
      <c r="J196">
        <f>48+54+100+104+130+143</f>
        <v>579</v>
      </c>
      <c r="K196">
        <v>6</v>
      </c>
      <c r="L196">
        <v>143</v>
      </c>
      <c r="N196" t="str">
        <f t="shared" ref="N196:N259" si="9">IF(OR(D196="S. acutus", D196="S. tabernaemontani", D196="S. californicus"),(1/3)*(3.14159)*((F196/2)^2)*E196,"NA")</f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2.1089759999999984</v>
      </c>
      <c r="P196">
        <f t="shared" si="7"/>
        <v>2.1089759999999984</v>
      </c>
      <c r="S196">
        <f t="shared" si="8"/>
        <v>5.5571585510000006</v>
      </c>
    </row>
    <row r="197" spans="1:19">
      <c r="A197" s="7">
        <v>42269</v>
      </c>
      <c r="B197" s="8" t="s">
        <v>27</v>
      </c>
      <c r="C197">
        <v>4</v>
      </c>
      <c r="D197" s="8" t="s">
        <v>20</v>
      </c>
      <c r="F197">
        <v>4.79</v>
      </c>
      <c r="J197">
        <f>38+135+130+149+151+157+181+197+199</f>
        <v>1337</v>
      </c>
      <c r="K197">
        <v>9</v>
      </c>
      <c r="L197">
        <v>199</v>
      </c>
      <c r="N197" t="str">
        <f t="shared" si="9"/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35.238487000000006</v>
      </c>
      <c r="P197">
        <f t="shared" ref="P197:P260" si="10">IF(O197&lt;0," ",O197)</f>
        <v>35.238487000000006</v>
      </c>
      <c r="S197">
        <f t="shared" ref="S197:S260" si="11">3.14159*((F197/2)^2)</f>
        <v>18.020238779749999</v>
      </c>
    </row>
    <row r="198" spans="1:19">
      <c r="A198" s="7">
        <v>42269</v>
      </c>
      <c r="B198" s="8" t="s">
        <v>27</v>
      </c>
      <c r="C198">
        <v>4</v>
      </c>
      <c r="D198" t="s">
        <v>28</v>
      </c>
      <c r="E198">
        <v>127</v>
      </c>
      <c r="F198">
        <v>1.34</v>
      </c>
      <c r="N198">
        <f t="shared" si="9"/>
        <v>59.70099612566667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4.3127380000000004</v>
      </c>
      <c r="P198">
        <f t="shared" si="10"/>
        <v>4.3127380000000004</v>
      </c>
      <c r="S198">
        <f t="shared" si="11"/>
        <v>1.4102597510000001</v>
      </c>
    </row>
    <row r="199" spans="1:19">
      <c r="A199" s="7">
        <v>42269</v>
      </c>
      <c r="B199" s="8" t="s">
        <v>27</v>
      </c>
      <c r="C199">
        <v>4</v>
      </c>
      <c r="D199" t="s">
        <v>28</v>
      </c>
      <c r="E199">
        <v>163</v>
      </c>
      <c r="F199">
        <v>1.84</v>
      </c>
      <c r="N199">
        <f t="shared" si="9"/>
        <v>144.47460316266665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6.8365180000000008</v>
      </c>
      <c r="P199">
        <f t="shared" si="10"/>
        <v>6.8365180000000008</v>
      </c>
      <c r="S199">
        <f t="shared" si="11"/>
        <v>2.659041776</v>
      </c>
    </row>
    <row r="200" spans="1:19">
      <c r="A200" s="7">
        <v>42269</v>
      </c>
      <c r="B200" s="8" t="s">
        <v>27</v>
      </c>
      <c r="C200">
        <v>4</v>
      </c>
      <c r="D200" t="s">
        <v>28</v>
      </c>
      <c r="E200">
        <v>157</v>
      </c>
      <c r="F200">
        <v>1.37</v>
      </c>
      <c r="N200">
        <f t="shared" si="9"/>
        <v>77.145224378916666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6.4158879999999998</v>
      </c>
      <c r="P200">
        <f t="shared" si="10"/>
        <v>6.4158879999999998</v>
      </c>
      <c r="S200">
        <f t="shared" si="11"/>
        <v>1.4741125677500002</v>
      </c>
    </row>
    <row r="201" spans="1:19">
      <c r="A201" s="7">
        <v>42269</v>
      </c>
      <c r="B201" s="8" t="s">
        <v>27</v>
      </c>
      <c r="C201">
        <v>4</v>
      </c>
      <c r="D201" s="8" t="s">
        <v>20</v>
      </c>
      <c r="F201">
        <v>1.6</v>
      </c>
      <c r="J201">
        <f>154+166+228</f>
        <v>548</v>
      </c>
      <c r="K201">
        <v>3</v>
      </c>
      <c r="L201">
        <v>228</v>
      </c>
      <c r="N201" t="str">
        <f t="shared" si="9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-5.3361949999999965</v>
      </c>
      <c r="P201" t="str">
        <f t="shared" si="10"/>
        <v xml:space="preserve"> </v>
      </c>
      <c r="S201">
        <f t="shared" si="11"/>
        <v>2.0106176000000002</v>
      </c>
    </row>
    <row r="202" spans="1:19">
      <c r="A202" s="7">
        <v>42269</v>
      </c>
      <c r="B202" s="8" t="s">
        <v>27</v>
      </c>
      <c r="C202">
        <v>4</v>
      </c>
      <c r="D202" s="8" t="s">
        <v>20</v>
      </c>
      <c r="F202">
        <v>1.96</v>
      </c>
      <c r="J202">
        <f>79+84+101+100+140</f>
        <v>504</v>
      </c>
      <c r="K202">
        <v>5</v>
      </c>
      <c r="L202">
        <v>140</v>
      </c>
      <c r="N202" t="str">
        <f t="shared" si="9"/>
        <v>NA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3.0034390000000073</v>
      </c>
      <c r="P202">
        <f t="shared" si="10"/>
        <v>3.0034390000000073</v>
      </c>
      <c r="S202">
        <f t="shared" si="11"/>
        <v>3.0171830359999996</v>
      </c>
    </row>
    <row r="203" spans="1:19">
      <c r="A203" s="7">
        <v>42269</v>
      </c>
      <c r="B203" s="8" t="s">
        <v>27</v>
      </c>
      <c r="C203">
        <v>4</v>
      </c>
      <c r="D203" s="8" t="s">
        <v>20</v>
      </c>
      <c r="F203">
        <v>2.5</v>
      </c>
      <c r="J203">
        <f>96+188+200+193</f>
        <v>677</v>
      </c>
      <c r="K203">
        <v>4</v>
      </c>
      <c r="L203">
        <v>200</v>
      </c>
      <c r="N203" t="str">
        <f t="shared" si="9"/>
        <v>NA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8.1707070000000002</v>
      </c>
      <c r="P203">
        <f t="shared" si="10"/>
        <v>8.1707070000000002</v>
      </c>
      <c r="S203">
        <f t="shared" si="11"/>
        <v>4.9087343749999999</v>
      </c>
    </row>
    <row r="204" spans="1:19">
      <c r="A204" s="7">
        <v>42269</v>
      </c>
      <c r="B204" s="8" t="s">
        <v>27</v>
      </c>
      <c r="C204">
        <v>4</v>
      </c>
      <c r="D204" s="8" t="s">
        <v>20</v>
      </c>
      <c r="F204">
        <v>2.61</v>
      </c>
      <c r="J204">
        <f>55+65+94+100+157+166+172</f>
        <v>809</v>
      </c>
      <c r="K204">
        <v>7</v>
      </c>
      <c r="L204">
        <v>172</v>
      </c>
      <c r="N204" t="str">
        <f t="shared" si="9"/>
        <v>NA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7.9141680000000107</v>
      </c>
      <c r="P204">
        <f t="shared" si="10"/>
        <v>7.9141680000000107</v>
      </c>
      <c r="S204">
        <f t="shared" si="11"/>
        <v>5.350206309749999</v>
      </c>
    </row>
    <row r="205" spans="1:19">
      <c r="A205" s="7">
        <v>42269</v>
      </c>
      <c r="B205" s="8" t="s">
        <v>27</v>
      </c>
      <c r="C205">
        <v>4</v>
      </c>
      <c r="D205" s="8" t="s">
        <v>20</v>
      </c>
      <c r="F205">
        <v>4.83</v>
      </c>
      <c r="J205">
        <f>75+118+125+126+129+130+143+171+165+179</f>
        <v>1361</v>
      </c>
      <c r="K205">
        <v>10</v>
      </c>
      <c r="L205">
        <v>179</v>
      </c>
      <c r="N205" t="str">
        <f t="shared" si="9"/>
        <v>NA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36.491154000000002</v>
      </c>
      <c r="P205">
        <f t="shared" si="10"/>
        <v>36.491154000000002</v>
      </c>
      <c r="S205">
        <f t="shared" si="11"/>
        <v>18.322459737749998</v>
      </c>
    </row>
    <row r="206" spans="1:19">
      <c r="A206" s="7">
        <v>42269</v>
      </c>
      <c r="B206" s="8" t="s">
        <v>27</v>
      </c>
      <c r="C206">
        <v>4</v>
      </c>
      <c r="D206" s="8" t="s">
        <v>24</v>
      </c>
      <c r="E206">
        <v>169</v>
      </c>
      <c r="F206">
        <v>1.46</v>
      </c>
      <c r="G206">
        <v>8</v>
      </c>
      <c r="N206">
        <f t="shared" si="9"/>
        <v>94.310636519666645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9.5445872755061334</v>
      </c>
      <c r="P206">
        <f t="shared" si="10"/>
        <v>9.5445872755061334</v>
      </c>
      <c r="S206">
        <f t="shared" si="11"/>
        <v>1.6741533109999998</v>
      </c>
    </row>
    <row r="207" spans="1:19">
      <c r="A207" s="7">
        <v>42269</v>
      </c>
      <c r="B207" s="8" t="s">
        <v>27</v>
      </c>
      <c r="C207">
        <v>4</v>
      </c>
      <c r="D207" s="8" t="s">
        <v>28</v>
      </c>
      <c r="E207">
        <v>132</v>
      </c>
      <c r="F207">
        <v>1.37</v>
      </c>
      <c r="N207">
        <f t="shared" si="9"/>
        <v>64.860952980999997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4.6632629999999997</v>
      </c>
      <c r="P207">
        <f t="shared" si="10"/>
        <v>4.6632629999999997</v>
      </c>
      <c r="S207">
        <f t="shared" si="11"/>
        <v>1.4741125677500002</v>
      </c>
    </row>
    <row r="208" spans="1:19">
      <c r="A208" s="7">
        <v>42269</v>
      </c>
      <c r="B208" s="8" t="s">
        <v>27</v>
      </c>
      <c r="C208">
        <v>4</v>
      </c>
      <c r="D208" s="8" t="s">
        <v>20</v>
      </c>
      <c r="F208">
        <v>4.01</v>
      </c>
      <c r="J208">
        <f>64+107+145+153+157+157+177</f>
        <v>960</v>
      </c>
      <c r="K208">
        <v>7</v>
      </c>
      <c r="L208">
        <v>177</v>
      </c>
      <c r="N208" t="str">
        <f t="shared" si="9"/>
        <v>NA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20.564948000000008</v>
      </c>
      <c r="P208">
        <f t="shared" si="10"/>
        <v>20.564948000000008</v>
      </c>
      <c r="S208">
        <f t="shared" si="11"/>
        <v>12.629270339749999</v>
      </c>
    </row>
    <row r="209" spans="1:19">
      <c r="A209" s="7">
        <v>42269</v>
      </c>
      <c r="B209" s="8" t="s">
        <v>27</v>
      </c>
      <c r="C209">
        <v>4</v>
      </c>
      <c r="D209" s="8" t="s">
        <v>20</v>
      </c>
      <c r="F209">
        <v>0.56000000000000005</v>
      </c>
      <c r="J209">
        <f>15+20+20+20</f>
        <v>75</v>
      </c>
      <c r="K209">
        <v>4</v>
      </c>
      <c r="L209">
        <v>20</v>
      </c>
      <c r="N209" t="str">
        <f t="shared" si="9"/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5.9542970000000004</v>
      </c>
      <c r="P209">
        <f t="shared" si="10"/>
        <v>5.9542970000000004</v>
      </c>
      <c r="S209">
        <f t="shared" si="11"/>
        <v>0.24630065600000003</v>
      </c>
    </row>
    <row r="210" spans="1:19">
      <c r="A210" s="7">
        <v>42269</v>
      </c>
      <c r="B210" s="8" t="s">
        <v>27</v>
      </c>
      <c r="C210">
        <v>2</v>
      </c>
      <c r="D210" s="8" t="s">
        <v>24</v>
      </c>
      <c r="E210">
        <v>168</v>
      </c>
      <c r="F210">
        <v>0.77</v>
      </c>
      <c r="N210">
        <f t="shared" si="9"/>
        <v>26.077081953999993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7.1870430000000001</v>
      </c>
      <c r="P210">
        <f t="shared" si="10"/>
        <v>7.1870430000000001</v>
      </c>
      <c r="S210">
        <f t="shared" si="11"/>
        <v>0.46566217774999996</v>
      </c>
    </row>
    <row r="211" spans="1:19">
      <c r="A211" s="7">
        <v>42269</v>
      </c>
      <c r="B211" s="8" t="s">
        <v>27</v>
      </c>
      <c r="C211">
        <v>2</v>
      </c>
      <c r="D211" s="8" t="s">
        <v>24</v>
      </c>
      <c r="E211">
        <v>40</v>
      </c>
      <c r="F211">
        <v>0.52</v>
      </c>
      <c r="N211">
        <f t="shared" si="9"/>
        <v>2.8316197866666664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-1.786397</v>
      </c>
      <c r="P211" t="str">
        <f t="shared" si="10"/>
        <v xml:space="preserve"> </v>
      </c>
      <c r="S211">
        <f t="shared" si="11"/>
        <v>0.21237148400000003</v>
      </c>
    </row>
    <row r="212" spans="1:19">
      <c r="A212" s="7">
        <v>42269</v>
      </c>
      <c r="B212" s="8" t="s">
        <v>27</v>
      </c>
      <c r="C212">
        <v>2</v>
      </c>
      <c r="D212" s="8" t="s">
        <v>24</v>
      </c>
      <c r="E212">
        <v>70</v>
      </c>
      <c r="F212">
        <v>0.81</v>
      </c>
      <c r="N212">
        <f t="shared" si="9"/>
        <v>12.0236503275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0.31675300000000028</v>
      </c>
      <c r="P212">
        <f t="shared" si="10"/>
        <v>0.31675300000000028</v>
      </c>
      <c r="S212">
        <f t="shared" si="11"/>
        <v>0.51529929975000011</v>
      </c>
    </row>
    <row r="213" spans="1:19">
      <c r="A213" s="7">
        <v>42269</v>
      </c>
      <c r="B213" s="8" t="s">
        <v>27</v>
      </c>
      <c r="C213">
        <v>2</v>
      </c>
      <c r="D213" s="8" t="s">
        <v>24</v>
      </c>
      <c r="E213">
        <v>244</v>
      </c>
      <c r="F213">
        <v>1.48</v>
      </c>
      <c r="N213">
        <f t="shared" si="9"/>
        <v>139.92055429866664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12.515023000000003</v>
      </c>
      <c r="P213">
        <f t="shared" si="10"/>
        <v>12.515023000000003</v>
      </c>
      <c r="S213">
        <f t="shared" si="11"/>
        <v>1.7203346839999998</v>
      </c>
    </row>
    <row r="214" spans="1:19">
      <c r="A214" s="7">
        <v>42276</v>
      </c>
      <c r="B214" s="8" t="s">
        <v>29</v>
      </c>
      <c r="C214">
        <v>32</v>
      </c>
      <c r="D214" s="8" t="s">
        <v>20</v>
      </c>
      <c r="F214">
        <v>13.71</v>
      </c>
      <c r="J214">
        <f>66+88+117+134+114+157+167+191+192+221+249+241+261+272+258+265+288+269</f>
        <v>3550</v>
      </c>
      <c r="K214">
        <v>18</v>
      </c>
      <c r="L214">
        <v>289</v>
      </c>
      <c r="N214" t="str">
        <f t="shared" si="9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152.40507500000004</v>
      </c>
      <c r="P214">
        <f t="shared" si="10"/>
        <v>152.40507500000004</v>
      </c>
      <c r="S214">
        <f t="shared" si="11"/>
        <v>147.62653422975001</v>
      </c>
    </row>
    <row r="215" spans="1:19">
      <c r="A215" s="7">
        <v>42276</v>
      </c>
      <c r="B215" s="8" t="s">
        <v>29</v>
      </c>
      <c r="C215">
        <v>32</v>
      </c>
      <c r="D215" s="8" t="s">
        <v>20</v>
      </c>
      <c r="F215">
        <v>2.62</v>
      </c>
      <c r="J215">
        <f>57+73+81+35+82</f>
        <v>328</v>
      </c>
      <c r="K215">
        <v>5</v>
      </c>
      <c r="L215">
        <v>82</v>
      </c>
      <c r="N215" t="str">
        <f t="shared" si="9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3.974769000000002</v>
      </c>
      <c r="P215">
        <f t="shared" si="10"/>
        <v>3.974769000000002</v>
      </c>
      <c r="S215">
        <f t="shared" si="11"/>
        <v>5.3912825990000002</v>
      </c>
    </row>
    <row r="216" spans="1:19">
      <c r="A216" s="7">
        <v>42276</v>
      </c>
      <c r="B216" s="8" t="s">
        <v>29</v>
      </c>
      <c r="C216">
        <v>32</v>
      </c>
      <c r="D216" s="8" t="s">
        <v>20</v>
      </c>
      <c r="F216">
        <v>7.99</v>
      </c>
      <c r="J216">
        <f>187+204+209+223+224+236+233+229</f>
        <v>1745</v>
      </c>
      <c r="K216">
        <v>8</v>
      </c>
      <c r="L216">
        <v>236</v>
      </c>
      <c r="N216" t="str">
        <f t="shared" si="9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69.366815000000003</v>
      </c>
      <c r="P216">
        <f t="shared" si="10"/>
        <v>69.366815000000003</v>
      </c>
      <c r="S216">
        <f t="shared" si="11"/>
        <v>50.139854939750002</v>
      </c>
    </row>
    <row r="217" spans="1:19">
      <c r="A217" s="7">
        <v>42276</v>
      </c>
      <c r="B217" s="8" t="s">
        <v>29</v>
      </c>
      <c r="C217">
        <v>32</v>
      </c>
      <c r="D217" s="8" t="s">
        <v>20</v>
      </c>
      <c r="F217">
        <v>8.2899999999999991</v>
      </c>
      <c r="J217">
        <f>118+141+232+236+240+243+271+263+267+269+257+246+256+230+231</f>
        <v>3500</v>
      </c>
      <c r="K217">
        <v>15</v>
      </c>
      <c r="L217">
        <v>271</v>
      </c>
      <c r="N217" t="str">
        <f t="shared" si="9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174.20679400000003</v>
      </c>
      <c r="P217">
        <f t="shared" si="10"/>
        <v>174.20679400000003</v>
      </c>
      <c r="S217">
        <f t="shared" si="11"/>
        <v>53.975736329749992</v>
      </c>
    </row>
    <row r="218" spans="1:19">
      <c r="A218" s="7">
        <v>42276</v>
      </c>
      <c r="B218" s="8" t="s">
        <v>29</v>
      </c>
      <c r="C218">
        <v>32</v>
      </c>
      <c r="D218" s="8" t="s">
        <v>20</v>
      </c>
      <c r="F218">
        <v>4.0599999999999996</v>
      </c>
      <c r="J218">
        <f>187+137+133+151+165+170+172+174+182</f>
        <v>1471</v>
      </c>
      <c r="K218">
        <v>9</v>
      </c>
      <c r="L218">
        <v>187</v>
      </c>
      <c r="N218" t="str">
        <f t="shared" si="9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51.416597000000017</v>
      </c>
      <c r="P218">
        <f t="shared" si="10"/>
        <v>51.416597000000017</v>
      </c>
      <c r="S218">
        <f t="shared" si="11"/>
        <v>12.946178230999996</v>
      </c>
    </row>
    <row r="219" spans="1:19">
      <c r="A219" s="7">
        <v>42276</v>
      </c>
      <c r="B219" s="8" t="s">
        <v>29</v>
      </c>
      <c r="C219">
        <v>32</v>
      </c>
      <c r="D219" s="8" t="s">
        <v>20</v>
      </c>
      <c r="F219">
        <v>2.3199999999999998</v>
      </c>
      <c r="J219">
        <f>93+98+132+149+170+181</f>
        <v>823</v>
      </c>
      <c r="K219">
        <v>6</v>
      </c>
      <c r="L219">
        <v>181</v>
      </c>
      <c r="N219" t="str">
        <f t="shared" si="9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13.537886</v>
      </c>
      <c r="P219">
        <f t="shared" si="10"/>
        <v>13.537886</v>
      </c>
      <c r="S219">
        <f t="shared" si="11"/>
        <v>4.2273235039999992</v>
      </c>
    </row>
    <row r="220" spans="1:19">
      <c r="A220" s="7">
        <v>42276</v>
      </c>
      <c r="B220" s="8" t="s">
        <v>29</v>
      </c>
      <c r="C220">
        <v>28</v>
      </c>
      <c r="D220" s="8" t="s">
        <v>20</v>
      </c>
      <c r="F220">
        <v>1.55</v>
      </c>
      <c r="J220">
        <f>69+96+123</f>
        <v>288</v>
      </c>
      <c r="K220">
        <v>3</v>
      </c>
      <c r="L220">
        <v>123</v>
      </c>
      <c r="N220" t="str">
        <f t="shared" si="9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1.9182300000000012</v>
      </c>
      <c r="P220">
        <f t="shared" si="10"/>
        <v>1.9182300000000012</v>
      </c>
      <c r="S220">
        <f t="shared" si="11"/>
        <v>1.8869174937500002</v>
      </c>
    </row>
    <row r="221" spans="1:19">
      <c r="A221" s="7">
        <v>42276</v>
      </c>
      <c r="B221" s="8" t="s">
        <v>29</v>
      </c>
      <c r="C221">
        <v>28</v>
      </c>
      <c r="D221" s="8" t="s">
        <v>20</v>
      </c>
      <c r="F221">
        <v>4.41</v>
      </c>
      <c r="J221">
        <f>176+190+213+215+224+226</f>
        <v>1244</v>
      </c>
      <c r="K221">
        <v>6</v>
      </c>
      <c r="L221">
        <v>226</v>
      </c>
      <c r="N221" t="str">
        <f t="shared" si="9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39.452716000000017</v>
      </c>
      <c r="P221">
        <f t="shared" si="10"/>
        <v>39.452716000000017</v>
      </c>
      <c r="S221">
        <f t="shared" si="11"/>
        <v>15.274489119749999</v>
      </c>
    </row>
    <row r="222" spans="1:19">
      <c r="A222" s="7">
        <v>42276</v>
      </c>
      <c r="B222" s="8" t="s">
        <v>29</v>
      </c>
      <c r="C222">
        <v>28</v>
      </c>
      <c r="D222" s="8" t="s">
        <v>20</v>
      </c>
      <c r="F222">
        <v>5.1100000000000003</v>
      </c>
      <c r="J222">
        <f>174+177+212+218+227+239+243</f>
        <v>1490</v>
      </c>
      <c r="K222">
        <v>7</v>
      </c>
      <c r="L222">
        <v>243</v>
      </c>
      <c r="N222" t="str">
        <f t="shared" si="9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50.372928000000009</v>
      </c>
      <c r="P222">
        <f t="shared" si="10"/>
        <v>50.372928000000009</v>
      </c>
      <c r="S222">
        <f t="shared" si="11"/>
        <v>20.508378059750001</v>
      </c>
    </row>
    <row r="223" spans="1:19">
      <c r="A223" s="7">
        <v>42276</v>
      </c>
      <c r="B223" s="8" t="s">
        <v>29</v>
      </c>
      <c r="C223">
        <v>28</v>
      </c>
      <c r="D223" s="8" t="s">
        <v>20</v>
      </c>
      <c r="F223">
        <v>2.41</v>
      </c>
      <c r="J223">
        <f>26+65+87+108+115</f>
        <v>401</v>
      </c>
      <c r="K223">
        <v>5</v>
      </c>
      <c r="L223">
        <v>115</v>
      </c>
      <c r="N223" t="str">
        <f t="shared" si="9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0.8777990000000031</v>
      </c>
      <c r="P223">
        <f t="shared" si="10"/>
        <v>0.8777990000000031</v>
      </c>
      <c r="S223">
        <f t="shared" si="11"/>
        <v>4.5616672197500003</v>
      </c>
    </row>
    <row r="224" spans="1:19">
      <c r="A224" s="7">
        <v>42276</v>
      </c>
      <c r="B224" s="8" t="s">
        <v>29</v>
      </c>
      <c r="C224">
        <v>28</v>
      </c>
      <c r="D224" s="8" t="s">
        <v>20</v>
      </c>
      <c r="F224">
        <v>4.74</v>
      </c>
      <c r="J224">
        <f>152+170+174+207+221+234+237</f>
        <v>1395</v>
      </c>
      <c r="K224">
        <v>7</v>
      </c>
      <c r="L224">
        <v>237</v>
      </c>
      <c r="N224" t="str">
        <f t="shared" si="9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43.273673000000009</v>
      </c>
      <c r="P224">
        <f t="shared" si="10"/>
        <v>43.273673000000009</v>
      </c>
      <c r="S224">
        <f t="shared" si="11"/>
        <v>17.645996871000001</v>
      </c>
    </row>
    <row r="225" spans="1:19">
      <c r="A225" s="7">
        <v>42276</v>
      </c>
      <c r="B225" s="8" t="s">
        <v>29</v>
      </c>
      <c r="C225">
        <v>28</v>
      </c>
      <c r="D225" s="8" t="s">
        <v>20</v>
      </c>
      <c r="F225">
        <v>6.2</v>
      </c>
      <c r="J225">
        <f>237+234+263+269+271+273+295+289+295+283</f>
        <v>2709</v>
      </c>
      <c r="K225">
        <v>10</v>
      </c>
      <c r="L225">
        <v>295</v>
      </c>
      <c r="N225" t="str">
        <f t="shared" si="9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127.92847400000005</v>
      </c>
      <c r="P225">
        <f t="shared" si="10"/>
        <v>127.92847400000005</v>
      </c>
      <c r="S225">
        <f t="shared" si="11"/>
        <v>30.190679900000003</v>
      </c>
    </row>
    <row r="226" spans="1:19">
      <c r="A226" s="7">
        <v>42276</v>
      </c>
      <c r="B226" s="8" t="s">
        <v>29</v>
      </c>
      <c r="C226">
        <v>28</v>
      </c>
      <c r="D226" s="8" t="s">
        <v>20</v>
      </c>
      <c r="F226">
        <v>1.63</v>
      </c>
      <c r="J226">
        <f>52+43+86+86+97</f>
        <v>364</v>
      </c>
      <c r="K226">
        <v>5</v>
      </c>
      <c r="L226">
        <v>97</v>
      </c>
      <c r="N226" t="str">
        <f t="shared" si="9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2.8312740000000005</v>
      </c>
      <c r="P226">
        <f t="shared" si="10"/>
        <v>2.8312740000000005</v>
      </c>
      <c r="S226">
        <f t="shared" si="11"/>
        <v>2.0867226177499996</v>
      </c>
    </row>
    <row r="227" spans="1:19">
      <c r="A227" s="7">
        <v>42276</v>
      </c>
      <c r="B227" s="8" t="s">
        <v>29</v>
      </c>
      <c r="C227">
        <v>28</v>
      </c>
      <c r="D227" s="8" t="s">
        <v>20</v>
      </c>
      <c r="F227">
        <v>5.8</v>
      </c>
      <c r="J227">
        <f>107+172+192+233+221+232+229+246</f>
        <v>1632</v>
      </c>
      <c r="K227">
        <v>8</v>
      </c>
      <c r="L227">
        <v>246</v>
      </c>
      <c r="N227" t="str">
        <f t="shared" si="9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55.760050000000014</v>
      </c>
      <c r="P227">
        <f t="shared" si="10"/>
        <v>55.760050000000014</v>
      </c>
      <c r="S227">
        <f t="shared" si="11"/>
        <v>26.420771899999998</v>
      </c>
    </row>
    <row r="228" spans="1:19">
      <c r="A228" s="7">
        <v>42276</v>
      </c>
      <c r="B228" s="8" t="s">
        <v>29</v>
      </c>
      <c r="C228">
        <v>28</v>
      </c>
      <c r="D228" s="8" t="s">
        <v>20</v>
      </c>
      <c r="F228">
        <v>4.6100000000000003</v>
      </c>
      <c r="J228">
        <f>79+103+156+216+223+235+238</f>
        <v>1250</v>
      </c>
      <c r="K228">
        <v>7</v>
      </c>
      <c r="L228">
        <v>238</v>
      </c>
      <c r="N228" t="str">
        <f t="shared" si="9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29.377953000000012</v>
      </c>
      <c r="P228">
        <f t="shared" si="10"/>
        <v>29.377953000000012</v>
      </c>
      <c r="S228">
        <f t="shared" si="11"/>
        <v>16.691346209750002</v>
      </c>
    </row>
    <row r="229" spans="1:19">
      <c r="A229" s="7">
        <v>42276</v>
      </c>
      <c r="B229" s="8" t="s">
        <v>29</v>
      </c>
      <c r="C229">
        <v>28</v>
      </c>
      <c r="D229" s="8" t="s">
        <v>20</v>
      </c>
      <c r="F229">
        <v>6.37</v>
      </c>
      <c r="J229">
        <f>138+189+201+211+218+226+245+242+245+247</f>
        <v>2162</v>
      </c>
      <c r="K229">
        <v>10</v>
      </c>
      <c r="L229">
        <v>247</v>
      </c>
      <c r="N229" t="str">
        <f t="shared" si="9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91.10424900000001</v>
      </c>
      <c r="P229">
        <f t="shared" si="10"/>
        <v>91.10424900000001</v>
      </c>
      <c r="S229">
        <f t="shared" si="11"/>
        <v>31.868995817750001</v>
      </c>
    </row>
    <row r="230" spans="1:19">
      <c r="A230" s="7">
        <v>42276</v>
      </c>
      <c r="B230" s="8" t="s">
        <v>29</v>
      </c>
      <c r="C230">
        <v>28</v>
      </c>
      <c r="D230" s="8" t="s">
        <v>20</v>
      </c>
      <c r="F230">
        <v>3.84</v>
      </c>
      <c r="J230">
        <f>160+183+205+223+218+229+229</f>
        <v>1447</v>
      </c>
      <c r="K230">
        <v>7</v>
      </c>
      <c r="L230">
        <v>229</v>
      </c>
      <c r="N230" t="str">
        <f t="shared" si="9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50.558893000000019</v>
      </c>
      <c r="P230">
        <f t="shared" si="10"/>
        <v>50.558893000000019</v>
      </c>
      <c r="S230">
        <f t="shared" si="11"/>
        <v>11.581157375999998</v>
      </c>
    </row>
    <row r="231" spans="1:19">
      <c r="A231" s="7">
        <v>42276</v>
      </c>
      <c r="B231" s="8" t="s">
        <v>29</v>
      </c>
      <c r="C231">
        <v>28</v>
      </c>
      <c r="D231" s="8" t="s">
        <v>20</v>
      </c>
      <c r="F231">
        <v>1.82</v>
      </c>
      <c r="J231">
        <f>102+117+129+134+141</f>
        <v>623</v>
      </c>
      <c r="K231">
        <v>5</v>
      </c>
      <c r="L231">
        <v>141</v>
      </c>
      <c r="N231" t="str">
        <f t="shared" si="9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13.859039000000003</v>
      </c>
      <c r="P231">
        <f t="shared" si="10"/>
        <v>13.859039000000003</v>
      </c>
      <c r="S231">
        <f t="shared" si="11"/>
        <v>2.6015506790000003</v>
      </c>
    </row>
    <row r="232" spans="1:19">
      <c r="A232" s="7">
        <v>42276</v>
      </c>
      <c r="B232" s="8" t="s">
        <v>29</v>
      </c>
      <c r="C232">
        <v>28</v>
      </c>
      <c r="D232" s="8" t="s">
        <v>20</v>
      </c>
      <c r="F232">
        <v>0.93</v>
      </c>
      <c r="J232">
        <f>31+64+86+105</f>
        <v>286</v>
      </c>
      <c r="K232">
        <v>4</v>
      </c>
      <c r="L232">
        <v>105</v>
      </c>
      <c r="N232" t="str">
        <f t="shared" si="9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0.13077700000000192</v>
      </c>
      <c r="P232">
        <f t="shared" si="10"/>
        <v>0.13077700000000192</v>
      </c>
      <c r="S232">
        <f t="shared" si="11"/>
        <v>0.67929029775000005</v>
      </c>
    </row>
    <row r="233" spans="1:19">
      <c r="A233" s="7">
        <v>42276</v>
      </c>
      <c r="B233" s="8" t="s">
        <v>29</v>
      </c>
      <c r="C233">
        <v>28</v>
      </c>
      <c r="D233" s="8" t="s">
        <v>20</v>
      </c>
      <c r="F233">
        <v>3.62</v>
      </c>
      <c r="J233">
        <f>129+133+150+144+161+192+193+200</f>
        <v>1302</v>
      </c>
      <c r="K233">
        <v>8</v>
      </c>
      <c r="L233">
        <v>200</v>
      </c>
      <c r="N233" t="str">
        <f t="shared" si="9"/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38.678170000000001</v>
      </c>
      <c r="P233">
        <f t="shared" si="10"/>
        <v>38.678170000000001</v>
      </c>
      <c r="S233">
        <f t="shared" si="11"/>
        <v>10.292162999</v>
      </c>
    </row>
    <row r="234" spans="1:19">
      <c r="A234" s="7">
        <v>42276</v>
      </c>
      <c r="B234" s="8" t="s">
        <v>29</v>
      </c>
      <c r="C234">
        <v>28</v>
      </c>
      <c r="D234" s="8" t="s">
        <v>20</v>
      </c>
      <c r="F234">
        <v>1.98</v>
      </c>
      <c r="J234">
        <f>90+118+158+186+201</f>
        <v>753</v>
      </c>
      <c r="K234">
        <v>5</v>
      </c>
      <c r="L234">
        <v>201</v>
      </c>
      <c r="N234" t="str">
        <f t="shared" si="9"/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7.972489000000003</v>
      </c>
      <c r="P234">
        <f t="shared" si="10"/>
        <v>7.972489000000003</v>
      </c>
      <c r="S234">
        <f t="shared" si="11"/>
        <v>3.079072359</v>
      </c>
    </row>
    <row r="235" spans="1:19">
      <c r="A235" s="7">
        <v>42276</v>
      </c>
      <c r="B235" s="8" t="s">
        <v>29</v>
      </c>
      <c r="C235">
        <v>10</v>
      </c>
      <c r="D235" s="8" t="s">
        <v>28</v>
      </c>
      <c r="E235">
        <v>246</v>
      </c>
      <c r="F235">
        <v>2.0299999999999998</v>
      </c>
      <c r="N235">
        <f t="shared" si="9"/>
        <v>265.39665373549991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12.655233000000003</v>
      </c>
      <c r="P235">
        <f t="shared" si="10"/>
        <v>12.655233000000003</v>
      </c>
      <c r="S235">
        <f t="shared" si="11"/>
        <v>3.2365445577499989</v>
      </c>
    </row>
    <row r="236" spans="1:19">
      <c r="A236" s="7">
        <v>42276</v>
      </c>
      <c r="B236" s="8" t="s">
        <v>29</v>
      </c>
      <c r="C236">
        <v>10</v>
      </c>
      <c r="D236" s="8" t="s">
        <v>28</v>
      </c>
      <c r="E236">
        <v>218</v>
      </c>
      <c r="F236">
        <v>2.0699999999999998</v>
      </c>
      <c r="N236">
        <f t="shared" si="9"/>
        <v>244.54874833649993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10.692292999999999</v>
      </c>
      <c r="P236">
        <f t="shared" si="10"/>
        <v>10.692292999999999</v>
      </c>
      <c r="S236">
        <f t="shared" si="11"/>
        <v>3.3653497477499994</v>
      </c>
    </row>
    <row r="237" spans="1:19">
      <c r="A237" s="7">
        <v>42276</v>
      </c>
      <c r="B237" s="8" t="s">
        <v>29</v>
      </c>
      <c r="C237">
        <v>10</v>
      </c>
      <c r="D237" s="8" t="s">
        <v>28</v>
      </c>
      <c r="E237">
        <v>260</v>
      </c>
      <c r="F237">
        <v>2</v>
      </c>
      <c r="G237">
        <v>2</v>
      </c>
      <c r="N237">
        <f t="shared" si="9"/>
        <v>272.2711333333333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22.071301343866665</v>
      </c>
      <c r="P237">
        <f t="shared" si="10"/>
        <v>22.071301343866665</v>
      </c>
      <c r="S237">
        <f t="shared" si="11"/>
        <v>3.1415899999999999</v>
      </c>
    </row>
    <row r="238" spans="1:19">
      <c r="A238" s="7">
        <v>42276</v>
      </c>
      <c r="B238" s="8" t="s">
        <v>29</v>
      </c>
      <c r="C238">
        <v>10</v>
      </c>
      <c r="D238" s="8" t="s">
        <v>28</v>
      </c>
      <c r="E238">
        <v>233</v>
      </c>
      <c r="F238">
        <v>1.67</v>
      </c>
      <c r="N238">
        <f t="shared" si="9"/>
        <v>170.12068514858331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11.743868000000003</v>
      </c>
      <c r="P238">
        <f t="shared" si="10"/>
        <v>11.743868000000003</v>
      </c>
      <c r="S238">
        <f t="shared" si="11"/>
        <v>2.1903950877499998</v>
      </c>
    </row>
    <row r="239" spans="1:19">
      <c r="A239" s="7">
        <v>42276</v>
      </c>
      <c r="B239" s="8" t="s">
        <v>29</v>
      </c>
      <c r="C239">
        <v>10</v>
      </c>
      <c r="D239" s="8" t="s">
        <v>28</v>
      </c>
      <c r="E239">
        <v>216</v>
      </c>
      <c r="F239">
        <v>2.44</v>
      </c>
      <c r="N239">
        <f t="shared" si="9"/>
        <v>336.66786403199995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10.552083</v>
      </c>
      <c r="P239">
        <f t="shared" si="10"/>
        <v>10.552083</v>
      </c>
      <c r="S239">
        <f t="shared" si="11"/>
        <v>4.6759425559999999</v>
      </c>
    </row>
    <row r="240" spans="1:19">
      <c r="A240" s="7">
        <v>42276</v>
      </c>
      <c r="B240" s="8" t="s">
        <v>29</v>
      </c>
      <c r="C240">
        <v>10</v>
      </c>
      <c r="D240" s="8" t="s">
        <v>28</v>
      </c>
      <c r="E240">
        <v>153</v>
      </c>
      <c r="F240">
        <v>1.93</v>
      </c>
      <c r="N240">
        <f t="shared" si="9"/>
        <v>149.20188453524997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6.1354680000000004</v>
      </c>
      <c r="P240">
        <f t="shared" si="10"/>
        <v>6.1354680000000004</v>
      </c>
      <c r="S240">
        <f t="shared" si="11"/>
        <v>2.92552714775</v>
      </c>
    </row>
    <row r="241" spans="1:19">
      <c r="A241" s="7">
        <v>42276</v>
      </c>
      <c r="B241" s="8" t="s">
        <v>29</v>
      </c>
      <c r="C241">
        <v>10</v>
      </c>
      <c r="D241" s="8" t="s">
        <v>28</v>
      </c>
      <c r="E241">
        <v>232</v>
      </c>
      <c r="F241">
        <v>2.27</v>
      </c>
      <c r="N241">
        <f t="shared" si="9"/>
        <v>312.97378281266663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11.673763000000001</v>
      </c>
      <c r="P241">
        <f t="shared" si="10"/>
        <v>11.673763000000001</v>
      </c>
      <c r="S241">
        <f t="shared" si="11"/>
        <v>4.0470747777499998</v>
      </c>
    </row>
    <row r="242" spans="1:19">
      <c r="A242" s="7">
        <v>42276</v>
      </c>
      <c r="B242" s="8" t="s">
        <v>29</v>
      </c>
      <c r="C242">
        <v>10</v>
      </c>
      <c r="D242" s="8" t="s">
        <v>28</v>
      </c>
      <c r="E242">
        <v>154</v>
      </c>
      <c r="F242">
        <v>1.24</v>
      </c>
      <c r="N242">
        <f t="shared" si="9"/>
        <v>61.991529394666664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6.2055730000000002</v>
      </c>
      <c r="P242">
        <f t="shared" si="10"/>
        <v>6.2055730000000002</v>
      </c>
      <c r="S242">
        <f t="shared" si="11"/>
        <v>1.207627196</v>
      </c>
    </row>
    <row r="243" spans="1:19">
      <c r="A243" s="7">
        <v>42276</v>
      </c>
      <c r="B243" s="8" t="s">
        <v>29</v>
      </c>
      <c r="C243">
        <v>10</v>
      </c>
      <c r="D243" s="8" t="s">
        <v>28</v>
      </c>
      <c r="E243">
        <v>198</v>
      </c>
      <c r="F243">
        <v>1.89</v>
      </c>
      <c r="N243">
        <f t="shared" si="9"/>
        <v>185.16421504349998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9.2901929999999986</v>
      </c>
      <c r="P243">
        <f t="shared" si="10"/>
        <v>9.2901929999999986</v>
      </c>
      <c r="S243">
        <f t="shared" si="11"/>
        <v>2.8055184097499999</v>
      </c>
    </row>
    <row r="244" spans="1:19">
      <c r="A244" s="7">
        <v>42276</v>
      </c>
      <c r="B244" s="8" t="s">
        <v>29</v>
      </c>
      <c r="C244">
        <v>10</v>
      </c>
      <c r="D244" s="8" t="s">
        <v>28</v>
      </c>
      <c r="E244">
        <v>130</v>
      </c>
      <c r="F244">
        <v>1.22</v>
      </c>
      <c r="N244">
        <f t="shared" si="9"/>
        <v>50.656044356666655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4.523053</v>
      </c>
      <c r="P244">
        <f t="shared" si="10"/>
        <v>4.523053</v>
      </c>
      <c r="S244">
        <f t="shared" si="11"/>
        <v>1.168985639</v>
      </c>
    </row>
    <row r="245" spans="1:19">
      <c r="A245" s="7">
        <v>42276</v>
      </c>
      <c r="B245" s="8" t="s">
        <v>29</v>
      </c>
      <c r="C245">
        <v>10</v>
      </c>
      <c r="D245" s="8" t="s">
        <v>28</v>
      </c>
      <c r="E245">
        <v>58</v>
      </c>
      <c r="F245">
        <v>0.68</v>
      </c>
      <c r="N245">
        <f t="shared" si="9"/>
        <v>7.0212442106666666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-0.52450699999999983</v>
      </c>
      <c r="P245" t="str">
        <f t="shared" si="10"/>
        <v xml:space="preserve"> </v>
      </c>
      <c r="S245">
        <f t="shared" si="11"/>
        <v>0.36316780400000004</v>
      </c>
    </row>
    <row r="246" spans="1:19">
      <c r="A246" s="7">
        <v>42276</v>
      </c>
      <c r="B246" s="8" t="s">
        <v>29</v>
      </c>
      <c r="C246">
        <v>10</v>
      </c>
      <c r="D246" s="8" t="s">
        <v>28</v>
      </c>
      <c r="E246">
        <v>217</v>
      </c>
      <c r="F246">
        <v>1.77</v>
      </c>
      <c r="N246">
        <f t="shared" si="9"/>
        <v>177.98136220724999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10.622188000000001</v>
      </c>
      <c r="P246">
        <f t="shared" si="10"/>
        <v>10.622188000000001</v>
      </c>
      <c r="S246">
        <f t="shared" si="11"/>
        <v>2.4605718277499999</v>
      </c>
    </row>
    <row r="247" spans="1:19">
      <c r="A247" s="7">
        <v>42276</v>
      </c>
      <c r="B247" s="8" t="s">
        <v>29</v>
      </c>
      <c r="C247">
        <v>10</v>
      </c>
      <c r="D247" s="8" t="s">
        <v>28</v>
      </c>
      <c r="E247">
        <v>225</v>
      </c>
      <c r="F247">
        <v>1.79</v>
      </c>
      <c r="N247">
        <f t="shared" si="9"/>
        <v>188.73690973124997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11.183028</v>
      </c>
      <c r="P247">
        <f t="shared" si="10"/>
        <v>11.183028</v>
      </c>
      <c r="S247">
        <f t="shared" si="11"/>
        <v>2.51649212975</v>
      </c>
    </row>
    <row r="248" spans="1:19">
      <c r="A248" s="7">
        <v>42276</v>
      </c>
      <c r="B248" s="8" t="s">
        <v>29</v>
      </c>
      <c r="C248">
        <v>10</v>
      </c>
      <c r="D248" s="8" t="s">
        <v>28</v>
      </c>
      <c r="E248">
        <v>254</v>
      </c>
      <c r="F248">
        <v>2.0499999999999998</v>
      </c>
      <c r="G248">
        <v>3</v>
      </c>
      <c r="N248">
        <f t="shared" si="9"/>
        <v>279.45359347083331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22.338580949836839</v>
      </c>
      <c r="P248">
        <f t="shared" si="10"/>
        <v>22.338580949836839</v>
      </c>
      <c r="S248">
        <f t="shared" si="11"/>
        <v>3.3006329937499994</v>
      </c>
    </row>
    <row r="249" spans="1:19">
      <c r="A249" s="7">
        <v>42276</v>
      </c>
      <c r="B249" s="8" t="s">
        <v>29</v>
      </c>
      <c r="C249">
        <v>10</v>
      </c>
      <c r="D249" s="8" t="s">
        <v>28</v>
      </c>
      <c r="E249">
        <v>264</v>
      </c>
      <c r="F249">
        <v>1.75</v>
      </c>
      <c r="N249">
        <f t="shared" si="9"/>
        <v>211.66462624999997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13.917123</v>
      </c>
      <c r="P249">
        <f t="shared" si="10"/>
        <v>13.917123</v>
      </c>
      <c r="S249">
        <f t="shared" si="11"/>
        <v>2.4052798437499998</v>
      </c>
    </row>
    <row r="250" spans="1:19">
      <c r="A250" s="7">
        <v>42276</v>
      </c>
      <c r="B250" s="8" t="s">
        <v>29</v>
      </c>
      <c r="C250">
        <v>10</v>
      </c>
      <c r="D250" s="8" t="s">
        <v>28</v>
      </c>
      <c r="E250">
        <v>231</v>
      </c>
      <c r="F250">
        <v>1.82</v>
      </c>
      <c r="N250">
        <f t="shared" si="9"/>
        <v>200.31940228299999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11.603658000000003</v>
      </c>
      <c r="P250">
        <f t="shared" si="10"/>
        <v>11.603658000000003</v>
      </c>
      <c r="S250">
        <f t="shared" si="11"/>
        <v>2.6015506790000003</v>
      </c>
    </row>
    <row r="251" spans="1:19">
      <c r="A251" s="7">
        <v>42276</v>
      </c>
      <c r="B251" s="8" t="s">
        <v>29</v>
      </c>
      <c r="C251">
        <v>10</v>
      </c>
      <c r="D251" s="8" t="s">
        <v>28</v>
      </c>
      <c r="E251">
        <v>265</v>
      </c>
      <c r="F251">
        <v>1.6</v>
      </c>
      <c r="G251">
        <v>5</v>
      </c>
      <c r="N251">
        <f t="shared" si="9"/>
        <v>177.60455466666667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16.733969085845334</v>
      </c>
      <c r="P251">
        <f t="shared" si="10"/>
        <v>16.733969085845334</v>
      </c>
      <c r="S251">
        <f t="shared" si="11"/>
        <v>2.0106176000000002</v>
      </c>
    </row>
    <row r="252" spans="1:19">
      <c r="A252" s="7">
        <v>42276</v>
      </c>
      <c r="B252" s="8" t="s">
        <v>29</v>
      </c>
      <c r="C252">
        <v>10</v>
      </c>
      <c r="D252" s="8" t="s">
        <v>28</v>
      </c>
      <c r="E252">
        <v>243</v>
      </c>
      <c r="F252">
        <v>1.91</v>
      </c>
      <c r="N252">
        <f t="shared" si="9"/>
        <v>232.08189819974996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12.444918000000001</v>
      </c>
      <c r="P252">
        <f t="shared" si="10"/>
        <v>12.444918000000001</v>
      </c>
      <c r="S252">
        <f t="shared" si="11"/>
        <v>2.8652086197499997</v>
      </c>
    </row>
    <row r="253" spans="1:19">
      <c r="A253" s="7">
        <v>42276</v>
      </c>
      <c r="B253" s="8" t="s">
        <v>29</v>
      </c>
      <c r="C253">
        <v>10</v>
      </c>
      <c r="D253" s="8" t="s">
        <v>28</v>
      </c>
      <c r="E253">
        <v>123</v>
      </c>
      <c r="F253">
        <v>1.53</v>
      </c>
      <c r="N253">
        <f t="shared" si="9"/>
        <v>75.380017317749989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4.032318000000001</v>
      </c>
      <c r="P253">
        <f t="shared" si="10"/>
        <v>4.032318000000001</v>
      </c>
      <c r="S253">
        <f t="shared" si="11"/>
        <v>1.8385370077499998</v>
      </c>
    </row>
    <row r="254" spans="1:19">
      <c r="A254" s="7">
        <v>42276</v>
      </c>
      <c r="B254" s="8" t="s">
        <v>29</v>
      </c>
      <c r="C254">
        <v>10</v>
      </c>
      <c r="D254" s="8" t="s">
        <v>28</v>
      </c>
      <c r="E254">
        <v>75</v>
      </c>
      <c r="F254">
        <v>0.79</v>
      </c>
      <c r="N254">
        <f t="shared" si="9"/>
        <v>12.254164493750002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0.66727800000000048</v>
      </c>
      <c r="P254">
        <f t="shared" si="10"/>
        <v>0.66727800000000048</v>
      </c>
      <c r="S254">
        <f t="shared" si="11"/>
        <v>0.49016657975000005</v>
      </c>
    </row>
    <row r="255" spans="1:19">
      <c r="A255" s="7">
        <v>42276</v>
      </c>
      <c r="B255" s="8" t="s">
        <v>29</v>
      </c>
      <c r="C255">
        <v>10</v>
      </c>
      <c r="D255" s="8" t="s">
        <v>28</v>
      </c>
      <c r="E255">
        <v>60</v>
      </c>
      <c r="F255">
        <v>0.56999999999999995</v>
      </c>
      <c r="N255">
        <f t="shared" si="9"/>
        <v>5.1035129549999985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-0.38429700000000011</v>
      </c>
      <c r="P255" t="str">
        <f t="shared" si="10"/>
        <v xml:space="preserve"> </v>
      </c>
      <c r="S255">
        <f t="shared" si="11"/>
        <v>0.25517564774999996</v>
      </c>
    </row>
    <row r="256" spans="1:19">
      <c r="A256" s="7">
        <v>42276</v>
      </c>
      <c r="B256" s="8" t="s">
        <v>29</v>
      </c>
      <c r="C256">
        <v>10</v>
      </c>
      <c r="D256" s="8" t="s">
        <v>28</v>
      </c>
      <c r="E256">
        <v>207</v>
      </c>
      <c r="F256">
        <v>1.26</v>
      </c>
      <c r="N256">
        <f t="shared" si="9"/>
        <v>86.035897899000005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9.9211379999999991</v>
      </c>
      <c r="P256">
        <f t="shared" si="10"/>
        <v>9.9211379999999991</v>
      </c>
      <c r="S256">
        <f t="shared" si="11"/>
        <v>1.246897071</v>
      </c>
    </row>
    <row r="257" spans="1:19">
      <c r="A257" s="7">
        <v>42276</v>
      </c>
      <c r="B257" s="8" t="s">
        <v>29</v>
      </c>
      <c r="C257">
        <v>10</v>
      </c>
      <c r="D257" s="8" t="s">
        <v>28</v>
      </c>
      <c r="E257">
        <v>231</v>
      </c>
      <c r="F257">
        <v>1.9</v>
      </c>
      <c r="N257">
        <f t="shared" si="9"/>
        <v>218.31694307499998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11.603658000000003</v>
      </c>
      <c r="P257">
        <f t="shared" si="10"/>
        <v>11.603658000000003</v>
      </c>
      <c r="S257">
        <f t="shared" si="11"/>
        <v>2.835284975</v>
      </c>
    </row>
    <row r="258" spans="1:19">
      <c r="A258" s="7">
        <v>42276</v>
      </c>
      <c r="B258" s="8" t="s">
        <v>29</v>
      </c>
      <c r="C258">
        <v>10</v>
      </c>
      <c r="D258" s="8" t="s">
        <v>28</v>
      </c>
      <c r="E258">
        <v>223</v>
      </c>
      <c r="F258">
        <v>1.31</v>
      </c>
      <c r="N258">
        <f t="shared" si="9"/>
        <v>100.18800163141667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11.042818</v>
      </c>
      <c r="P258">
        <f t="shared" si="10"/>
        <v>11.042818</v>
      </c>
      <c r="S258">
        <f t="shared" si="11"/>
        <v>1.34782064975</v>
      </c>
    </row>
    <row r="259" spans="1:19">
      <c r="A259" s="7">
        <v>42276</v>
      </c>
      <c r="B259" s="8" t="s">
        <v>29</v>
      </c>
      <c r="C259">
        <v>10</v>
      </c>
      <c r="D259" s="8" t="s">
        <v>28</v>
      </c>
      <c r="E259">
        <v>231</v>
      </c>
      <c r="F259">
        <v>1.39</v>
      </c>
      <c r="N259">
        <f t="shared" si="9"/>
        <v>116.84492125074996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11.603658000000003</v>
      </c>
      <c r="P259">
        <f t="shared" si="10"/>
        <v>11.603658000000003</v>
      </c>
      <c r="S259">
        <f t="shared" si="11"/>
        <v>1.5174665097499997</v>
      </c>
    </row>
    <row r="260" spans="1:19">
      <c r="A260" s="7">
        <v>42276</v>
      </c>
      <c r="B260" s="8" t="s">
        <v>29</v>
      </c>
      <c r="C260">
        <v>10</v>
      </c>
      <c r="D260" s="8" t="s">
        <v>28</v>
      </c>
      <c r="E260">
        <v>155</v>
      </c>
      <c r="F260">
        <v>1.1299999999999999</v>
      </c>
      <c r="N260">
        <f t="shared" ref="N260:N323" si="12">IF(OR(D260="S. acutus", D260="S. tabernaemontani", D260="S. californicus"),(1/3)*(3.14159)*((F260/2)^2)*E260,"NA")</f>
        <v>51.815160167083313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6.2756780000000001</v>
      </c>
      <c r="P260">
        <f t="shared" si="10"/>
        <v>6.2756780000000001</v>
      </c>
      <c r="S260">
        <f t="shared" si="11"/>
        <v>1.0028740677499997</v>
      </c>
    </row>
    <row r="261" spans="1:19">
      <c r="A261" s="7">
        <v>42276</v>
      </c>
      <c r="B261" s="8" t="s">
        <v>29</v>
      </c>
      <c r="C261">
        <v>10</v>
      </c>
      <c r="D261" s="8" t="s">
        <v>28</v>
      </c>
      <c r="E261">
        <v>40</v>
      </c>
      <c r="F261">
        <v>0.5</v>
      </c>
      <c r="N261">
        <f t="shared" si="12"/>
        <v>2.6179916666666663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-1.786397</v>
      </c>
      <c r="P261" t="str">
        <f t="shared" ref="P261:P324" si="13">IF(O261&lt;0," ",O261)</f>
        <v xml:space="preserve"> </v>
      </c>
      <c r="S261">
        <f t="shared" ref="S261:S324" si="14">3.14159*((F261/2)^2)</f>
        <v>0.19634937499999999</v>
      </c>
    </row>
    <row r="262" spans="1:19">
      <c r="A262" s="7">
        <v>42276</v>
      </c>
      <c r="B262" s="8" t="s">
        <v>29</v>
      </c>
      <c r="C262">
        <v>10</v>
      </c>
      <c r="D262" s="8" t="s">
        <v>28</v>
      </c>
      <c r="E262">
        <v>74</v>
      </c>
      <c r="F262">
        <v>1.07</v>
      </c>
      <c r="N262">
        <f t="shared" si="12"/>
        <v>22.180306077833329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0.59717300000000062</v>
      </c>
      <c r="P262">
        <f t="shared" si="13"/>
        <v>0.59717300000000062</v>
      </c>
      <c r="S262">
        <f t="shared" si="14"/>
        <v>0.89920159774999997</v>
      </c>
    </row>
    <row r="263" spans="1:19">
      <c r="A263" s="7">
        <v>42276</v>
      </c>
      <c r="B263" s="8" t="s">
        <v>29</v>
      </c>
      <c r="C263">
        <v>10</v>
      </c>
      <c r="D263" s="8" t="s">
        <v>28</v>
      </c>
      <c r="E263">
        <v>122</v>
      </c>
      <c r="F263">
        <v>0.7</v>
      </c>
      <c r="N263">
        <f t="shared" si="12"/>
        <v>15.650354183333331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3.9622130000000011</v>
      </c>
      <c r="P263">
        <f t="shared" si="13"/>
        <v>3.9622130000000011</v>
      </c>
      <c r="S263">
        <f t="shared" si="14"/>
        <v>0.38484477499999992</v>
      </c>
    </row>
    <row r="264" spans="1:19">
      <c r="A264" s="7">
        <v>42276</v>
      </c>
      <c r="B264" s="8" t="s">
        <v>29</v>
      </c>
      <c r="C264">
        <v>8</v>
      </c>
      <c r="D264" s="8" t="s">
        <v>28</v>
      </c>
      <c r="E264">
        <v>205</v>
      </c>
      <c r="F264">
        <v>1.87</v>
      </c>
      <c r="N264">
        <f t="shared" si="12"/>
        <v>187.67452871291667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9.7809279999999994</v>
      </c>
      <c r="P264">
        <f t="shared" si="13"/>
        <v>9.7809279999999994</v>
      </c>
      <c r="S264">
        <f t="shared" si="14"/>
        <v>2.7464565177500004</v>
      </c>
    </row>
    <row r="265" spans="1:19">
      <c r="A265" s="7">
        <v>42276</v>
      </c>
      <c r="B265" s="8" t="s">
        <v>29</v>
      </c>
      <c r="C265">
        <v>8</v>
      </c>
      <c r="D265" s="8" t="s">
        <v>28</v>
      </c>
      <c r="E265">
        <v>127</v>
      </c>
      <c r="F265">
        <v>1.18</v>
      </c>
      <c r="N265">
        <f t="shared" si="12"/>
        <v>46.295203277666658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4.3127380000000004</v>
      </c>
      <c r="P265">
        <f t="shared" si="13"/>
        <v>4.3127380000000004</v>
      </c>
      <c r="S265">
        <f t="shared" si="14"/>
        <v>1.0935874789999998</v>
      </c>
    </row>
    <row r="266" spans="1:19">
      <c r="A266" s="7">
        <v>42276</v>
      </c>
      <c r="B266" s="8" t="s">
        <v>29</v>
      </c>
      <c r="C266">
        <v>8</v>
      </c>
      <c r="D266" s="8" t="s">
        <v>28</v>
      </c>
      <c r="E266">
        <v>111</v>
      </c>
      <c r="F266">
        <v>1.1499999999999999</v>
      </c>
      <c r="N266">
        <f t="shared" si="12"/>
        <v>38.431463168749993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3.191058</v>
      </c>
      <c r="P266">
        <f t="shared" si="13"/>
        <v>3.191058</v>
      </c>
      <c r="S266">
        <f t="shared" si="14"/>
        <v>1.0386881937499999</v>
      </c>
    </row>
    <row r="267" spans="1:19">
      <c r="A267" s="7">
        <v>42276</v>
      </c>
      <c r="B267" s="8" t="s">
        <v>29</v>
      </c>
      <c r="C267">
        <v>8</v>
      </c>
      <c r="D267" s="8" t="s">
        <v>28</v>
      </c>
      <c r="E267">
        <v>196</v>
      </c>
      <c r="F267">
        <v>2.98</v>
      </c>
      <c r="N267">
        <f t="shared" si="12"/>
        <v>455.67673865466662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9.1499829999999989</v>
      </c>
      <c r="P267">
        <f t="shared" si="13"/>
        <v>9.1499829999999989</v>
      </c>
      <c r="S267">
        <f t="shared" si="14"/>
        <v>6.9746439589999998</v>
      </c>
    </row>
    <row r="268" spans="1:19">
      <c r="A268" s="7">
        <v>42276</v>
      </c>
      <c r="B268" s="8" t="s">
        <v>29</v>
      </c>
      <c r="C268">
        <v>8</v>
      </c>
      <c r="D268" s="8" t="s">
        <v>28</v>
      </c>
      <c r="E268">
        <v>120</v>
      </c>
      <c r="F268">
        <v>1.67</v>
      </c>
      <c r="N268">
        <f t="shared" si="12"/>
        <v>87.615803509999992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3.8220029999999996</v>
      </c>
      <c r="P268">
        <f t="shared" si="13"/>
        <v>3.8220029999999996</v>
      </c>
      <c r="S268">
        <f t="shared" si="14"/>
        <v>2.1903950877499998</v>
      </c>
    </row>
    <row r="269" spans="1:19">
      <c r="A269" s="7">
        <v>42276</v>
      </c>
      <c r="B269" s="8" t="s">
        <v>29</v>
      </c>
      <c r="C269">
        <v>8</v>
      </c>
      <c r="D269" s="8" t="s">
        <v>28</v>
      </c>
      <c r="E269">
        <v>172</v>
      </c>
      <c r="F269">
        <v>1.48</v>
      </c>
      <c r="N269">
        <f t="shared" si="12"/>
        <v>98.632521882666651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7.4674629999999995</v>
      </c>
      <c r="P269">
        <f t="shared" si="13"/>
        <v>7.4674629999999995</v>
      </c>
      <c r="S269">
        <f t="shared" si="14"/>
        <v>1.7203346839999998</v>
      </c>
    </row>
    <row r="270" spans="1:19">
      <c r="A270" s="7">
        <v>42276</v>
      </c>
      <c r="B270" s="8" t="s">
        <v>29</v>
      </c>
      <c r="C270">
        <v>8</v>
      </c>
      <c r="D270" s="8" t="s">
        <v>28</v>
      </c>
      <c r="E270">
        <v>21</v>
      </c>
      <c r="F270">
        <v>0.33</v>
      </c>
      <c r="N270">
        <f t="shared" si="12"/>
        <v>0.59870851425000005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-3.1183920000000001</v>
      </c>
      <c r="P270" t="str">
        <f t="shared" si="13"/>
        <v xml:space="preserve"> </v>
      </c>
      <c r="S270">
        <f t="shared" si="14"/>
        <v>8.5529787750000003E-2</v>
      </c>
    </row>
    <row r="271" spans="1:19">
      <c r="A271" s="7">
        <v>42276</v>
      </c>
      <c r="B271" s="8" t="s">
        <v>29</v>
      </c>
      <c r="C271">
        <v>8</v>
      </c>
      <c r="D271" s="8" t="s">
        <v>28</v>
      </c>
      <c r="E271">
        <v>148</v>
      </c>
      <c r="F271">
        <v>1.1499999999999999</v>
      </c>
      <c r="N271">
        <f t="shared" si="12"/>
        <v>51.241950891666654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5.7849430000000011</v>
      </c>
      <c r="P271">
        <f t="shared" si="13"/>
        <v>5.7849430000000011</v>
      </c>
      <c r="S271">
        <f t="shared" si="14"/>
        <v>1.0386881937499999</v>
      </c>
    </row>
    <row r="272" spans="1:19">
      <c r="A272" s="7">
        <v>42276</v>
      </c>
      <c r="B272" s="8" t="s">
        <v>29</v>
      </c>
      <c r="C272">
        <v>8</v>
      </c>
      <c r="D272" s="8" t="s">
        <v>28</v>
      </c>
      <c r="E272">
        <v>136</v>
      </c>
      <c r="F272">
        <v>1.48</v>
      </c>
      <c r="N272">
        <f t="shared" si="12"/>
        <v>77.988505674666655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4.9436830000000009</v>
      </c>
      <c r="P272">
        <f t="shared" si="13"/>
        <v>4.9436830000000009</v>
      </c>
      <c r="S272">
        <f t="shared" si="14"/>
        <v>1.7203346839999998</v>
      </c>
    </row>
    <row r="273" spans="1:19">
      <c r="A273" s="7">
        <v>42276</v>
      </c>
      <c r="B273" s="8" t="s">
        <v>29</v>
      </c>
      <c r="C273">
        <v>8</v>
      </c>
      <c r="D273" s="8" t="s">
        <v>28</v>
      </c>
      <c r="E273">
        <v>66</v>
      </c>
      <c r="F273">
        <v>0.57999999999999996</v>
      </c>
      <c r="N273">
        <f t="shared" si="12"/>
        <v>5.8125698179999983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3.6332999999999949E-2</v>
      </c>
      <c r="P273">
        <f t="shared" si="13"/>
        <v>3.6332999999999949E-2</v>
      </c>
      <c r="S273">
        <f t="shared" si="14"/>
        <v>0.26420771899999995</v>
      </c>
    </row>
    <row r="274" spans="1:19">
      <c r="A274" s="7">
        <v>42276</v>
      </c>
      <c r="B274" s="8" t="s">
        <v>29</v>
      </c>
      <c r="C274">
        <v>8</v>
      </c>
      <c r="D274" s="8" t="s">
        <v>28</v>
      </c>
      <c r="E274">
        <v>53</v>
      </c>
      <c r="F274">
        <v>1.68</v>
      </c>
      <c r="N274">
        <f t="shared" si="12"/>
        <v>39.161804303999993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-0.87503199999999959</v>
      </c>
      <c r="P274" t="str">
        <f t="shared" si="13"/>
        <v xml:space="preserve"> </v>
      </c>
      <c r="S274">
        <f t="shared" si="14"/>
        <v>2.2167059039999994</v>
      </c>
    </row>
    <row r="275" spans="1:19">
      <c r="A275" s="7">
        <v>42276</v>
      </c>
      <c r="B275" s="8" t="s">
        <v>29</v>
      </c>
      <c r="C275">
        <v>8</v>
      </c>
      <c r="D275" s="8" t="s">
        <v>28</v>
      </c>
      <c r="E275">
        <v>117</v>
      </c>
      <c r="F275">
        <v>1.31</v>
      </c>
      <c r="N275">
        <f t="shared" si="12"/>
        <v>52.565005340250003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3.611688</v>
      </c>
      <c r="P275">
        <f t="shared" si="13"/>
        <v>3.611688</v>
      </c>
      <c r="S275">
        <f t="shared" si="14"/>
        <v>1.34782064975</v>
      </c>
    </row>
    <row r="276" spans="1:19">
      <c r="A276" s="7">
        <v>42276</v>
      </c>
      <c r="B276" s="8" t="s">
        <v>29</v>
      </c>
      <c r="C276">
        <v>8</v>
      </c>
      <c r="D276" s="8" t="s">
        <v>28</v>
      </c>
      <c r="E276">
        <v>46</v>
      </c>
      <c r="F276">
        <v>0.51</v>
      </c>
      <c r="N276">
        <f t="shared" si="12"/>
        <v>3.1323223094999992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-1.365767</v>
      </c>
      <c r="P276" t="str">
        <f t="shared" si="13"/>
        <v xml:space="preserve"> </v>
      </c>
      <c r="S276">
        <f t="shared" si="14"/>
        <v>0.20428188975</v>
      </c>
    </row>
    <row r="277" spans="1:19">
      <c r="A277" s="7">
        <v>42276</v>
      </c>
      <c r="B277" s="8" t="s">
        <v>29</v>
      </c>
      <c r="C277">
        <v>8</v>
      </c>
      <c r="D277" s="8" t="s">
        <v>28</v>
      </c>
      <c r="E277">
        <v>162</v>
      </c>
      <c r="F277">
        <v>1.21</v>
      </c>
      <c r="N277">
        <f t="shared" si="12"/>
        <v>62.094625906499992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6.7664130000000009</v>
      </c>
      <c r="P277">
        <f t="shared" si="13"/>
        <v>6.7664130000000009</v>
      </c>
      <c r="S277">
        <f t="shared" si="14"/>
        <v>1.1499004797499999</v>
      </c>
    </row>
    <row r="278" spans="1:19">
      <c r="A278" s="7">
        <v>42276</v>
      </c>
      <c r="B278" s="8" t="s">
        <v>29</v>
      </c>
      <c r="C278">
        <v>8</v>
      </c>
      <c r="D278" s="8" t="s">
        <v>28</v>
      </c>
      <c r="E278">
        <v>142</v>
      </c>
      <c r="F278">
        <v>1.44</v>
      </c>
      <c r="N278">
        <f t="shared" si="12"/>
        <v>77.087078783999985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5.3643130000000001</v>
      </c>
      <c r="P278">
        <f t="shared" si="13"/>
        <v>5.3643130000000001</v>
      </c>
      <c r="S278">
        <f t="shared" si="14"/>
        <v>1.6286002559999999</v>
      </c>
    </row>
    <row r="279" spans="1:19">
      <c r="A279" s="7">
        <v>42276</v>
      </c>
      <c r="B279" s="8" t="s">
        <v>29</v>
      </c>
      <c r="C279">
        <v>8</v>
      </c>
      <c r="D279" s="8" t="s">
        <v>28</v>
      </c>
      <c r="E279">
        <v>234</v>
      </c>
      <c r="F279">
        <v>2.19</v>
      </c>
      <c r="N279">
        <f t="shared" si="12"/>
        <v>293.81390608049998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11.813973000000001</v>
      </c>
      <c r="P279">
        <f t="shared" si="13"/>
        <v>11.813973000000001</v>
      </c>
      <c r="S279">
        <f t="shared" si="14"/>
        <v>3.7668449497499998</v>
      </c>
    </row>
    <row r="280" spans="1:19">
      <c r="A280" s="7">
        <v>42276</v>
      </c>
      <c r="B280" s="8" t="s">
        <v>29</v>
      </c>
      <c r="C280">
        <v>8</v>
      </c>
      <c r="D280" s="8" t="s">
        <v>28</v>
      </c>
      <c r="E280">
        <v>253</v>
      </c>
      <c r="F280">
        <v>1.76</v>
      </c>
      <c r="N280">
        <f t="shared" si="12"/>
        <v>205.17012196266663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13.145968</v>
      </c>
      <c r="P280">
        <f t="shared" si="13"/>
        <v>13.145968</v>
      </c>
      <c r="S280">
        <f t="shared" si="14"/>
        <v>2.4328472959999998</v>
      </c>
    </row>
    <row r="281" spans="1:19">
      <c r="A281" s="7">
        <v>42276</v>
      </c>
      <c r="B281" s="8" t="s">
        <v>29</v>
      </c>
      <c r="C281">
        <v>8</v>
      </c>
      <c r="D281" s="8" t="s">
        <v>28</v>
      </c>
      <c r="E281">
        <v>64</v>
      </c>
      <c r="F281">
        <v>1.34</v>
      </c>
      <c r="N281">
        <f t="shared" si="12"/>
        <v>30.085541354666667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-0.10387699999999978</v>
      </c>
      <c r="P281" t="str">
        <f t="shared" si="13"/>
        <v xml:space="preserve"> </v>
      </c>
      <c r="S281">
        <f t="shared" si="14"/>
        <v>1.4102597510000001</v>
      </c>
    </row>
    <row r="282" spans="1:19">
      <c r="A282" s="7">
        <v>42276</v>
      </c>
      <c r="B282" s="8" t="s">
        <v>29</v>
      </c>
      <c r="C282">
        <v>8</v>
      </c>
      <c r="D282" s="8" t="s">
        <v>28</v>
      </c>
      <c r="E282">
        <v>105</v>
      </c>
      <c r="F282">
        <v>1</v>
      </c>
      <c r="N282">
        <f t="shared" si="12"/>
        <v>27.488912499999998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2.7704279999999999</v>
      </c>
      <c r="P282">
        <f t="shared" si="13"/>
        <v>2.7704279999999999</v>
      </c>
      <c r="S282">
        <f t="shared" si="14"/>
        <v>0.78539749999999997</v>
      </c>
    </row>
    <row r="283" spans="1:19">
      <c r="A283" s="7">
        <v>42276</v>
      </c>
      <c r="B283" s="8" t="s">
        <v>29</v>
      </c>
      <c r="C283">
        <v>8</v>
      </c>
      <c r="D283" s="8" t="s">
        <v>28</v>
      </c>
      <c r="E283">
        <v>152</v>
      </c>
      <c r="F283">
        <v>1.98</v>
      </c>
      <c r="N283">
        <f t="shared" si="12"/>
        <v>156.006332856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6.0653630000000005</v>
      </c>
      <c r="P283">
        <f t="shared" si="13"/>
        <v>6.0653630000000005</v>
      </c>
      <c r="S283">
        <f t="shared" si="14"/>
        <v>3.079072359</v>
      </c>
    </row>
    <row r="284" spans="1:19">
      <c r="A284" s="7">
        <v>42276</v>
      </c>
      <c r="B284" s="8" t="s">
        <v>29</v>
      </c>
      <c r="C284">
        <v>8</v>
      </c>
      <c r="D284" s="8" t="s">
        <v>28</v>
      </c>
      <c r="E284">
        <v>30</v>
      </c>
      <c r="F284">
        <v>0.25</v>
      </c>
      <c r="N284">
        <f t="shared" si="12"/>
        <v>0.49087343749999995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-2.487447</v>
      </c>
      <c r="P284" t="str">
        <f t="shared" si="13"/>
        <v xml:space="preserve"> </v>
      </c>
      <c r="S284">
        <f t="shared" si="14"/>
        <v>4.9087343749999998E-2</v>
      </c>
    </row>
    <row r="285" spans="1:19">
      <c r="A285" s="7">
        <v>42276</v>
      </c>
      <c r="B285" s="8" t="s">
        <v>29</v>
      </c>
      <c r="C285">
        <v>8</v>
      </c>
      <c r="D285" s="8" t="s">
        <v>28</v>
      </c>
      <c r="E285">
        <v>61</v>
      </c>
      <c r="F285">
        <v>0.5</v>
      </c>
      <c r="N285">
        <f t="shared" si="12"/>
        <v>3.9924372916666662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-0.31419199999999936</v>
      </c>
      <c r="P285" t="str">
        <f t="shared" si="13"/>
        <v xml:space="preserve"> </v>
      </c>
      <c r="S285">
        <f t="shared" si="14"/>
        <v>0.19634937499999999</v>
      </c>
    </row>
    <row r="286" spans="1:19">
      <c r="A286" s="7">
        <v>42276</v>
      </c>
      <c r="B286" s="8" t="s">
        <v>29</v>
      </c>
      <c r="C286">
        <v>8</v>
      </c>
      <c r="D286" s="8" t="s">
        <v>28</v>
      </c>
      <c r="E286">
        <v>49</v>
      </c>
      <c r="F286">
        <v>0.48</v>
      </c>
      <c r="N286">
        <f t="shared" si="12"/>
        <v>2.9556078719999994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-1.1554519999999999</v>
      </c>
      <c r="P286" t="str">
        <f t="shared" si="13"/>
        <v xml:space="preserve"> </v>
      </c>
      <c r="S286">
        <f t="shared" si="14"/>
        <v>0.18095558399999997</v>
      </c>
    </row>
    <row r="287" spans="1:19">
      <c r="A287" s="7">
        <v>42276</v>
      </c>
      <c r="B287" s="8" t="s">
        <v>29</v>
      </c>
      <c r="C287">
        <v>8</v>
      </c>
      <c r="D287" s="8" t="s">
        <v>28</v>
      </c>
      <c r="E287">
        <v>149</v>
      </c>
      <c r="F287">
        <v>1.94</v>
      </c>
      <c r="N287">
        <f t="shared" si="12"/>
        <v>146.8107942063333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5.8550480000000009</v>
      </c>
      <c r="P287">
        <f t="shared" si="13"/>
        <v>5.8550480000000009</v>
      </c>
      <c r="S287">
        <f t="shared" si="14"/>
        <v>2.9559220309999996</v>
      </c>
    </row>
    <row r="288" spans="1:19">
      <c r="A288" s="7">
        <v>42276</v>
      </c>
      <c r="B288" s="8" t="s">
        <v>29</v>
      </c>
      <c r="C288">
        <v>8</v>
      </c>
      <c r="D288" s="8" t="s">
        <v>28</v>
      </c>
      <c r="E288">
        <v>131</v>
      </c>
      <c r="F288">
        <v>1.94</v>
      </c>
      <c r="N288">
        <f t="shared" si="12"/>
        <v>129.0752620203333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4.5931579999999999</v>
      </c>
      <c r="P288">
        <f t="shared" si="13"/>
        <v>4.5931579999999999</v>
      </c>
      <c r="S288">
        <f t="shared" si="14"/>
        <v>2.9559220309999996</v>
      </c>
    </row>
    <row r="289" spans="1:19">
      <c r="A289" s="7">
        <v>42276</v>
      </c>
      <c r="B289" s="8" t="s">
        <v>29</v>
      </c>
      <c r="C289">
        <v>8</v>
      </c>
      <c r="D289" s="8" t="s">
        <v>28</v>
      </c>
      <c r="E289">
        <v>182</v>
      </c>
      <c r="F289">
        <v>1.99</v>
      </c>
      <c r="N289">
        <f t="shared" si="12"/>
        <v>188.68866014483334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8.1685130000000008</v>
      </c>
      <c r="P289">
        <f t="shared" si="13"/>
        <v>8.1685130000000008</v>
      </c>
      <c r="S289">
        <f t="shared" si="14"/>
        <v>3.1102526397500001</v>
      </c>
    </row>
    <row r="290" spans="1:19">
      <c r="A290" s="7">
        <v>42276</v>
      </c>
      <c r="B290" s="8" t="s">
        <v>29</v>
      </c>
      <c r="C290">
        <v>8</v>
      </c>
      <c r="D290" s="8" t="s">
        <v>28</v>
      </c>
      <c r="E290">
        <v>99</v>
      </c>
      <c r="F290">
        <v>1.02</v>
      </c>
      <c r="N290">
        <f t="shared" si="12"/>
        <v>26.965209446999996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2.3497979999999998</v>
      </c>
      <c r="P290">
        <f t="shared" si="13"/>
        <v>2.3497979999999998</v>
      </c>
      <c r="S290">
        <f t="shared" si="14"/>
        <v>0.817127559</v>
      </c>
    </row>
    <row r="291" spans="1:19">
      <c r="A291" s="7">
        <v>42276</v>
      </c>
      <c r="B291" s="8" t="s">
        <v>29</v>
      </c>
      <c r="C291">
        <v>8</v>
      </c>
      <c r="D291" s="8" t="s">
        <v>28</v>
      </c>
      <c r="E291">
        <v>129</v>
      </c>
      <c r="F291">
        <v>0.95</v>
      </c>
      <c r="N291">
        <f t="shared" si="12"/>
        <v>30.479313481249996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4.4529480000000001</v>
      </c>
      <c r="P291">
        <f t="shared" si="13"/>
        <v>4.4529480000000001</v>
      </c>
      <c r="S291">
        <f t="shared" si="14"/>
        <v>0.70882124375</v>
      </c>
    </row>
    <row r="292" spans="1:19">
      <c r="A292" s="7">
        <v>42276</v>
      </c>
      <c r="B292" s="8" t="s">
        <v>29</v>
      </c>
      <c r="C292">
        <v>8</v>
      </c>
      <c r="D292" s="8" t="s">
        <v>28</v>
      </c>
      <c r="E292">
        <v>177</v>
      </c>
      <c r="F292">
        <v>1.34</v>
      </c>
      <c r="N292">
        <f t="shared" si="12"/>
        <v>83.205325309000003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7.8179880000000006</v>
      </c>
      <c r="P292">
        <f t="shared" si="13"/>
        <v>7.8179880000000006</v>
      </c>
      <c r="S292">
        <f t="shared" si="14"/>
        <v>1.4102597510000001</v>
      </c>
    </row>
    <row r="293" spans="1:19">
      <c r="A293" s="7">
        <v>42276</v>
      </c>
      <c r="B293" s="8" t="s">
        <v>29</v>
      </c>
      <c r="C293">
        <v>8</v>
      </c>
      <c r="D293" s="8" t="s">
        <v>28</v>
      </c>
      <c r="E293">
        <v>173</v>
      </c>
      <c r="F293">
        <v>1.1000000000000001</v>
      </c>
      <c r="N293">
        <f t="shared" si="12"/>
        <v>54.802419558333334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7.5375680000000012</v>
      </c>
      <c r="P293">
        <f t="shared" si="13"/>
        <v>7.5375680000000012</v>
      </c>
      <c r="S293">
        <f t="shared" si="14"/>
        <v>0.95033097500000008</v>
      </c>
    </row>
    <row r="294" spans="1:19">
      <c r="A294" s="7">
        <v>42276</v>
      </c>
      <c r="B294" s="8" t="s">
        <v>29</v>
      </c>
      <c r="C294">
        <v>8</v>
      </c>
      <c r="D294" s="8" t="s">
        <v>28</v>
      </c>
      <c r="E294">
        <v>165</v>
      </c>
      <c r="F294">
        <v>1.89</v>
      </c>
      <c r="J294" s="8"/>
      <c r="N294">
        <f t="shared" si="12"/>
        <v>154.30351253624997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6.9767280000000005</v>
      </c>
      <c r="P294">
        <f t="shared" si="13"/>
        <v>6.9767280000000005</v>
      </c>
      <c r="S294">
        <f t="shared" si="14"/>
        <v>2.8055184097499999</v>
      </c>
    </row>
    <row r="295" spans="1:19">
      <c r="A295" s="7">
        <v>42276</v>
      </c>
      <c r="B295" s="8" t="s">
        <v>29</v>
      </c>
      <c r="C295">
        <v>8</v>
      </c>
      <c r="D295" s="8" t="s">
        <v>28</v>
      </c>
      <c r="E295">
        <v>155</v>
      </c>
      <c r="F295">
        <v>1.1499999999999999</v>
      </c>
      <c r="J295" s="8"/>
      <c r="N295">
        <f t="shared" si="12"/>
        <v>53.665556677083316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6.2756780000000001</v>
      </c>
      <c r="P295">
        <f t="shared" si="13"/>
        <v>6.2756780000000001</v>
      </c>
      <c r="S295">
        <f t="shared" si="14"/>
        <v>1.0386881937499999</v>
      </c>
    </row>
    <row r="296" spans="1:19">
      <c r="A296" s="7">
        <v>42276</v>
      </c>
      <c r="B296" s="8" t="s">
        <v>29</v>
      </c>
      <c r="C296">
        <v>8</v>
      </c>
      <c r="D296" s="8" t="s">
        <v>28</v>
      </c>
      <c r="E296">
        <v>162</v>
      </c>
      <c r="F296">
        <v>1.65</v>
      </c>
      <c r="N296">
        <f t="shared" si="12"/>
        <v>115.46521346249997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6.7664130000000009</v>
      </c>
      <c r="P296">
        <f t="shared" si="13"/>
        <v>6.7664130000000009</v>
      </c>
      <c r="S296">
        <f t="shared" si="14"/>
        <v>2.1382446937499995</v>
      </c>
    </row>
    <row r="297" spans="1:19">
      <c r="A297" s="7">
        <v>42276</v>
      </c>
      <c r="B297" s="8" t="s">
        <v>29</v>
      </c>
      <c r="C297">
        <v>8</v>
      </c>
      <c r="D297" s="8" t="s">
        <v>28</v>
      </c>
      <c r="E297">
        <v>107</v>
      </c>
      <c r="F297">
        <v>0.69</v>
      </c>
      <c r="N297">
        <f t="shared" si="12"/>
        <v>13.336756407749997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2.9106380000000005</v>
      </c>
      <c r="P297">
        <f t="shared" si="13"/>
        <v>2.9106380000000005</v>
      </c>
      <c r="S297">
        <f t="shared" si="14"/>
        <v>0.37392774974999993</v>
      </c>
    </row>
    <row r="298" spans="1:19">
      <c r="A298" s="7">
        <v>42276</v>
      </c>
      <c r="B298" s="8" t="s">
        <v>29</v>
      </c>
      <c r="C298">
        <v>8</v>
      </c>
      <c r="D298" s="8" t="s">
        <v>28</v>
      </c>
      <c r="E298">
        <v>108</v>
      </c>
      <c r="F298">
        <v>1.2</v>
      </c>
      <c r="N298">
        <f t="shared" si="12"/>
        <v>40.715006399999993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2.9807430000000004</v>
      </c>
      <c r="P298">
        <f t="shared" si="13"/>
        <v>2.9807430000000004</v>
      </c>
      <c r="S298">
        <f t="shared" si="14"/>
        <v>1.1309723999999999</v>
      </c>
    </row>
    <row r="299" spans="1:19">
      <c r="A299" s="7">
        <v>42276</v>
      </c>
      <c r="B299" s="8" t="s">
        <v>29</v>
      </c>
      <c r="C299">
        <v>8</v>
      </c>
      <c r="D299" s="8" t="s">
        <v>28</v>
      </c>
      <c r="E299">
        <v>106</v>
      </c>
      <c r="F299">
        <v>1.42</v>
      </c>
      <c r="N299">
        <f t="shared" si="12"/>
        <v>55.956535004666662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2.8405330000000006</v>
      </c>
      <c r="P299">
        <f t="shared" si="13"/>
        <v>2.8405330000000006</v>
      </c>
      <c r="S299">
        <f t="shared" si="14"/>
        <v>1.5836755189999998</v>
      </c>
    </row>
    <row r="300" spans="1:19">
      <c r="A300" s="7">
        <v>42276</v>
      </c>
      <c r="B300" s="8" t="s">
        <v>29</v>
      </c>
      <c r="C300">
        <v>8</v>
      </c>
      <c r="D300" s="8" t="s">
        <v>28</v>
      </c>
      <c r="E300">
        <v>87</v>
      </c>
      <c r="F300">
        <v>0.85</v>
      </c>
      <c r="N300">
        <f t="shared" si="12"/>
        <v>16.456041118749994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1.5085380000000006</v>
      </c>
      <c r="P300">
        <f t="shared" si="13"/>
        <v>1.5085380000000006</v>
      </c>
      <c r="S300">
        <f t="shared" si="14"/>
        <v>0.56744969374999987</v>
      </c>
    </row>
    <row r="301" spans="1:19">
      <c r="A301" s="7">
        <v>42276</v>
      </c>
      <c r="B301" s="8" t="s">
        <v>29</v>
      </c>
      <c r="C301">
        <v>8</v>
      </c>
      <c r="D301" s="8" t="s">
        <v>28</v>
      </c>
      <c r="E301">
        <v>54</v>
      </c>
      <c r="F301">
        <v>0.6</v>
      </c>
      <c r="N301">
        <f t="shared" si="12"/>
        <v>5.0893757999999991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-0.80492699999999973</v>
      </c>
      <c r="P301" t="str">
        <f t="shared" si="13"/>
        <v xml:space="preserve"> </v>
      </c>
      <c r="S301">
        <f t="shared" si="14"/>
        <v>0.28274309999999997</v>
      </c>
    </row>
    <row r="302" spans="1:19">
      <c r="A302" s="7">
        <v>42276</v>
      </c>
      <c r="B302" s="8" t="s">
        <v>29</v>
      </c>
      <c r="C302">
        <v>8</v>
      </c>
      <c r="D302" s="8" t="s">
        <v>28</v>
      </c>
      <c r="E302">
        <v>107</v>
      </c>
      <c r="F302">
        <v>1.51</v>
      </c>
      <c r="N302">
        <f t="shared" si="12"/>
        <v>63.871325951083328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2.9106380000000005</v>
      </c>
      <c r="P302">
        <f t="shared" si="13"/>
        <v>2.9106380000000005</v>
      </c>
      <c r="S302">
        <f t="shared" si="14"/>
        <v>1.7907848397499999</v>
      </c>
    </row>
    <row r="303" spans="1:19">
      <c r="A303" s="7">
        <v>42276</v>
      </c>
      <c r="B303" s="8" t="s">
        <v>29</v>
      </c>
      <c r="C303">
        <v>8</v>
      </c>
      <c r="D303" s="8" t="s">
        <v>28</v>
      </c>
      <c r="E303">
        <v>155</v>
      </c>
      <c r="F303">
        <v>1.18</v>
      </c>
      <c r="N303">
        <f t="shared" si="12"/>
        <v>56.502019748333325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6.2756780000000001</v>
      </c>
      <c r="P303">
        <f t="shared" si="13"/>
        <v>6.2756780000000001</v>
      </c>
      <c r="S303">
        <f t="shared" si="14"/>
        <v>1.0935874789999998</v>
      </c>
    </row>
    <row r="304" spans="1:19">
      <c r="A304" s="7">
        <v>42276</v>
      </c>
      <c r="B304" s="8" t="s">
        <v>29</v>
      </c>
      <c r="C304">
        <v>8</v>
      </c>
      <c r="D304" s="8" t="s">
        <v>28</v>
      </c>
      <c r="E304">
        <v>196</v>
      </c>
      <c r="F304">
        <v>1.78</v>
      </c>
      <c r="N304">
        <f t="shared" si="12"/>
        <v>162.57895801466665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9.1499829999999989</v>
      </c>
      <c r="P304">
        <f t="shared" si="13"/>
        <v>9.1499829999999989</v>
      </c>
      <c r="S304">
        <f t="shared" si="14"/>
        <v>2.4884534390000002</v>
      </c>
    </row>
    <row r="305" spans="1:19">
      <c r="A305" s="7">
        <v>42276</v>
      </c>
      <c r="B305" s="8" t="s">
        <v>29</v>
      </c>
      <c r="C305">
        <v>8</v>
      </c>
      <c r="D305" s="8" t="s">
        <v>28</v>
      </c>
      <c r="E305">
        <v>200</v>
      </c>
      <c r="F305">
        <v>1.34</v>
      </c>
      <c r="N305">
        <f t="shared" si="12"/>
        <v>94.017316733333331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9.4304030000000019</v>
      </c>
      <c r="P305">
        <f t="shared" si="13"/>
        <v>9.4304030000000019</v>
      </c>
      <c r="S305">
        <f t="shared" si="14"/>
        <v>1.4102597510000001</v>
      </c>
    </row>
    <row r="306" spans="1:19">
      <c r="A306" s="7">
        <v>42276</v>
      </c>
      <c r="B306" s="8" t="s">
        <v>29</v>
      </c>
      <c r="C306">
        <v>8</v>
      </c>
      <c r="D306" s="8" t="s">
        <v>28</v>
      </c>
      <c r="E306">
        <v>182</v>
      </c>
      <c r="F306">
        <v>1.43</v>
      </c>
      <c r="N306">
        <f t="shared" si="12"/>
        <v>97.43426709683331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8.1685130000000008</v>
      </c>
      <c r="P306">
        <f t="shared" si="13"/>
        <v>8.1685130000000008</v>
      </c>
      <c r="S306">
        <f t="shared" si="14"/>
        <v>1.6060593477499998</v>
      </c>
    </row>
    <row r="307" spans="1:19">
      <c r="A307" s="7">
        <v>42276</v>
      </c>
      <c r="B307" s="8" t="s">
        <v>29</v>
      </c>
      <c r="C307">
        <v>8</v>
      </c>
      <c r="D307" s="8" t="s">
        <v>28</v>
      </c>
      <c r="E307">
        <v>215</v>
      </c>
      <c r="F307">
        <v>1.65</v>
      </c>
      <c r="N307">
        <f t="shared" si="12"/>
        <v>153.24086971874996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10.481978000000002</v>
      </c>
      <c r="P307">
        <f t="shared" si="13"/>
        <v>10.481978000000002</v>
      </c>
      <c r="S307">
        <f t="shared" si="14"/>
        <v>2.1382446937499995</v>
      </c>
    </row>
    <row r="308" spans="1:19">
      <c r="A308" s="7">
        <v>42276</v>
      </c>
      <c r="B308" s="8" t="s">
        <v>29</v>
      </c>
      <c r="C308">
        <v>8</v>
      </c>
      <c r="D308" s="8" t="s">
        <v>28</v>
      </c>
      <c r="E308">
        <v>78</v>
      </c>
      <c r="F308">
        <v>1.81</v>
      </c>
      <c r="N308">
        <f t="shared" si="12"/>
        <v>66.89905949349999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0.87759300000000007</v>
      </c>
      <c r="P308">
        <f t="shared" si="13"/>
        <v>0.87759300000000007</v>
      </c>
      <c r="S308">
        <f t="shared" si="14"/>
        <v>2.5730407497500001</v>
      </c>
    </row>
    <row r="309" spans="1:19">
      <c r="A309" s="7">
        <v>42276</v>
      </c>
      <c r="B309" s="8" t="s">
        <v>29</v>
      </c>
      <c r="C309">
        <v>8</v>
      </c>
      <c r="D309" s="8" t="s">
        <v>28</v>
      </c>
      <c r="E309">
        <v>60</v>
      </c>
      <c r="F309">
        <v>0.56999999999999995</v>
      </c>
      <c r="N309">
        <f t="shared" si="12"/>
        <v>5.1035129549999985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-0.38429700000000011</v>
      </c>
      <c r="P309" t="str">
        <f t="shared" si="13"/>
        <v xml:space="preserve"> </v>
      </c>
      <c r="S309">
        <f t="shared" si="14"/>
        <v>0.25517564774999996</v>
      </c>
    </row>
    <row r="310" spans="1:19">
      <c r="A310" s="7">
        <v>42276</v>
      </c>
      <c r="B310" s="8" t="s">
        <v>29</v>
      </c>
      <c r="C310">
        <v>8</v>
      </c>
      <c r="D310" s="8" t="s">
        <v>28</v>
      </c>
      <c r="E310">
        <v>87</v>
      </c>
      <c r="F310">
        <v>0.71</v>
      </c>
      <c r="N310">
        <f t="shared" si="12"/>
        <v>11.48164751275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1.5085380000000006</v>
      </c>
      <c r="P310">
        <f t="shared" si="13"/>
        <v>1.5085380000000006</v>
      </c>
      <c r="S310">
        <f t="shared" si="14"/>
        <v>0.39591887974999995</v>
      </c>
    </row>
    <row r="311" spans="1:19">
      <c r="A311" s="7">
        <v>42276</v>
      </c>
      <c r="B311" s="8" t="s">
        <v>29</v>
      </c>
      <c r="C311">
        <v>8</v>
      </c>
      <c r="D311" s="8" t="s">
        <v>28</v>
      </c>
      <c r="E311">
        <v>138</v>
      </c>
      <c r="F311">
        <v>1.34</v>
      </c>
      <c r="N311">
        <f t="shared" si="12"/>
        <v>64.871948545999999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5.0838930000000007</v>
      </c>
      <c r="P311">
        <f t="shared" si="13"/>
        <v>5.0838930000000007</v>
      </c>
      <c r="S311">
        <f t="shared" si="14"/>
        <v>1.4102597510000001</v>
      </c>
    </row>
    <row r="312" spans="1:19">
      <c r="A312" s="7">
        <v>42276</v>
      </c>
      <c r="B312" s="8" t="s">
        <v>29</v>
      </c>
      <c r="C312">
        <v>8</v>
      </c>
      <c r="D312" s="8" t="s">
        <v>28</v>
      </c>
      <c r="E312">
        <v>175</v>
      </c>
      <c r="F312">
        <v>1.57</v>
      </c>
      <c r="N312">
        <f t="shared" si="12"/>
        <v>112.92903403541666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7.6777780000000009</v>
      </c>
      <c r="P312">
        <f t="shared" si="13"/>
        <v>7.6777780000000009</v>
      </c>
      <c r="S312">
        <f t="shared" si="14"/>
        <v>1.93592629775</v>
      </c>
    </row>
    <row r="313" spans="1:19">
      <c r="A313" s="7">
        <v>42276</v>
      </c>
      <c r="B313" s="8" t="s">
        <v>29</v>
      </c>
      <c r="C313">
        <v>8</v>
      </c>
      <c r="D313" s="8" t="s">
        <v>28</v>
      </c>
      <c r="E313">
        <v>181</v>
      </c>
      <c r="F313">
        <v>1.6</v>
      </c>
      <c r="N313">
        <f t="shared" si="12"/>
        <v>121.30726186666668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8.0984079999999992</v>
      </c>
      <c r="P313">
        <f t="shared" si="13"/>
        <v>8.0984079999999992</v>
      </c>
      <c r="S313">
        <f t="shared" si="14"/>
        <v>2.0106176000000002</v>
      </c>
    </row>
    <row r="314" spans="1:19">
      <c r="A314" s="7">
        <v>42276</v>
      </c>
      <c r="B314" s="8" t="s">
        <v>29</v>
      </c>
      <c r="C314">
        <v>8</v>
      </c>
      <c r="D314" s="8" t="s">
        <v>28</v>
      </c>
      <c r="E314">
        <v>49</v>
      </c>
      <c r="F314">
        <v>0.56000000000000005</v>
      </c>
      <c r="N314">
        <f t="shared" si="12"/>
        <v>4.0229107146666667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-1.1554519999999999</v>
      </c>
      <c r="P314" t="str">
        <f t="shared" si="13"/>
        <v xml:space="preserve"> </v>
      </c>
      <c r="S314">
        <f t="shared" si="14"/>
        <v>0.24630065600000003</v>
      </c>
    </row>
    <row r="315" spans="1:19">
      <c r="A315" s="7">
        <v>42276</v>
      </c>
      <c r="B315" s="8" t="s">
        <v>29</v>
      </c>
      <c r="C315">
        <v>8</v>
      </c>
      <c r="D315" s="8" t="s">
        <v>28</v>
      </c>
      <c r="E315">
        <v>41</v>
      </c>
      <c r="F315">
        <v>0.45</v>
      </c>
      <c r="N315">
        <f t="shared" si="12"/>
        <v>2.1735875812500001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-1.7162919999999997</v>
      </c>
      <c r="P315" t="str">
        <f t="shared" si="13"/>
        <v xml:space="preserve"> </v>
      </c>
      <c r="S315">
        <f t="shared" si="14"/>
        <v>0.15904299375</v>
      </c>
    </row>
    <row r="316" spans="1:19">
      <c r="A316" s="7">
        <v>42276</v>
      </c>
      <c r="B316" s="8" t="s">
        <v>29</v>
      </c>
      <c r="C316">
        <v>8</v>
      </c>
      <c r="D316" s="8" t="s">
        <v>28</v>
      </c>
      <c r="E316">
        <v>192</v>
      </c>
      <c r="F316">
        <v>0.88</v>
      </c>
      <c r="N316">
        <f t="shared" si="12"/>
        <v>38.92555673599999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8.8695629999999994</v>
      </c>
      <c r="P316">
        <f t="shared" si="13"/>
        <v>8.8695629999999994</v>
      </c>
      <c r="S316">
        <f t="shared" si="14"/>
        <v>0.60821182399999996</v>
      </c>
    </row>
    <row r="317" spans="1:19">
      <c r="A317" s="7">
        <v>42276</v>
      </c>
      <c r="B317" s="8" t="s">
        <v>29</v>
      </c>
      <c r="C317">
        <v>8</v>
      </c>
      <c r="D317" s="8" t="s">
        <v>28</v>
      </c>
      <c r="E317">
        <v>225</v>
      </c>
      <c r="F317">
        <v>1.1299999999999999</v>
      </c>
      <c r="N317">
        <f t="shared" si="12"/>
        <v>75.215555081249974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11.183028</v>
      </c>
      <c r="P317">
        <f t="shared" si="13"/>
        <v>11.183028</v>
      </c>
      <c r="S317">
        <f t="shared" si="14"/>
        <v>1.0028740677499997</v>
      </c>
    </row>
    <row r="318" spans="1:19">
      <c r="A318" s="7">
        <v>42276</v>
      </c>
      <c r="B318" s="8" t="s">
        <v>29</v>
      </c>
      <c r="C318">
        <v>8</v>
      </c>
      <c r="D318" s="8" t="s">
        <v>28</v>
      </c>
      <c r="E318">
        <v>101</v>
      </c>
      <c r="F318">
        <v>1.1599999999999999</v>
      </c>
      <c r="N318">
        <f t="shared" si="12"/>
        <v>35.579972825333329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2.4900080000000004</v>
      </c>
      <c r="P318">
        <f t="shared" si="13"/>
        <v>2.4900080000000004</v>
      </c>
      <c r="S318">
        <f t="shared" si="14"/>
        <v>1.0568308759999998</v>
      </c>
    </row>
    <row r="319" spans="1:19">
      <c r="A319" s="7">
        <v>42276</v>
      </c>
      <c r="B319" s="8" t="s">
        <v>29</v>
      </c>
      <c r="C319">
        <v>8</v>
      </c>
      <c r="D319" s="8" t="s">
        <v>28</v>
      </c>
      <c r="E319">
        <v>122</v>
      </c>
      <c r="F319">
        <v>1.1100000000000001</v>
      </c>
      <c r="N319">
        <f t="shared" si="12"/>
        <v>39.352655896500004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3.9622130000000011</v>
      </c>
      <c r="P319">
        <f t="shared" si="13"/>
        <v>3.9622130000000011</v>
      </c>
      <c r="S319">
        <f t="shared" si="14"/>
        <v>0.96768825975000017</v>
      </c>
    </row>
    <row r="320" spans="1:19">
      <c r="A320" s="7">
        <v>42276</v>
      </c>
      <c r="B320" s="8" t="s">
        <v>29</v>
      </c>
      <c r="C320">
        <v>8</v>
      </c>
      <c r="D320" s="8" t="s">
        <v>28</v>
      </c>
      <c r="E320">
        <v>227</v>
      </c>
      <c r="F320">
        <v>1.27</v>
      </c>
      <c r="N320">
        <f t="shared" si="12"/>
        <v>95.852083833083327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11.323238</v>
      </c>
      <c r="P320">
        <f t="shared" si="13"/>
        <v>11.323238</v>
      </c>
      <c r="S320">
        <f t="shared" si="14"/>
        <v>1.26676762775</v>
      </c>
    </row>
    <row r="321" spans="1:19">
      <c r="A321" s="7">
        <v>42276</v>
      </c>
      <c r="B321" s="8" t="s">
        <v>29</v>
      </c>
      <c r="C321">
        <v>8</v>
      </c>
      <c r="D321" s="8" t="s">
        <v>28</v>
      </c>
      <c r="E321">
        <v>230</v>
      </c>
      <c r="F321">
        <v>1.82</v>
      </c>
      <c r="G321">
        <v>5</v>
      </c>
      <c r="N321">
        <f t="shared" si="12"/>
        <v>199.45221872333332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17.136735262649527</v>
      </c>
      <c r="P321">
        <f t="shared" si="13"/>
        <v>17.136735262649527</v>
      </c>
      <c r="S321">
        <f t="shared" si="14"/>
        <v>2.6015506790000003</v>
      </c>
    </row>
    <row r="322" spans="1:19">
      <c r="A322" s="7">
        <v>42276</v>
      </c>
      <c r="B322" s="8" t="s">
        <v>29</v>
      </c>
      <c r="C322">
        <v>8</v>
      </c>
      <c r="D322" s="8" t="s">
        <v>28</v>
      </c>
      <c r="E322">
        <v>221</v>
      </c>
      <c r="F322">
        <v>1.26</v>
      </c>
      <c r="N322">
        <f t="shared" si="12"/>
        <v>91.854750897000002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10.902608000000001</v>
      </c>
      <c r="P322">
        <f t="shared" si="13"/>
        <v>10.902608000000001</v>
      </c>
      <c r="S322">
        <f t="shared" si="14"/>
        <v>1.246897071</v>
      </c>
    </row>
    <row r="323" spans="1:19">
      <c r="A323" s="7">
        <v>42276</v>
      </c>
      <c r="B323" s="8" t="s">
        <v>29</v>
      </c>
      <c r="C323">
        <v>8</v>
      </c>
      <c r="D323" s="8" t="s">
        <v>28</v>
      </c>
      <c r="E323">
        <v>116</v>
      </c>
      <c r="F323">
        <v>1.21</v>
      </c>
      <c r="N323">
        <f t="shared" si="12"/>
        <v>44.462818550333324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3.5415830000000001</v>
      </c>
      <c r="P323">
        <f t="shared" si="13"/>
        <v>3.5415830000000001</v>
      </c>
      <c r="S323">
        <f t="shared" si="14"/>
        <v>1.1499004797499999</v>
      </c>
    </row>
    <row r="324" spans="1:19">
      <c r="A324" s="7">
        <v>42276</v>
      </c>
      <c r="B324" s="8" t="s">
        <v>29</v>
      </c>
      <c r="C324">
        <v>8</v>
      </c>
      <c r="D324" s="8" t="s">
        <v>28</v>
      </c>
      <c r="E324">
        <v>213</v>
      </c>
      <c r="F324">
        <v>2.39</v>
      </c>
      <c r="G324">
        <v>4</v>
      </c>
      <c r="N324">
        <f t="shared" ref="N324:N387" si="15">IF(OR(D324="S. acutus", D324="S. tabernaemontani", D324="S. californicus"),(1/3)*(3.14159)*((F324/2)^2)*E324,"NA")</f>
        <v>318.52510324225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23.587753604393527</v>
      </c>
      <c r="P324">
        <f t="shared" si="13"/>
        <v>23.587753604393527</v>
      </c>
      <c r="S324">
        <f t="shared" si="14"/>
        <v>4.4862690597500006</v>
      </c>
    </row>
    <row r="325" spans="1:19">
      <c r="A325" s="7">
        <v>42276</v>
      </c>
      <c r="B325" s="8" t="s">
        <v>29</v>
      </c>
      <c r="C325">
        <v>8</v>
      </c>
      <c r="D325" s="8" t="s">
        <v>28</v>
      </c>
      <c r="E325">
        <v>246</v>
      </c>
      <c r="F325">
        <v>1.84</v>
      </c>
      <c r="N325">
        <f t="shared" si="15"/>
        <v>218.041425632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12.655233000000003</v>
      </c>
      <c r="P325">
        <f t="shared" ref="P325:P388" si="16">IF(O325&lt;0," ",O325)</f>
        <v>12.655233000000003</v>
      </c>
      <c r="S325">
        <f t="shared" ref="S325:S388" si="17">3.14159*((F325/2)^2)</f>
        <v>2.659041776</v>
      </c>
    </row>
    <row r="326" spans="1:19">
      <c r="A326" s="7">
        <v>42276</v>
      </c>
      <c r="B326" s="8" t="s">
        <v>29</v>
      </c>
      <c r="C326">
        <v>8</v>
      </c>
      <c r="D326" s="8" t="s">
        <v>28</v>
      </c>
      <c r="E326">
        <v>54</v>
      </c>
      <c r="F326">
        <v>0.55000000000000004</v>
      </c>
      <c r="N326">
        <f t="shared" si="15"/>
        <v>4.2764893874999999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-0.80492699999999973</v>
      </c>
      <c r="P326" t="str">
        <f t="shared" si="16"/>
        <v xml:space="preserve"> </v>
      </c>
      <c r="S326">
        <f t="shared" si="17"/>
        <v>0.23758274375000002</v>
      </c>
    </row>
    <row r="327" spans="1:19">
      <c r="A327" s="7">
        <v>42276</v>
      </c>
      <c r="B327" s="8" t="s">
        <v>29</v>
      </c>
      <c r="C327">
        <v>8</v>
      </c>
      <c r="D327" s="8" t="s">
        <v>28</v>
      </c>
      <c r="E327">
        <v>101</v>
      </c>
      <c r="F327">
        <v>1.04</v>
      </c>
      <c r="N327">
        <f t="shared" si="15"/>
        <v>28.599359845333332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2.4900080000000004</v>
      </c>
      <c r="P327">
        <f t="shared" si="16"/>
        <v>2.4900080000000004</v>
      </c>
      <c r="S327">
        <f t="shared" si="17"/>
        <v>0.84948593600000011</v>
      </c>
    </row>
    <row r="328" spans="1:19">
      <c r="A328" s="7">
        <v>42276</v>
      </c>
      <c r="B328" s="8" t="s">
        <v>29</v>
      </c>
      <c r="C328">
        <v>5</v>
      </c>
      <c r="D328" s="8" t="s">
        <v>28</v>
      </c>
      <c r="E328">
        <v>187</v>
      </c>
      <c r="F328">
        <v>1.74</v>
      </c>
      <c r="N328">
        <f t="shared" si="15"/>
        <v>148.22053035899998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8.5190380000000019</v>
      </c>
      <c r="P328">
        <f t="shared" si="16"/>
        <v>8.5190380000000019</v>
      </c>
      <c r="S328">
        <f t="shared" si="17"/>
        <v>2.3778694709999999</v>
      </c>
    </row>
    <row r="329" spans="1:19">
      <c r="A329" s="7">
        <v>42276</v>
      </c>
      <c r="B329" s="8" t="s">
        <v>29</v>
      </c>
      <c r="C329">
        <v>5</v>
      </c>
      <c r="D329" s="8" t="s">
        <v>20</v>
      </c>
      <c r="F329">
        <v>1.91</v>
      </c>
      <c r="J329">
        <f>48+59+81+91+100+105</f>
        <v>484</v>
      </c>
      <c r="K329">
        <v>6</v>
      </c>
      <c r="L329">
        <v>105</v>
      </c>
      <c r="N329" t="str">
        <f t="shared" si="15"/>
        <v>NA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4.6495609999999985</v>
      </c>
      <c r="P329">
        <f t="shared" si="16"/>
        <v>4.6495609999999985</v>
      </c>
      <c r="S329">
        <f t="shared" si="17"/>
        <v>2.8652086197499997</v>
      </c>
    </row>
    <row r="330" spans="1:19">
      <c r="A330" s="7">
        <v>42276</v>
      </c>
      <c r="B330" s="8" t="s">
        <v>29</v>
      </c>
      <c r="C330">
        <v>5</v>
      </c>
      <c r="D330" s="8" t="s">
        <v>28</v>
      </c>
      <c r="E330">
        <v>151</v>
      </c>
      <c r="F330">
        <v>1.31</v>
      </c>
      <c r="N330">
        <f t="shared" si="15"/>
        <v>67.840306037416667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5.9952580000000006</v>
      </c>
      <c r="P330">
        <f t="shared" si="16"/>
        <v>5.9952580000000006</v>
      </c>
      <c r="S330">
        <f t="shared" si="17"/>
        <v>1.34782064975</v>
      </c>
    </row>
    <row r="331" spans="1:19">
      <c r="A331" s="7">
        <v>42276</v>
      </c>
      <c r="B331" s="8" t="s">
        <v>29</v>
      </c>
      <c r="C331">
        <v>5</v>
      </c>
      <c r="D331" s="8" t="s">
        <v>28</v>
      </c>
      <c r="E331">
        <v>58</v>
      </c>
      <c r="F331">
        <v>2.67</v>
      </c>
      <c r="N331">
        <f t="shared" si="15"/>
        <v>108.24772459649999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-0.52450699999999983</v>
      </c>
      <c r="P331" t="str">
        <f t="shared" si="16"/>
        <v xml:space="preserve"> </v>
      </c>
      <c r="S331">
        <f t="shared" si="17"/>
        <v>5.5990202377499996</v>
      </c>
    </row>
    <row r="332" spans="1:19">
      <c r="A332" s="7">
        <v>42276</v>
      </c>
      <c r="B332" s="8" t="s">
        <v>29</v>
      </c>
      <c r="C332">
        <v>5</v>
      </c>
      <c r="D332" s="8" t="s">
        <v>20</v>
      </c>
      <c r="F332">
        <v>2.0099999999999998</v>
      </c>
      <c r="J332">
        <f>65+89+101+121+128</f>
        <v>504</v>
      </c>
      <c r="K332">
        <v>5</v>
      </c>
      <c r="L332">
        <v>128</v>
      </c>
      <c r="N332" t="str">
        <f t="shared" si="15"/>
        <v>NA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6.6183790000000045</v>
      </c>
      <c r="P332">
        <f t="shared" si="16"/>
        <v>6.6183790000000045</v>
      </c>
      <c r="S332">
        <f t="shared" si="17"/>
        <v>3.1730844397499989</v>
      </c>
    </row>
    <row r="333" spans="1:19">
      <c r="A333" s="7">
        <v>42276</v>
      </c>
      <c r="B333" s="8" t="s">
        <v>29</v>
      </c>
      <c r="C333">
        <v>5</v>
      </c>
      <c r="D333" s="8" t="s">
        <v>28</v>
      </c>
      <c r="E333">
        <v>24</v>
      </c>
      <c r="F333">
        <v>0.56999999999999995</v>
      </c>
      <c r="N333">
        <f t="shared" si="15"/>
        <v>2.0414051819999992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-2.9080769999999996</v>
      </c>
      <c r="P333" t="str">
        <f t="shared" si="16"/>
        <v xml:space="preserve"> </v>
      </c>
      <c r="S333">
        <f t="shared" si="17"/>
        <v>0.25517564774999996</v>
      </c>
    </row>
    <row r="334" spans="1:19">
      <c r="A334" s="7">
        <v>42276</v>
      </c>
      <c r="B334" s="8" t="s">
        <v>29</v>
      </c>
      <c r="C334">
        <v>5</v>
      </c>
      <c r="D334" s="8" t="s">
        <v>28</v>
      </c>
      <c r="E334">
        <v>176</v>
      </c>
      <c r="F334">
        <v>0.54</v>
      </c>
      <c r="N334">
        <f t="shared" si="15"/>
        <v>13.435952112000001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7.7478830000000007</v>
      </c>
      <c r="P334">
        <f t="shared" si="16"/>
        <v>7.7478830000000007</v>
      </c>
      <c r="S334">
        <f t="shared" si="17"/>
        <v>0.22902191100000002</v>
      </c>
    </row>
    <row r="335" spans="1:19">
      <c r="A335" s="7">
        <v>42276</v>
      </c>
      <c r="B335" s="8" t="s">
        <v>29</v>
      </c>
      <c r="C335">
        <v>5</v>
      </c>
      <c r="D335" s="8" t="s">
        <v>28</v>
      </c>
      <c r="E335">
        <v>28</v>
      </c>
      <c r="F335">
        <v>0.69</v>
      </c>
      <c r="N335">
        <f t="shared" si="15"/>
        <v>3.4899923309999989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-2.6276569999999997</v>
      </c>
      <c r="P335" t="str">
        <f t="shared" si="16"/>
        <v xml:space="preserve"> </v>
      </c>
      <c r="S335">
        <f t="shared" si="17"/>
        <v>0.37392774974999993</v>
      </c>
    </row>
    <row r="336" spans="1:19">
      <c r="A336" s="7">
        <v>42276</v>
      </c>
      <c r="B336" s="8" t="s">
        <v>29</v>
      </c>
      <c r="C336">
        <v>5</v>
      </c>
      <c r="D336" s="8" t="s">
        <v>20</v>
      </c>
      <c r="F336">
        <v>4.9400000000000004</v>
      </c>
      <c r="J336">
        <f>72+35+110+140+143+160+170+190+200</f>
        <v>1220</v>
      </c>
      <c r="K336">
        <v>9</v>
      </c>
      <c r="L336">
        <v>200</v>
      </c>
      <c r="N336" t="str">
        <f t="shared" si="15"/>
        <v>NA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23.967907000000004</v>
      </c>
      <c r="P336">
        <f t="shared" si="16"/>
        <v>23.967907000000004</v>
      </c>
      <c r="S336">
        <f t="shared" si="17"/>
        <v>19.166526431000001</v>
      </c>
    </row>
    <row r="337" spans="1:19">
      <c r="A337" s="7">
        <v>42276</v>
      </c>
      <c r="B337" s="8" t="s">
        <v>30</v>
      </c>
      <c r="C337">
        <v>34</v>
      </c>
      <c r="D337" s="8" t="s">
        <v>20</v>
      </c>
      <c r="F337">
        <v>5.0599999999999996</v>
      </c>
      <c r="J337">
        <f>64+75+98+128+136+174+199+201+237+242</f>
        <v>1554</v>
      </c>
      <c r="K337">
        <v>11</v>
      </c>
      <c r="L337">
        <v>242</v>
      </c>
      <c r="N337" t="str">
        <f t="shared" si="15"/>
        <v>NA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28.585080999999995</v>
      </c>
      <c r="P337">
        <f t="shared" si="16"/>
        <v>28.585080999999995</v>
      </c>
      <c r="S337">
        <f t="shared" si="17"/>
        <v>20.109003430999998</v>
      </c>
    </row>
    <row r="338" spans="1:19">
      <c r="A338" s="7">
        <v>42276</v>
      </c>
      <c r="B338" s="8" t="s">
        <v>30</v>
      </c>
      <c r="C338">
        <v>34</v>
      </c>
      <c r="D338" s="8" t="s">
        <v>20</v>
      </c>
      <c r="F338">
        <v>5.45</v>
      </c>
      <c r="J338">
        <f>78+148+215+89+172+187+229+241+253+263</f>
        <v>1875</v>
      </c>
      <c r="K338">
        <v>10</v>
      </c>
      <c r="L338">
        <v>263</v>
      </c>
      <c r="N338" t="str">
        <f t="shared" si="15"/>
        <v>NA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59.376644000000006</v>
      </c>
      <c r="P338">
        <f t="shared" si="16"/>
        <v>59.376644000000006</v>
      </c>
      <c r="S338">
        <f t="shared" si="17"/>
        <v>23.32826924375</v>
      </c>
    </row>
    <row r="339" spans="1:19">
      <c r="A339" s="7">
        <v>42276</v>
      </c>
      <c r="B339" s="8" t="s">
        <v>30</v>
      </c>
      <c r="C339">
        <v>34</v>
      </c>
      <c r="D339" s="8" t="s">
        <v>20</v>
      </c>
      <c r="F339">
        <v>9.8699999999999992</v>
      </c>
      <c r="J339">
        <f>105+114+142+178+188+237+255+249+270+291+293+284</f>
        <v>2606</v>
      </c>
      <c r="K339">
        <v>12</v>
      </c>
      <c r="L339">
        <v>293</v>
      </c>
      <c r="N339" t="str">
        <f t="shared" si="15"/>
        <v>NA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104.82949300000001</v>
      </c>
      <c r="P339">
        <f t="shared" si="16"/>
        <v>104.82949300000001</v>
      </c>
      <c r="S339">
        <f t="shared" si="17"/>
        <v>76.510989717749979</v>
      </c>
    </row>
    <row r="340" spans="1:19">
      <c r="A340" s="7">
        <v>42276</v>
      </c>
      <c r="B340" s="8" t="s">
        <v>30</v>
      </c>
      <c r="C340">
        <v>34</v>
      </c>
      <c r="D340" s="8" t="s">
        <v>20</v>
      </c>
      <c r="F340">
        <v>7.63</v>
      </c>
      <c r="J340">
        <f>70+132+147+181+209+252+268+284+290+271</f>
        <v>2104</v>
      </c>
      <c r="K340">
        <v>10</v>
      </c>
      <c r="L340">
        <v>290</v>
      </c>
      <c r="N340" t="str">
        <f t="shared" si="15"/>
        <v>NA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72.712924000000015</v>
      </c>
      <c r="P340">
        <f t="shared" si="16"/>
        <v>72.712924000000015</v>
      </c>
      <c r="S340">
        <f t="shared" si="17"/>
        <v>45.723407717749993</v>
      </c>
    </row>
    <row r="341" spans="1:19">
      <c r="A341" s="7">
        <v>42276</v>
      </c>
      <c r="B341" s="8" t="s">
        <v>30</v>
      </c>
      <c r="C341">
        <v>34</v>
      </c>
      <c r="D341" s="8" t="s">
        <v>20</v>
      </c>
      <c r="F341">
        <v>6.08</v>
      </c>
      <c r="J341">
        <f>89+144+172+183+208+234+263+265+275</f>
        <v>1833</v>
      </c>
      <c r="K341">
        <v>9</v>
      </c>
      <c r="L341">
        <v>275</v>
      </c>
      <c r="N341" t="str">
        <f t="shared" si="15"/>
        <v>NA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58.846347000000002</v>
      </c>
      <c r="P341">
        <f t="shared" si="16"/>
        <v>58.846347000000002</v>
      </c>
      <c r="S341">
        <f t="shared" si="17"/>
        <v>29.033318143999999</v>
      </c>
    </row>
    <row r="342" spans="1:19">
      <c r="A342" s="7">
        <v>42276</v>
      </c>
      <c r="B342" s="8" t="s">
        <v>30</v>
      </c>
      <c r="C342">
        <v>34</v>
      </c>
      <c r="D342" s="8" t="s">
        <v>20</v>
      </c>
      <c r="F342">
        <v>5.78</v>
      </c>
      <c r="J342">
        <f>76+118+137+160+199+202+227+252+254+268</f>
        <v>1893</v>
      </c>
      <c r="K342">
        <v>10</v>
      </c>
      <c r="L342">
        <v>268</v>
      </c>
      <c r="N342" t="str">
        <f t="shared" si="15"/>
        <v>NA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59.558009000000006</v>
      </c>
      <c r="P342">
        <f t="shared" si="16"/>
        <v>59.558009000000006</v>
      </c>
      <c r="S342">
        <f t="shared" si="17"/>
        <v>26.238873839</v>
      </c>
    </row>
    <row r="343" spans="1:19">
      <c r="A343" s="7">
        <v>42276</v>
      </c>
      <c r="B343" s="8" t="s">
        <v>30</v>
      </c>
      <c r="C343">
        <v>35</v>
      </c>
      <c r="D343" s="8" t="s">
        <v>20</v>
      </c>
      <c r="F343">
        <v>8.7200000000000006</v>
      </c>
      <c r="J343">
        <f>50+95+154+179+230+231+231+237+241+247+248+254</f>
        <v>2397</v>
      </c>
      <c r="K343">
        <v>12</v>
      </c>
      <c r="L343">
        <v>254</v>
      </c>
      <c r="N343" t="str">
        <f t="shared" si="15"/>
        <v>NA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96.983253000000019</v>
      </c>
      <c r="P343">
        <f t="shared" si="16"/>
        <v>96.983253000000019</v>
      </c>
      <c r="S343">
        <f t="shared" si="17"/>
        <v>59.720369264000006</v>
      </c>
    </row>
    <row r="344" spans="1:19">
      <c r="A344" s="7">
        <v>42276</v>
      </c>
      <c r="B344" s="8" t="s">
        <v>30</v>
      </c>
      <c r="C344">
        <v>35</v>
      </c>
      <c r="D344" s="8" t="s">
        <v>20</v>
      </c>
      <c r="F344">
        <v>0.56000000000000005</v>
      </c>
      <c r="J344">
        <f>11+22+24+31</f>
        <v>88</v>
      </c>
      <c r="K344">
        <v>4</v>
      </c>
      <c r="L344">
        <v>31</v>
      </c>
      <c r="N344" t="str">
        <f t="shared" si="15"/>
        <v>NA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3.8594170000000005</v>
      </c>
      <c r="P344">
        <f t="shared" si="16"/>
        <v>3.8594170000000005</v>
      </c>
      <c r="S344">
        <f t="shared" si="17"/>
        <v>0.24630065600000003</v>
      </c>
    </row>
    <row r="345" spans="1:19">
      <c r="A345" s="7">
        <v>42276</v>
      </c>
      <c r="B345" s="8" t="s">
        <v>30</v>
      </c>
      <c r="C345">
        <v>35</v>
      </c>
      <c r="D345" s="8" t="s">
        <v>20</v>
      </c>
      <c r="F345">
        <v>4.6399999999999997</v>
      </c>
      <c r="J345">
        <f>105+103+134+172+189+203+231+240+250+270</f>
        <v>1897</v>
      </c>
      <c r="K345">
        <v>10</v>
      </c>
      <c r="L345">
        <v>270</v>
      </c>
      <c r="N345" t="str">
        <f t="shared" si="15"/>
        <v>NA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59.330539000000023</v>
      </c>
      <c r="P345">
        <f t="shared" si="16"/>
        <v>59.330539000000023</v>
      </c>
      <c r="S345">
        <f t="shared" si="17"/>
        <v>16.909294015999997</v>
      </c>
    </row>
    <row r="346" spans="1:19">
      <c r="A346" s="7">
        <v>42276</v>
      </c>
      <c r="B346" s="8" t="s">
        <v>30</v>
      </c>
      <c r="C346">
        <v>35</v>
      </c>
      <c r="D346" s="8" t="s">
        <v>20</v>
      </c>
      <c r="F346">
        <v>5.6</v>
      </c>
      <c r="J346">
        <f>109+148+152+218+222+240+244+243</f>
        <v>1576</v>
      </c>
      <c r="K346">
        <v>8</v>
      </c>
      <c r="L346">
        <v>244</v>
      </c>
      <c r="N346" t="str">
        <f t="shared" si="15"/>
        <v>NA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51.112260000000013</v>
      </c>
      <c r="P346">
        <f t="shared" si="16"/>
        <v>51.112260000000013</v>
      </c>
      <c r="S346">
        <f t="shared" si="17"/>
        <v>24.630065599999995</v>
      </c>
    </row>
    <row r="347" spans="1:19">
      <c r="A347" s="7">
        <v>42276</v>
      </c>
      <c r="B347" s="8" t="s">
        <v>30</v>
      </c>
      <c r="C347">
        <v>35</v>
      </c>
      <c r="D347" s="8" t="s">
        <v>20</v>
      </c>
      <c r="F347">
        <v>5.66</v>
      </c>
      <c r="J347">
        <f>53+113+129+42+174+194+207+209+233+249+261+264+281+283</f>
        <v>2692</v>
      </c>
      <c r="K347">
        <v>14</v>
      </c>
      <c r="L347">
        <v>283</v>
      </c>
      <c r="N347" t="str">
        <f t="shared" si="15"/>
        <v>NA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101.86016700000002</v>
      </c>
      <c r="P347">
        <f t="shared" si="16"/>
        <v>101.86016700000002</v>
      </c>
      <c r="S347">
        <f t="shared" si="17"/>
        <v>25.160680151000001</v>
      </c>
    </row>
    <row r="348" spans="1:19">
      <c r="A348" s="7">
        <v>42276</v>
      </c>
      <c r="B348" s="8" t="s">
        <v>30</v>
      </c>
      <c r="C348">
        <v>35</v>
      </c>
      <c r="D348" s="8" t="s">
        <v>20</v>
      </c>
      <c r="F348">
        <v>2.95</v>
      </c>
      <c r="J348">
        <f>31+51+97+118+153+155+163+176+199</f>
        <v>1143</v>
      </c>
      <c r="K348">
        <v>9</v>
      </c>
      <c r="L348">
        <v>199</v>
      </c>
      <c r="N348" t="str">
        <f t="shared" si="15"/>
        <v>NA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17.050017000000011</v>
      </c>
      <c r="P348">
        <f t="shared" si="16"/>
        <v>17.050017000000011</v>
      </c>
      <c r="S348">
        <f t="shared" si="17"/>
        <v>6.8349217437499998</v>
      </c>
    </row>
    <row r="349" spans="1:19">
      <c r="A349" s="7">
        <v>42276</v>
      </c>
      <c r="B349" s="8" t="s">
        <v>30</v>
      </c>
      <c r="C349">
        <v>35</v>
      </c>
      <c r="D349" s="8" t="s">
        <v>20</v>
      </c>
      <c r="F349">
        <v>2.1</v>
      </c>
      <c r="J349">
        <f>37+81+103+125+144+149</f>
        <v>639</v>
      </c>
      <c r="K349">
        <v>6</v>
      </c>
      <c r="L349">
        <v>149</v>
      </c>
      <c r="N349" t="str">
        <f t="shared" si="15"/>
        <v>NA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5.9268060000000062</v>
      </c>
      <c r="P349">
        <f t="shared" si="16"/>
        <v>5.9268060000000062</v>
      </c>
      <c r="S349">
        <f t="shared" si="17"/>
        <v>3.4636029750000001</v>
      </c>
    </row>
    <row r="350" spans="1:19">
      <c r="A350" s="7">
        <v>42276</v>
      </c>
      <c r="B350" s="8" t="s">
        <v>30</v>
      </c>
      <c r="C350">
        <v>35</v>
      </c>
      <c r="D350" s="8" t="s">
        <v>20</v>
      </c>
      <c r="F350">
        <v>3.02</v>
      </c>
      <c r="J350">
        <f>69+132+163+189+22+203+209</f>
        <v>987</v>
      </c>
      <c r="K350">
        <v>7</v>
      </c>
      <c r="L350">
        <v>209</v>
      </c>
      <c r="N350" t="str">
        <f t="shared" si="15"/>
        <v>NA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13.456493000000009</v>
      </c>
      <c r="P350">
        <f t="shared" si="16"/>
        <v>13.456493000000009</v>
      </c>
      <c r="S350">
        <f t="shared" si="17"/>
        <v>7.1631393589999997</v>
      </c>
    </row>
    <row r="351" spans="1:19">
      <c r="A351" s="7">
        <v>42276</v>
      </c>
      <c r="B351" s="8" t="s">
        <v>30</v>
      </c>
      <c r="C351">
        <v>35</v>
      </c>
      <c r="D351" s="8" t="s">
        <v>20</v>
      </c>
      <c r="F351">
        <v>9.1</v>
      </c>
      <c r="J351">
        <f>87+142+164+181+181+196+223+240+251+262+258+270+278+299+308</f>
        <v>3340</v>
      </c>
      <c r="K351">
        <v>15</v>
      </c>
      <c r="L351">
        <v>308</v>
      </c>
      <c r="N351" t="str">
        <f t="shared" si="15"/>
        <v>NA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148.05992900000001</v>
      </c>
      <c r="P351">
        <f t="shared" si="16"/>
        <v>148.05992900000001</v>
      </c>
      <c r="S351">
        <f t="shared" si="17"/>
        <v>65.038766974999987</v>
      </c>
    </row>
    <row r="352" spans="1:19">
      <c r="A352" s="7">
        <v>42276</v>
      </c>
      <c r="B352" s="8" t="s">
        <v>30</v>
      </c>
      <c r="C352">
        <v>35</v>
      </c>
      <c r="D352" s="8" t="s">
        <v>20</v>
      </c>
      <c r="F352">
        <v>4.8</v>
      </c>
      <c r="J352">
        <f>74+109+147+173+201+235+263+248+291+296+307</f>
        <v>2344</v>
      </c>
      <c r="K352">
        <v>11</v>
      </c>
      <c r="L352">
        <v>307</v>
      </c>
      <c r="N352" t="str">
        <f t="shared" si="15"/>
        <v>NA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83.070606000000026</v>
      </c>
      <c r="P352">
        <f t="shared" si="16"/>
        <v>83.070606000000026</v>
      </c>
      <c r="S352">
        <f t="shared" si="17"/>
        <v>18.095558399999998</v>
      </c>
    </row>
    <row r="353" spans="1:19">
      <c r="A353" s="7">
        <v>42276</v>
      </c>
      <c r="B353" s="8" t="s">
        <v>30</v>
      </c>
      <c r="C353">
        <v>35</v>
      </c>
      <c r="D353" s="8" t="s">
        <v>20</v>
      </c>
      <c r="F353">
        <v>9.32</v>
      </c>
      <c r="J353">
        <f>154+203+211+227+242+245+246+254+255+256+259+261+263</f>
        <v>3076</v>
      </c>
      <c r="K353">
        <v>16</v>
      </c>
      <c r="L353">
        <v>263</v>
      </c>
      <c r="N353" t="str">
        <f t="shared" si="15"/>
        <v>NA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129.84228100000001</v>
      </c>
      <c r="P353">
        <f t="shared" si="16"/>
        <v>129.84228100000001</v>
      </c>
      <c r="S353">
        <f t="shared" si="17"/>
        <v>68.221511804000002</v>
      </c>
    </row>
    <row r="354" spans="1:19">
      <c r="A354" s="7">
        <v>42276</v>
      </c>
      <c r="B354" s="8" t="s">
        <v>30</v>
      </c>
      <c r="C354">
        <v>35</v>
      </c>
      <c r="D354" s="8" t="s">
        <v>20</v>
      </c>
      <c r="F354">
        <v>4.1399999999999997</v>
      </c>
      <c r="J354">
        <f>85+128+124+132+142+149+183</f>
        <v>943</v>
      </c>
      <c r="K354">
        <v>7</v>
      </c>
      <c r="L354">
        <v>183</v>
      </c>
      <c r="N354" t="str">
        <f t="shared" si="15"/>
        <v>NA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17.163643000000008</v>
      </c>
      <c r="P354">
        <f t="shared" si="16"/>
        <v>17.163643000000008</v>
      </c>
      <c r="S354">
        <f t="shared" si="17"/>
        <v>13.461398990999998</v>
      </c>
    </row>
    <row r="355" spans="1:19">
      <c r="A355" s="7">
        <v>42276</v>
      </c>
      <c r="B355" s="8" t="s">
        <v>30</v>
      </c>
      <c r="C355">
        <v>35</v>
      </c>
      <c r="D355" s="8" t="s">
        <v>20</v>
      </c>
      <c r="F355">
        <v>2.15</v>
      </c>
      <c r="J355">
        <f>131+189+208+219</f>
        <v>747</v>
      </c>
      <c r="K355">
        <v>4</v>
      </c>
      <c r="L355">
        <v>219</v>
      </c>
      <c r="N355" t="str">
        <f t="shared" si="15"/>
        <v>NA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9.0099020000000039</v>
      </c>
      <c r="P355">
        <f t="shared" si="16"/>
        <v>9.0099020000000039</v>
      </c>
      <c r="S355">
        <f t="shared" si="17"/>
        <v>3.6304999437499994</v>
      </c>
    </row>
    <row r="356" spans="1:19">
      <c r="A356" s="7">
        <v>42276</v>
      </c>
      <c r="B356" s="8" t="s">
        <v>30</v>
      </c>
      <c r="C356">
        <v>35</v>
      </c>
      <c r="D356" s="8" t="s">
        <v>20</v>
      </c>
      <c r="F356">
        <v>4.16</v>
      </c>
      <c r="J356">
        <f>104+120+192+212+232+260+302+306</f>
        <v>1728</v>
      </c>
      <c r="K356">
        <v>8</v>
      </c>
      <c r="L356">
        <v>306</v>
      </c>
      <c r="N356" t="str">
        <f t="shared" si="15"/>
        <v>NA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46.685830000000017</v>
      </c>
      <c r="P356">
        <f t="shared" si="16"/>
        <v>46.685830000000017</v>
      </c>
      <c r="S356">
        <f t="shared" si="17"/>
        <v>13.591774976000002</v>
      </c>
    </row>
    <row r="357" spans="1:19">
      <c r="A357" s="7">
        <v>42276</v>
      </c>
      <c r="B357" s="8" t="s">
        <v>30</v>
      </c>
      <c r="C357">
        <v>35</v>
      </c>
      <c r="D357" s="8" t="s">
        <v>20</v>
      </c>
      <c r="F357">
        <v>7.77</v>
      </c>
      <c r="J357">
        <f>91+157+202+212+231+248+251+266+267</f>
        <v>1925</v>
      </c>
      <c r="K357">
        <v>9</v>
      </c>
      <c r="L357">
        <v>267</v>
      </c>
      <c r="N357" t="str">
        <f t="shared" si="15"/>
        <v>NA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69.881766999999996</v>
      </c>
      <c r="P357">
        <f t="shared" si="16"/>
        <v>69.881766999999996</v>
      </c>
      <c r="S357">
        <f t="shared" si="17"/>
        <v>47.416724727749994</v>
      </c>
    </row>
    <row r="358" spans="1:19">
      <c r="A358" s="7">
        <v>42276</v>
      </c>
      <c r="B358" s="8" t="s">
        <v>30</v>
      </c>
      <c r="C358">
        <v>35</v>
      </c>
      <c r="D358" s="8" t="s">
        <v>20</v>
      </c>
      <c r="F358">
        <v>3.69</v>
      </c>
      <c r="J358">
        <f>136+223</f>
        <v>359</v>
      </c>
      <c r="K358">
        <v>2</v>
      </c>
      <c r="L358">
        <v>223</v>
      </c>
      <c r="N358" t="str">
        <f t="shared" si="15"/>
        <v>NA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-14.527311999999995</v>
      </c>
      <c r="P358" t="str">
        <f t="shared" si="16"/>
        <v xml:space="preserve"> </v>
      </c>
      <c r="S358">
        <f t="shared" si="17"/>
        <v>10.69405089975</v>
      </c>
    </row>
    <row r="359" spans="1:19">
      <c r="A359" s="7">
        <v>42276</v>
      </c>
      <c r="B359" s="8" t="s">
        <v>30</v>
      </c>
      <c r="C359">
        <v>35</v>
      </c>
      <c r="D359" s="8" t="s">
        <v>20</v>
      </c>
      <c r="F359">
        <v>3.55</v>
      </c>
      <c r="J359">
        <f>112+162+184+209+239+254+278+282</f>
        <v>1720</v>
      </c>
      <c r="K359">
        <v>8</v>
      </c>
      <c r="L359">
        <v>282</v>
      </c>
      <c r="N359" t="str">
        <f t="shared" si="15"/>
        <v>NA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53.165670000000013</v>
      </c>
      <c r="P359">
        <f t="shared" si="16"/>
        <v>53.165670000000013</v>
      </c>
      <c r="S359">
        <f t="shared" si="17"/>
        <v>9.8979719937499997</v>
      </c>
    </row>
    <row r="360" spans="1:19">
      <c r="A360" s="7">
        <v>42276</v>
      </c>
      <c r="B360" s="8" t="s">
        <v>30</v>
      </c>
      <c r="C360">
        <v>35</v>
      </c>
      <c r="D360" s="8" t="s">
        <v>20</v>
      </c>
      <c r="F360">
        <v>4.6500000000000004</v>
      </c>
      <c r="J360">
        <f>121+147+165+188+189+210+214+226</f>
        <v>1460</v>
      </c>
      <c r="K360">
        <v>8</v>
      </c>
      <c r="L360">
        <v>226</v>
      </c>
      <c r="N360" t="str">
        <f t="shared" si="15"/>
        <v>NA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45.659090000000027</v>
      </c>
      <c r="P360">
        <f t="shared" si="16"/>
        <v>45.659090000000027</v>
      </c>
      <c r="S360">
        <f t="shared" si="17"/>
        <v>16.982257443750001</v>
      </c>
    </row>
    <row r="361" spans="1:19">
      <c r="A361" s="7">
        <v>42276</v>
      </c>
      <c r="B361" s="8" t="s">
        <v>30</v>
      </c>
      <c r="C361">
        <v>35</v>
      </c>
      <c r="D361" s="8" t="s">
        <v>21</v>
      </c>
      <c r="E361">
        <v>172</v>
      </c>
      <c r="F361">
        <v>4.0199999999999996</v>
      </c>
      <c r="H361">
        <v>21</v>
      </c>
      <c r="I361">
        <v>0.7</v>
      </c>
      <c r="N361" t="str">
        <f t="shared" si="15"/>
        <v>NA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63.28451253999998</v>
      </c>
      <c r="P361">
        <f t="shared" si="16"/>
        <v>63.28451253999998</v>
      </c>
      <c r="S361">
        <f t="shared" si="17"/>
        <v>12.692337758999996</v>
      </c>
    </row>
    <row r="362" spans="1:19">
      <c r="A362" s="7">
        <v>42276</v>
      </c>
      <c r="B362" s="8" t="s">
        <v>30</v>
      </c>
      <c r="C362">
        <v>35</v>
      </c>
      <c r="D362" s="8" t="s">
        <v>20</v>
      </c>
      <c r="F362">
        <v>6.23</v>
      </c>
      <c r="J362">
        <f>211+252+263+276+221+239+242+278+287</f>
        <v>2269</v>
      </c>
      <c r="K362">
        <v>9</v>
      </c>
      <c r="L362">
        <v>287</v>
      </c>
      <c r="N362" t="str">
        <f t="shared" si="15"/>
        <v>NA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96.108587</v>
      </c>
      <c r="P362">
        <f t="shared" si="16"/>
        <v>96.108587</v>
      </c>
      <c r="S362">
        <f t="shared" si="17"/>
        <v>30.483554627750003</v>
      </c>
    </row>
    <row r="363" spans="1:19">
      <c r="A363" s="7">
        <v>42276</v>
      </c>
      <c r="B363" s="8" t="s">
        <v>30</v>
      </c>
      <c r="C363">
        <v>35</v>
      </c>
      <c r="D363" s="8" t="s">
        <v>20</v>
      </c>
      <c r="F363">
        <v>1.2</v>
      </c>
      <c r="J363">
        <f>62+121+183+201</f>
        <v>567</v>
      </c>
      <c r="K363">
        <v>4</v>
      </c>
      <c r="L363">
        <v>201</v>
      </c>
      <c r="N363" t="str">
        <f t="shared" si="15"/>
        <v>NA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-2.4435879999999983</v>
      </c>
      <c r="P363" t="str">
        <f t="shared" si="16"/>
        <v xml:space="preserve"> </v>
      </c>
      <c r="S363">
        <f t="shared" si="17"/>
        <v>1.1309723999999999</v>
      </c>
    </row>
    <row r="364" spans="1:19">
      <c r="A364" s="7">
        <v>42276</v>
      </c>
      <c r="B364" s="8" t="s">
        <v>30</v>
      </c>
      <c r="C364">
        <v>35</v>
      </c>
      <c r="D364" s="8" t="s">
        <v>20</v>
      </c>
      <c r="F364">
        <v>1.1100000000000001</v>
      </c>
      <c r="J364">
        <f>67+85+88</f>
        <v>240</v>
      </c>
      <c r="K364">
        <v>3</v>
      </c>
      <c r="L364">
        <v>88</v>
      </c>
      <c r="N364" t="str">
        <f t="shared" si="15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7.9615649999999967</v>
      </c>
      <c r="P364">
        <f t="shared" si="16"/>
        <v>7.9615649999999967</v>
      </c>
      <c r="S364">
        <f t="shared" si="17"/>
        <v>0.96768825975000017</v>
      </c>
    </row>
    <row r="365" spans="1:19">
      <c r="A365" s="7">
        <v>42276</v>
      </c>
      <c r="B365" s="8" t="s">
        <v>30</v>
      </c>
      <c r="C365">
        <v>35</v>
      </c>
      <c r="D365" s="8" t="s">
        <v>21</v>
      </c>
      <c r="E365">
        <v>167</v>
      </c>
      <c r="F365">
        <v>3.04</v>
      </c>
      <c r="H365">
        <v>14</v>
      </c>
      <c r="I365">
        <v>1.7</v>
      </c>
      <c r="N365" t="str">
        <f t="shared" si="15"/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53.85138748</v>
      </c>
      <c r="P365">
        <f t="shared" si="16"/>
        <v>53.85138748</v>
      </c>
      <c r="S365">
        <f t="shared" si="17"/>
        <v>7.2583295359999997</v>
      </c>
    </row>
    <row r="366" spans="1:19">
      <c r="A366" s="7">
        <v>42276</v>
      </c>
      <c r="B366" s="8" t="s">
        <v>30</v>
      </c>
      <c r="C366">
        <v>35</v>
      </c>
      <c r="D366" s="8" t="s">
        <v>20</v>
      </c>
      <c r="F366">
        <v>1.89</v>
      </c>
      <c r="J366">
        <f>41+77+84+107+116</f>
        <v>425</v>
      </c>
      <c r="K366">
        <v>5</v>
      </c>
      <c r="L366">
        <v>116</v>
      </c>
      <c r="N366" t="str">
        <f t="shared" si="15"/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2.826673999999997</v>
      </c>
      <c r="P366">
        <f t="shared" si="16"/>
        <v>2.826673999999997</v>
      </c>
      <c r="S366">
        <f t="shared" si="17"/>
        <v>2.8055184097499999</v>
      </c>
    </row>
    <row r="367" spans="1:19">
      <c r="A367" s="7">
        <v>42276</v>
      </c>
      <c r="B367" s="8" t="s">
        <v>30</v>
      </c>
      <c r="C367">
        <v>35</v>
      </c>
      <c r="D367" s="8" t="s">
        <v>21</v>
      </c>
      <c r="E367">
        <v>198</v>
      </c>
      <c r="F367">
        <v>2.58</v>
      </c>
      <c r="H367">
        <v>21</v>
      </c>
      <c r="I367">
        <v>0.8</v>
      </c>
      <c r="N367" t="str">
        <f t="shared" si="15"/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45.194318060000001</v>
      </c>
      <c r="P367">
        <f t="shared" si="16"/>
        <v>45.194318060000001</v>
      </c>
      <c r="S367">
        <f t="shared" si="17"/>
        <v>5.2279199190000005</v>
      </c>
    </row>
    <row r="368" spans="1:19">
      <c r="A368" s="7">
        <v>42276</v>
      </c>
      <c r="B368" s="8" t="s">
        <v>30</v>
      </c>
      <c r="C368">
        <v>35</v>
      </c>
      <c r="D368" s="8" t="s">
        <v>21</v>
      </c>
      <c r="E368">
        <v>181</v>
      </c>
      <c r="F368">
        <v>3.45</v>
      </c>
      <c r="H368">
        <v>15</v>
      </c>
      <c r="I368">
        <v>0.8</v>
      </c>
      <c r="N368" t="str">
        <f t="shared" si="15"/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51.205778250000009</v>
      </c>
      <c r="P368">
        <f t="shared" si="16"/>
        <v>51.205778250000009</v>
      </c>
      <c r="S368">
        <f t="shared" si="17"/>
        <v>9.3481937437500005</v>
      </c>
    </row>
    <row r="369" spans="1:19">
      <c r="A369" s="7">
        <v>42276</v>
      </c>
      <c r="B369" s="8" t="s">
        <v>30</v>
      </c>
      <c r="C369">
        <v>35</v>
      </c>
      <c r="D369" s="8" t="s">
        <v>20</v>
      </c>
      <c r="F369">
        <v>1.04</v>
      </c>
      <c r="J369">
        <f>43+74+77</f>
        <v>194</v>
      </c>
      <c r="K369">
        <v>3</v>
      </c>
      <c r="L369">
        <v>77</v>
      </c>
      <c r="N369" t="str">
        <f t="shared" si="15"/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6.962530000000001</v>
      </c>
      <c r="P369">
        <f t="shared" si="16"/>
        <v>6.962530000000001</v>
      </c>
      <c r="S369">
        <f t="shared" si="17"/>
        <v>0.84948593600000011</v>
      </c>
    </row>
    <row r="370" spans="1:19">
      <c r="A370" s="7">
        <v>42276</v>
      </c>
      <c r="B370" s="8" t="s">
        <v>30</v>
      </c>
      <c r="C370">
        <v>33</v>
      </c>
      <c r="D370" s="8" t="s">
        <v>20</v>
      </c>
      <c r="F370">
        <v>3.6</v>
      </c>
      <c r="J370">
        <f>76+103+158+159+194+201</f>
        <v>891</v>
      </c>
      <c r="K370">
        <v>6</v>
      </c>
      <c r="L370">
        <v>201</v>
      </c>
      <c r="N370" t="str">
        <f t="shared" si="15"/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13.888326000000006</v>
      </c>
      <c r="P370">
        <f t="shared" si="16"/>
        <v>13.888326000000006</v>
      </c>
      <c r="S370">
        <f t="shared" si="17"/>
        <v>10.1787516</v>
      </c>
    </row>
    <row r="371" spans="1:19">
      <c r="A371" s="7">
        <v>42276</v>
      </c>
      <c r="B371" s="8" t="s">
        <v>30</v>
      </c>
      <c r="C371">
        <v>33</v>
      </c>
      <c r="D371" s="8" t="s">
        <v>20</v>
      </c>
      <c r="F371">
        <v>7.62</v>
      </c>
      <c r="J371">
        <f>129+127+159+179+189+192+215+214</f>
        <v>1404</v>
      </c>
      <c r="K371">
        <v>8</v>
      </c>
      <c r="L371">
        <v>215</v>
      </c>
      <c r="N371" t="str">
        <f t="shared" si="15"/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43.722505000000019</v>
      </c>
      <c r="P371">
        <f t="shared" si="16"/>
        <v>43.722505000000019</v>
      </c>
      <c r="S371">
        <f t="shared" si="17"/>
        <v>45.603634598999996</v>
      </c>
    </row>
    <row r="372" spans="1:19">
      <c r="A372" s="7">
        <v>42276</v>
      </c>
      <c r="B372" s="8" t="s">
        <v>30</v>
      </c>
      <c r="C372">
        <v>33</v>
      </c>
      <c r="D372" s="8" t="s">
        <v>20</v>
      </c>
      <c r="F372">
        <v>0.7</v>
      </c>
      <c r="J372">
        <f>37+78+90</f>
        <v>205</v>
      </c>
      <c r="K372">
        <v>3</v>
      </c>
      <c r="L372">
        <v>90</v>
      </c>
      <c r="N372" t="str">
        <f t="shared" si="15"/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4.0776499999999984</v>
      </c>
      <c r="P372">
        <f t="shared" si="16"/>
        <v>4.0776499999999984</v>
      </c>
      <c r="S372">
        <f t="shared" si="17"/>
        <v>0.38484477499999992</v>
      </c>
    </row>
    <row r="373" spans="1:19">
      <c r="A373" s="7">
        <v>42276</v>
      </c>
      <c r="B373" s="8" t="s">
        <v>30</v>
      </c>
      <c r="C373">
        <v>33</v>
      </c>
      <c r="D373" s="8" t="s">
        <v>20</v>
      </c>
      <c r="F373">
        <v>1.5</v>
      </c>
      <c r="J373">
        <f>46+66+95+98+123+127</f>
        <v>555</v>
      </c>
      <c r="K373">
        <v>6</v>
      </c>
      <c r="L373">
        <v>127</v>
      </c>
      <c r="N373" t="str">
        <f t="shared" si="15"/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4.6787759999999992</v>
      </c>
      <c r="P373">
        <f t="shared" si="16"/>
        <v>4.6787759999999992</v>
      </c>
      <c r="S373">
        <f t="shared" si="17"/>
        <v>1.767144375</v>
      </c>
    </row>
    <row r="374" spans="1:19">
      <c r="A374" s="7">
        <v>42276</v>
      </c>
      <c r="B374" s="8" t="s">
        <v>30</v>
      </c>
      <c r="C374">
        <v>33</v>
      </c>
      <c r="D374" s="8" t="s">
        <v>20</v>
      </c>
      <c r="F374">
        <v>6.15</v>
      </c>
      <c r="J374">
        <f>89+121+153+176+212+246+266+274</f>
        <v>1537</v>
      </c>
      <c r="K374">
        <v>8</v>
      </c>
      <c r="L374">
        <v>274</v>
      </c>
      <c r="N374" t="str">
        <f t="shared" si="15"/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38.418465000000019</v>
      </c>
      <c r="P374">
        <f t="shared" si="16"/>
        <v>38.418465000000019</v>
      </c>
      <c r="S374">
        <f t="shared" si="17"/>
        <v>29.705696943750002</v>
      </c>
    </row>
    <row r="375" spans="1:19">
      <c r="A375" s="7">
        <v>42276</v>
      </c>
      <c r="B375" s="8" t="s">
        <v>30</v>
      </c>
      <c r="C375">
        <v>33</v>
      </c>
      <c r="D375" s="8" t="s">
        <v>20</v>
      </c>
      <c r="F375">
        <v>5.49</v>
      </c>
      <c r="J375">
        <f>99+166+168+205+227+246+279+279</f>
        <v>1669</v>
      </c>
      <c r="K375">
        <v>8</v>
      </c>
      <c r="L375">
        <v>279</v>
      </c>
      <c r="N375" t="str">
        <f t="shared" si="15"/>
        <v>NA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49.287900000000029</v>
      </c>
      <c r="P375">
        <f t="shared" si="16"/>
        <v>49.287900000000029</v>
      </c>
      <c r="S375">
        <f t="shared" si="17"/>
        <v>23.671959189750002</v>
      </c>
    </row>
    <row r="376" spans="1:19">
      <c r="A376" s="7">
        <v>42276</v>
      </c>
      <c r="B376" s="8" t="s">
        <v>30</v>
      </c>
      <c r="C376">
        <v>33</v>
      </c>
      <c r="D376" s="8" t="s">
        <v>20</v>
      </c>
      <c r="F376">
        <v>2.2200000000000002</v>
      </c>
      <c r="J376">
        <f>50+89+117+144+151+178</f>
        <v>729</v>
      </c>
      <c r="K376">
        <v>6</v>
      </c>
      <c r="L376">
        <v>178</v>
      </c>
      <c r="N376" t="str">
        <f t="shared" si="15"/>
        <v>NA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5.628651000000005</v>
      </c>
      <c r="P376">
        <f t="shared" si="16"/>
        <v>5.628651000000005</v>
      </c>
      <c r="S376">
        <f t="shared" si="17"/>
        <v>3.8707530390000007</v>
      </c>
    </row>
    <row r="377" spans="1:19">
      <c r="A377" s="7">
        <v>42276</v>
      </c>
      <c r="B377" s="8" t="s">
        <v>30</v>
      </c>
      <c r="C377">
        <v>33</v>
      </c>
      <c r="D377" s="8" t="s">
        <v>20</v>
      </c>
      <c r="F377">
        <v>2.92</v>
      </c>
      <c r="J377">
        <f>79+133+163+187+208+241</f>
        <v>1011</v>
      </c>
      <c r="K377">
        <v>6</v>
      </c>
      <c r="L377">
        <v>241</v>
      </c>
      <c r="N377" t="str">
        <f t="shared" si="15"/>
        <v>NA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13.089126</v>
      </c>
      <c r="P377">
        <f t="shared" si="16"/>
        <v>13.089126</v>
      </c>
      <c r="S377">
        <f t="shared" si="17"/>
        <v>6.696613243999999</v>
      </c>
    </row>
    <row r="378" spans="1:19">
      <c r="A378" s="7">
        <v>42276</v>
      </c>
      <c r="B378" s="8" t="s">
        <v>30</v>
      </c>
      <c r="C378">
        <v>33</v>
      </c>
      <c r="D378" s="8" t="s">
        <v>20</v>
      </c>
      <c r="F378">
        <v>2.95</v>
      </c>
      <c r="J378">
        <f>250+130+195+202+221+245</f>
        <v>1243</v>
      </c>
      <c r="K378">
        <v>6</v>
      </c>
      <c r="L378">
        <v>245</v>
      </c>
      <c r="N378" t="str">
        <f t="shared" si="15"/>
        <v>NA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33.635306000000007</v>
      </c>
      <c r="P378">
        <f t="shared" si="16"/>
        <v>33.635306000000007</v>
      </c>
      <c r="S378">
        <f t="shared" si="17"/>
        <v>6.8349217437499998</v>
      </c>
    </row>
    <row r="379" spans="1:19">
      <c r="A379" s="7">
        <v>42276</v>
      </c>
      <c r="B379" s="8" t="s">
        <v>30</v>
      </c>
      <c r="C379">
        <v>27</v>
      </c>
      <c r="D379" s="8" t="s">
        <v>24</v>
      </c>
      <c r="E379">
        <v>82</v>
      </c>
      <c r="F379">
        <v>1.3</v>
      </c>
      <c r="N379">
        <f t="shared" si="15"/>
        <v>36.280128516666664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1.1580130000000004</v>
      </c>
      <c r="P379">
        <f t="shared" si="16"/>
        <v>1.1580130000000004</v>
      </c>
      <c r="S379">
        <f t="shared" si="17"/>
        <v>1.3273217750000001</v>
      </c>
    </row>
    <row r="380" spans="1:19">
      <c r="A380" s="7">
        <v>42276</v>
      </c>
      <c r="B380" s="8" t="s">
        <v>30</v>
      </c>
      <c r="C380">
        <v>27</v>
      </c>
      <c r="D380" s="8" t="s">
        <v>24</v>
      </c>
      <c r="E380">
        <v>100</v>
      </c>
      <c r="F380">
        <v>1.41</v>
      </c>
      <c r="N380">
        <f t="shared" si="15"/>
        <v>52.048292324999991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2.4199030000000006</v>
      </c>
      <c r="P380">
        <f t="shared" si="16"/>
        <v>2.4199030000000006</v>
      </c>
      <c r="S380">
        <f t="shared" si="17"/>
        <v>1.5614487697499997</v>
      </c>
    </row>
    <row r="381" spans="1:19">
      <c r="A381" s="7">
        <v>42276</v>
      </c>
      <c r="B381" s="8" t="s">
        <v>30</v>
      </c>
      <c r="C381">
        <v>27</v>
      </c>
      <c r="D381" s="8" t="s">
        <v>24</v>
      </c>
      <c r="E381">
        <v>126</v>
      </c>
      <c r="F381">
        <v>2.1800000000000002</v>
      </c>
      <c r="N381">
        <f t="shared" si="15"/>
        <v>156.765969318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4.2426330000000005</v>
      </c>
      <c r="P381">
        <f t="shared" si="16"/>
        <v>4.2426330000000005</v>
      </c>
      <c r="S381">
        <f t="shared" si="17"/>
        <v>3.7325230790000004</v>
      </c>
    </row>
    <row r="382" spans="1:19">
      <c r="A382" s="7">
        <v>42276</v>
      </c>
      <c r="B382" s="8" t="s">
        <v>30</v>
      </c>
      <c r="C382">
        <v>27</v>
      </c>
      <c r="D382" s="8" t="s">
        <v>24</v>
      </c>
      <c r="E382">
        <v>168</v>
      </c>
      <c r="F382">
        <v>2.1</v>
      </c>
      <c r="N382">
        <f t="shared" si="15"/>
        <v>193.9617666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7.1870430000000001</v>
      </c>
      <c r="P382">
        <f t="shared" si="16"/>
        <v>7.1870430000000001</v>
      </c>
      <c r="S382">
        <f t="shared" si="17"/>
        <v>3.4636029750000001</v>
      </c>
    </row>
    <row r="383" spans="1:19">
      <c r="A383" s="7">
        <v>42276</v>
      </c>
      <c r="B383" s="8" t="s">
        <v>30</v>
      </c>
      <c r="C383">
        <v>27</v>
      </c>
      <c r="D383" s="8" t="s">
        <v>24</v>
      </c>
      <c r="E383">
        <v>79</v>
      </c>
      <c r="F383">
        <v>1.69</v>
      </c>
      <c r="N383">
        <f t="shared" si="15"/>
        <v>59.070243393416654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0.94769799999999993</v>
      </c>
      <c r="P383">
        <f t="shared" si="16"/>
        <v>0.94769799999999993</v>
      </c>
      <c r="S383">
        <f t="shared" si="17"/>
        <v>2.2431737997499996</v>
      </c>
    </row>
    <row r="384" spans="1:19">
      <c r="A384" s="7">
        <v>42276</v>
      </c>
      <c r="B384" s="8" t="s">
        <v>30</v>
      </c>
      <c r="C384">
        <v>27</v>
      </c>
      <c r="D384" s="8" t="s">
        <v>24</v>
      </c>
      <c r="E384">
        <v>64</v>
      </c>
      <c r="F384">
        <v>2</v>
      </c>
      <c r="N384">
        <f t="shared" si="15"/>
        <v>67.020586666666659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-0.10387699999999978</v>
      </c>
      <c r="P384" t="str">
        <f t="shared" si="16"/>
        <v xml:space="preserve"> </v>
      </c>
      <c r="S384">
        <f t="shared" si="17"/>
        <v>3.1415899999999999</v>
      </c>
    </row>
    <row r="385" spans="1:19">
      <c r="A385" s="7">
        <v>42276</v>
      </c>
      <c r="B385" s="8" t="s">
        <v>30</v>
      </c>
      <c r="C385">
        <v>27</v>
      </c>
      <c r="D385" s="8" t="s">
        <v>24</v>
      </c>
      <c r="E385">
        <v>151</v>
      </c>
      <c r="F385">
        <v>2.5299999999999998</v>
      </c>
      <c r="N385">
        <f t="shared" si="15"/>
        <v>253.0382931734166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5.9952580000000006</v>
      </c>
      <c r="P385">
        <f t="shared" si="16"/>
        <v>5.9952580000000006</v>
      </c>
      <c r="S385">
        <f t="shared" si="17"/>
        <v>5.0272508577499995</v>
      </c>
    </row>
    <row r="386" spans="1:19">
      <c r="A386" s="7">
        <v>42276</v>
      </c>
      <c r="B386" s="8" t="s">
        <v>30</v>
      </c>
      <c r="C386">
        <v>27</v>
      </c>
      <c r="D386" s="8" t="s">
        <v>24</v>
      </c>
      <c r="E386">
        <v>77</v>
      </c>
      <c r="F386">
        <v>0.73</v>
      </c>
      <c r="N386">
        <f t="shared" si="15"/>
        <v>10.74248374558333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0.80748800000000021</v>
      </c>
      <c r="P386">
        <f t="shared" si="16"/>
        <v>0.80748800000000021</v>
      </c>
      <c r="S386">
        <f t="shared" si="17"/>
        <v>0.41853832774999994</v>
      </c>
    </row>
    <row r="387" spans="1:19">
      <c r="A387" s="7">
        <v>42276</v>
      </c>
      <c r="B387" s="8" t="s">
        <v>30</v>
      </c>
      <c r="C387">
        <v>27</v>
      </c>
      <c r="D387" s="8" t="s">
        <v>24</v>
      </c>
      <c r="E387" s="8">
        <v>145</v>
      </c>
      <c r="F387" s="8">
        <v>2.14</v>
      </c>
      <c r="N387">
        <f t="shared" si="15"/>
        <v>173.84564223166663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5.5746279999999997</v>
      </c>
      <c r="P387">
        <f t="shared" si="16"/>
        <v>5.5746279999999997</v>
      </c>
      <c r="S387">
        <f t="shared" si="17"/>
        <v>3.5968063909999999</v>
      </c>
    </row>
    <row r="388" spans="1:19">
      <c r="A388" s="7">
        <v>42276</v>
      </c>
      <c r="B388" s="8" t="s">
        <v>30</v>
      </c>
      <c r="C388">
        <v>27</v>
      </c>
      <c r="D388" s="8" t="s">
        <v>24</v>
      </c>
      <c r="E388">
        <v>170</v>
      </c>
      <c r="F388">
        <v>1.44</v>
      </c>
      <c r="N388">
        <f t="shared" ref="N388:N451" si="18">IF(OR(D388="S. acutus", D388="S. tabernaemontani", D388="S. californicus"),(1/3)*(3.14159)*((F388/2)^2)*E388,"NA")</f>
        <v>92.287347839999981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7.3272529999999998</v>
      </c>
      <c r="P388">
        <f t="shared" si="16"/>
        <v>7.3272529999999998</v>
      </c>
      <c r="S388">
        <f t="shared" si="17"/>
        <v>1.6286002559999999</v>
      </c>
    </row>
    <row r="389" spans="1:19">
      <c r="A389" s="7">
        <v>42276</v>
      </c>
      <c r="B389" s="8" t="s">
        <v>30</v>
      </c>
      <c r="C389">
        <v>27</v>
      </c>
      <c r="D389" s="8" t="s">
        <v>24</v>
      </c>
      <c r="E389">
        <v>159</v>
      </c>
      <c r="F389">
        <v>1.68</v>
      </c>
      <c r="N389">
        <f t="shared" si="18"/>
        <v>117.48541291199997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6.5560979999999995</v>
      </c>
      <c r="P389">
        <f t="shared" ref="P389:P452" si="19">IF(O389&lt;0," ",O389)</f>
        <v>6.5560979999999995</v>
      </c>
      <c r="S389">
        <f t="shared" ref="S389:S452" si="20">3.14159*((F389/2)^2)</f>
        <v>2.2167059039999994</v>
      </c>
    </row>
    <row r="390" spans="1:19">
      <c r="A390" s="7">
        <v>42276</v>
      </c>
      <c r="B390" s="8" t="s">
        <v>30</v>
      </c>
      <c r="C390">
        <v>27</v>
      </c>
      <c r="D390" s="8" t="s">
        <v>24</v>
      </c>
      <c r="E390">
        <v>136</v>
      </c>
      <c r="F390">
        <v>1.22</v>
      </c>
      <c r="N390">
        <f t="shared" si="18"/>
        <v>52.99401563466666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4.9436830000000009</v>
      </c>
      <c r="P390">
        <f t="shared" si="19"/>
        <v>4.9436830000000009</v>
      </c>
      <c r="S390">
        <f t="shared" si="20"/>
        <v>1.168985639</v>
      </c>
    </row>
    <row r="391" spans="1:19">
      <c r="A391" s="7">
        <v>42276</v>
      </c>
      <c r="B391" s="8" t="s">
        <v>30</v>
      </c>
      <c r="C391">
        <v>27</v>
      </c>
      <c r="D391" s="8" t="s">
        <v>24</v>
      </c>
      <c r="E391">
        <v>166</v>
      </c>
      <c r="F391">
        <v>2</v>
      </c>
      <c r="N391">
        <f t="shared" si="18"/>
        <v>173.83464666666666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7.0468330000000003</v>
      </c>
      <c r="P391">
        <f t="shared" si="19"/>
        <v>7.0468330000000003</v>
      </c>
      <c r="S391">
        <f t="shared" si="20"/>
        <v>3.1415899999999999</v>
      </c>
    </row>
    <row r="392" spans="1:19">
      <c r="A392" s="7">
        <v>42276</v>
      </c>
      <c r="B392" s="8" t="s">
        <v>30</v>
      </c>
      <c r="C392">
        <v>27</v>
      </c>
      <c r="D392" s="8" t="s">
        <v>24</v>
      </c>
      <c r="E392">
        <v>118</v>
      </c>
      <c r="F392">
        <v>1.59</v>
      </c>
      <c r="N392">
        <f t="shared" si="18"/>
        <v>78.098827843500004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3.6817929999999999</v>
      </c>
      <c r="P392">
        <f t="shared" si="19"/>
        <v>3.6817929999999999</v>
      </c>
      <c r="S392">
        <f t="shared" si="20"/>
        <v>1.9855634197500001</v>
      </c>
    </row>
    <row r="393" spans="1:19">
      <c r="A393" s="7">
        <v>42276</v>
      </c>
      <c r="B393" s="8" t="s">
        <v>30</v>
      </c>
      <c r="C393">
        <v>27</v>
      </c>
      <c r="D393" s="8" t="s">
        <v>24</v>
      </c>
      <c r="E393">
        <v>93</v>
      </c>
      <c r="F393">
        <v>0.69</v>
      </c>
      <c r="N393">
        <f t="shared" si="18"/>
        <v>11.591760242249997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1.9291680000000007</v>
      </c>
      <c r="P393">
        <f t="shared" si="19"/>
        <v>1.9291680000000007</v>
      </c>
      <c r="S393">
        <f t="shared" si="20"/>
        <v>0.37392774974999993</v>
      </c>
    </row>
    <row r="394" spans="1:19">
      <c r="A394" s="7">
        <v>42276</v>
      </c>
      <c r="B394" s="8" t="s">
        <v>30</v>
      </c>
      <c r="C394">
        <v>27</v>
      </c>
      <c r="D394" s="8" t="s">
        <v>24</v>
      </c>
      <c r="E394">
        <v>170</v>
      </c>
      <c r="F394">
        <v>1.58</v>
      </c>
      <c r="N394">
        <f t="shared" si="18"/>
        <v>111.10442474333334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7.3272529999999998</v>
      </c>
      <c r="P394">
        <f t="shared" si="19"/>
        <v>7.3272529999999998</v>
      </c>
      <c r="S394">
        <f t="shared" si="20"/>
        <v>1.9606663190000002</v>
      </c>
    </row>
    <row r="395" spans="1:19">
      <c r="A395" s="7">
        <v>42276</v>
      </c>
      <c r="B395" s="8" t="s">
        <v>30</v>
      </c>
      <c r="C395">
        <v>27</v>
      </c>
      <c r="D395" s="8" t="s">
        <v>24</v>
      </c>
      <c r="E395">
        <v>89</v>
      </c>
      <c r="F395">
        <v>0.76</v>
      </c>
      <c r="N395">
        <f t="shared" si="18"/>
        <v>13.458152681333333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1.6487480000000003</v>
      </c>
      <c r="P395">
        <f t="shared" si="19"/>
        <v>1.6487480000000003</v>
      </c>
      <c r="S395">
        <f t="shared" si="20"/>
        <v>0.45364559599999998</v>
      </c>
    </row>
    <row r="396" spans="1:19">
      <c r="A396" s="7">
        <v>42276</v>
      </c>
      <c r="B396" s="8" t="s">
        <v>30</v>
      </c>
      <c r="C396">
        <v>27</v>
      </c>
      <c r="D396" s="8" t="s">
        <v>24</v>
      </c>
      <c r="E396">
        <v>159</v>
      </c>
      <c r="F396">
        <v>1.41</v>
      </c>
      <c r="N396">
        <f t="shared" si="18"/>
        <v>82.756784796749983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6.5560979999999995</v>
      </c>
      <c r="P396">
        <f t="shared" si="19"/>
        <v>6.5560979999999995</v>
      </c>
      <c r="S396">
        <f t="shared" si="20"/>
        <v>1.5614487697499997</v>
      </c>
    </row>
    <row r="397" spans="1:19">
      <c r="A397" s="7">
        <v>42276</v>
      </c>
      <c r="B397" s="8" t="s">
        <v>30</v>
      </c>
      <c r="C397">
        <v>27</v>
      </c>
      <c r="D397" s="8" t="s">
        <v>24</v>
      </c>
      <c r="E397">
        <v>154</v>
      </c>
      <c r="F397">
        <v>1.59</v>
      </c>
      <c r="N397">
        <f t="shared" si="18"/>
        <v>101.9255888805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6.2055730000000002</v>
      </c>
      <c r="P397">
        <f t="shared" si="19"/>
        <v>6.2055730000000002</v>
      </c>
      <c r="S397">
        <f t="shared" si="20"/>
        <v>1.9855634197500001</v>
      </c>
    </row>
    <row r="398" spans="1:19">
      <c r="A398" s="7">
        <v>42276</v>
      </c>
      <c r="B398" s="8" t="s">
        <v>30</v>
      </c>
      <c r="C398">
        <v>27</v>
      </c>
      <c r="D398" s="8" t="s">
        <v>24</v>
      </c>
      <c r="E398">
        <v>194</v>
      </c>
      <c r="F398">
        <v>1.42</v>
      </c>
      <c r="N398">
        <f t="shared" si="18"/>
        <v>102.41101689533333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9.0097729999999991</v>
      </c>
      <c r="P398">
        <f t="shared" si="19"/>
        <v>9.0097729999999991</v>
      </c>
      <c r="S398">
        <f t="shared" si="20"/>
        <v>1.5836755189999998</v>
      </c>
    </row>
    <row r="399" spans="1:19">
      <c r="A399" s="7">
        <v>42276</v>
      </c>
      <c r="B399" s="8" t="s">
        <v>30</v>
      </c>
      <c r="C399">
        <v>27</v>
      </c>
      <c r="D399" s="8" t="s">
        <v>24</v>
      </c>
      <c r="E399">
        <v>95</v>
      </c>
      <c r="F399">
        <v>0.85</v>
      </c>
      <c r="N399">
        <f t="shared" si="18"/>
        <v>17.969240302083328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2.0693780000000004</v>
      </c>
      <c r="P399">
        <f t="shared" si="19"/>
        <v>2.0693780000000004</v>
      </c>
      <c r="S399">
        <f t="shared" si="20"/>
        <v>0.56744969374999987</v>
      </c>
    </row>
    <row r="400" spans="1:19">
      <c r="A400" s="7">
        <v>42276</v>
      </c>
      <c r="B400" s="8" t="s">
        <v>30</v>
      </c>
      <c r="C400">
        <v>27</v>
      </c>
      <c r="D400" s="8" t="s">
        <v>24</v>
      </c>
      <c r="E400">
        <v>115</v>
      </c>
      <c r="F400">
        <v>1.22</v>
      </c>
      <c r="N400">
        <f t="shared" si="18"/>
        <v>44.811116161666661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3.4714780000000003</v>
      </c>
      <c r="P400">
        <f t="shared" si="19"/>
        <v>3.4714780000000003</v>
      </c>
      <c r="S400">
        <f t="shared" si="20"/>
        <v>1.168985639</v>
      </c>
    </row>
    <row r="401" spans="1:19">
      <c r="A401" s="7">
        <v>42276</v>
      </c>
      <c r="B401" s="8" t="s">
        <v>30</v>
      </c>
      <c r="C401">
        <v>27</v>
      </c>
      <c r="D401" s="8" t="s">
        <v>24</v>
      </c>
      <c r="E401">
        <v>143</v>
      </c>
      <c r="F401">
        <v>1.25</v>
      </c>
      <c r="N401">
        <f t="shared" si="18"/>
        <v>58.495751302083328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5.434418</v>
      </c>
      <c r="P401">
        <f t="shared" si="19"/>
        <v>5.434418</v>
      </c>
      <c r="S401">
        <f t="shared" si="20"/>
        <v>1.22718359375</v>
      </c>
    </row>
    <row r="402" spans="1:19">
      <c r="A402" s="7">
        <v>42276</v>
      </c>
      <c r="B402" s="8" t="s">
        <v>30</v>
      </c>
      <c r="C402">
        <v>27</v>
      </c>
      <c r="D402" s="8" t="s">
        <v>24</v>
      </c>
      <c r="E402">
        <v>81</v>
      </c>
      <c r="F402">
        <v>0.8</v>
      </c>
      <c r="N402">
        <f t="shared" si="18"/>
        <v>13.571668800000001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1.0879080000000005</v>
      </c>
      <c r="P402">
        <f t="shared" si="19"/>
        <v>1.0879080000000005</v>
      </c>
      <c r="S402">
        <f t="shared" si="20"/>
        <v>0.50265440000000006</v>
      </c>
    </row>
    <row r="403" spans="1:19">
      <c r="A403" s="7">
        <v>42276</v>
      </c>
      <c r="B403" s="8" t="s">
        <v>30</v>
      </c>
      <c r="C403">
        <v>27</v>
      </c>
      <c r="D403" s="8" t="s">
        <v>24</v>
      </c>
      <c r="E403">
        <v>251</v>
      </c>
      <c r="F403">
        <v>1.55</v>
      </c>
      <c r="G403">
        <v>9</v>
      </c>
      <c r="N403">
        <f t="shared" si="18"/>
        <v>157.87209697708332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14.748905707549362</v>
      </c>
      <c r="P403">
        <f t="shared" si="19"/>
        <v>14.748905707549362</v>
      </c>
      <c r="S403">
        <f t="shared" si="20"/>
        <v>1.8869174937500002</v>
      </c>
    </row>
    <row r="404" spans="1:19">
      <c r="A404" s="7">
        <v>42276</v>
      </c>
      <c r="B404" s="8" t="s">
        <v>30</v>
      </c>
      <c r="C404">
        <v>27</v>
      </c>
      <c r="D404" s="8" t="s">
        <v>24</v>
      </c>
      <c r="E404">
        <v>142</v>
      </c>
      <c r="F404">
        <v>1.38</v>
      </c>
      <c r="N404">
        <f t="shared" si="18"/>
        <v>70.796987285999975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5.3643130000000001</v>
      </c>
      <c r="P404">
        <f t="shared" si="19"/>
        <v>5.3643130000000001</v>
      </c>
      <c r="S404">
        <f t="shared" si="20"/>
        <v>1.4957109989999997</v>
      </c>
    </row>
    <row r="405" spans="1:19">
      <c r="A405" s="7">
        <v>42276</v>
      </c>
      <c r="B405" s="8" t="s">
        <v>30</v>
      </c>
      <c r="C405">
        <v>27</v>
      </c>
      <c r="D405" s="8" t="s">
        <v>24</v>
      </c>
      <c r="E405">
        <v>171</v>
      </c>
      <c r="F405">
        <v>1.81</v>
      </c>
      <c r="N405">
        <f t="shared" si="18"/>
        <v>146.66332273574997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7.3973579999999997</v>
      </c>
      <c r="P405">
        <f t="shared" si="19"/>
        <v>7.3973579999999997</v>
      </c>
      <c r="S405">
        <f t="shared" si="20"/>
        <v>2.5730407497500001</v>
      </c>
    </row>
    <row r="406" spans="1:19">
      <c r="A406" s="7">
        <v>42276</v>
      </c>
      <c r="B406" s="8" t="s">
        <v>30</v>
      </c>
      <c r="C406">
        <v>27</v>
      </c>
      <c r="D406" s="8" t="s">
        <v>24</v>
      </c>
      <c r="E406">
        <v>156</v>
      </c>
      <c r="F406">
        <v>1.85</v>
      </c>
      <c r="N406">
        <f t="shared" si="18"/>
        <v>139.77719307499999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6.345783</v>
      </c>
      <c r="P406">
        <f t="shared" si="19"/>
        <v>6.345783</v>
      </c>
      <c r="S406">
        <f t="shared" si="20"/>
        <v>2.6880229437500001</v>
      </c>
    </row>
    <row r="407" spans="1:19">
      <c r="A407" s="7">
        <v>42276</v>
      </c>
      <c r="B407" s="8" t="s">
        <v>30</v>
      </c>
      <c r="C407">
        <v>27</v>
      </c>
      <c r="D407" s="8" t="s">
        <v>24</v>
      </c>
      <c r="E407">
        <v>107</v>
      </c>
      <c r="F407">
        <v>1.47</v>
      </c>
      <c r="N407">
        <f t="shared" si="18"/>
        <v>60.532234659749989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2.9106380000000005</v>
      </c>
      <c r="P407">
        <f t="shared" si="19"/>
        <v>2.9106380000000005</v>
      </c>
      <c r="S407">
        <f t="shared" si="20"/>
        <v>1.6971654577499997</v>
      </c>
    </row>
    <row r="408" spans="1:19">
      <c r="A408" s="7">
        <v>42276</v>
      </c>
      <c r="B408" s="8" t="s">
        <v>30</v>
      </c>
      <c r="C408">
        <v>27</v>
      </c>
      <c r="D408" s="8" t="s">
        <v>24</v>
      </c>
      <c r="E408">
        <v>211</v>
      </c>
      <c r="F408">
        <v>1.64</v>
      </c>
      <c r="N408">
        <f t="shared" si="18"/>
        <v>148.57249315866662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10.201557999999999</v>
      </c>
      <c r="P408">
        <f t="shared" si="19"/>
        <v>10.201557999999999</v>
      </c>
      <c r="S408">
        <f t="shared" si="20"/>
        <v>2.1124051159999997</v>
      </c>
    </row>
    <row r="409" spans="1:19">
      <c r="A409" s="7">
        <v>42276</v>
      </c>
      <c r="B409" s="8" t="s">
        <v>30</v>
      </c>
      <c r="C409">
        <v>27</v>
      </c>
      <c r="D409" s="8" t="s">
        <v>24</v>
      </c>
      <c r="E409">
        <v>181</v>
      </c>
      <c r="F409">
        <v>1.58</v>
      </c>
      <c r="N409">
        <f t="shared" si="18"/>
        <v>118.29353457966668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8.0984079999999992</v>
      </c>
      <c r="P409">
        <f t="shared" si="19"/>
        <v>8.0984079999999992</v>
      </c>
      <c r="S409">
        <f t="shared" si="20"/>
        <v>1.9606663190000002</v>
      </c>
    </row>
    <row r="410" spans="1:19">
      <c r="A410" s="7">
        <v>42276</v>
      </c>
      <c r="B410" s="8" t="s">
        <v>30</v>
      </c>
      <c r="C410">
        <v>27</v>
      </c>
      <c r="D410" s="8" t="s">
        <v>24</v>
      </c>
      <c r="E410">
        <v>158</v>
      </c>
      <c r="F410">
        <v>1.94</v>
      </c>
      <c r="G410">
        <v>5</v>
      </c>
      <c r="N410">
        <f t="shared" si="18"/>
        <v>155.6785602993333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11.097111552342803</v>
      </c>
      <c r="P410">
        <f t="shared" si="19"/>
        <v>11.097111552342803</v>
      </c>
      <c r="S410">
        <f t="shared" si="20"/>
        <v>2.9559220309999996</v>
      </c>
    </row>
    <row r="411" spans="1:19">
      <c r="A411" s="7">
        <v>42276</v>
      </c>
      <c r="B411" s="8" t="s">
        <v>30</v>
      </c>
      <c r="C411">
        <v>27</v>
      </c>
      <c r="D411" s="8" t="s">
        <v>24</v>
      </c>
      <c r="E411">
        <v>118</v>
      </c>
      <c r="F411">
        <v>1.69</v>
      </c>
      <c r="N411">
        <f t="shared" si="18"/>
        <v>88.231502790166644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3.6817929999999999</v>
      </c>
      <c r="P411">
        <f t="shared" si="19"/>
        <v>3.6817929999999999</v>
      </c>
      <c r="S411">
        <f t="shared" si="20"/>
        <v>2.2431737997499996</v>
      </c>
    </row>
    <row r="412" spans="1:19">
      <c r="A412" s="7">
        <v>42276</v>
      </c>
      <c r="B412" s="8" t="s">
        <v>30</v>
      </c>
      <c r="C412">
        <v>27</v>
      </c>
      <c r="D412" s="8" t="s">
        <v>24</v>
      </c>
      <c r="E412">
        <v>159</v>
      </c>
      <c r="F412">
        <v>2.25</v>
      </c>
      <c r="N412">
        <f t="shared" si="18"/>
        <v>210.73196671874996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6.5560979999999995</v>
      </c>
      <c r="P412">
        <f t="shared" si="19"/>
        <v>6.5560979999999995</v>
      </c>
      <c r="S412">
        <f t="shared" si="20"/>
        <v>3.9760748437499998</v>
      </c>
    </row>
    <row r="413" spans="1:19">
      <c r="A413" s="7">
        <v>42276</v>
      </c>
      <c r="B413" s="8" t="s">
        <v>30</v>
      </c>
      <c r="C413">
        <v>27</v>
      </c>
      <c r="D413" s="8" t="s">
        <v>24</v>
      </c>
      <c r="E413">
        <v>173</v>
      </c>
      <c r="F413">
        <v>2.1</v>
      </c>
      <c r="G413">
        <v>6</v>
      </c>
      <c r="N413">
        <f t="shared" si="18"/>
        <v>199.73443822499999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13.093356971839402</v>
      </c>
      <c r="P413">
        <f t="shared" si="19"/>
        <v>13.093356971839402</v>
      </c>
      <c r="S413">
        <f t="shared" si="20"/>
        <v>3.4636029750000001</v>
      </c>
    </row>
    <row r="414" spans="1:19">
      <c r="A414" s="7">
        <v>42276</v>
      </c>
      <c r="B414" s="8" t="s">
        <v>30</v>
      </c>
      <c r="C414">
        <v>27</v>
      </c>
      <c r="D414" s="8" t="s">
        <v>24</v>
      </c>
      <c r="E414">
        <v>156</v>
      </c>
      <c r="F414">
        <v>1.58</v>
      </c>
      <c r="N414">
        <f t="shared" si="18"/>
        <v>101.95464858800001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6.345783</v>
      </c>
      <c r="P414">
        <f t="shared" si="19"/>
        <v>6.345783</v>
      </c>
      <c r="S414">
        <f t="shared" si="20"/>
        <v>1.9606663190000002</v>
      </c>
    </row>
    <row r="415" spans="1:19">
      <c r="A415" s="7">
        <v>42276</v>
      </c>
      <c r="B415" s="8" t="s">
        <v>30</v>
      </c>
      <c r="C415">
        <v>27</v>
      </c>
      <c r="D415" s="8" t="s">
        <v>24</v>
      </c>
      <c r="E415">
        <v>45</v>
      </c>
      <c r="F415">
        <v>0.6</v>
      </c>
      <c r="N415">
        <f t="shared" si="18"/>
        <v>4.2411464999999993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-1.4358719999999998</v>
      </c>
      <c r="P415" t="str">
        <f t="shared" si="19"/>
        <v xml:space="preserve"> </v>
      </c>
      <c r="S415">
        <f t="shared" si="20"/>
        <v>0.28274309999999997</v>
      </c>
    </row>
    <row r="416" spans="1:19">
      <c r="A416" s="7">
        <v>42276</v>
      </c>
      <c r="B416" s="8" t="s">
        <v>30</v>
      </c>
      <c r="C416">
        <v>27</v>
      </c>
      <c r="D416" s="8" t="s">
        <v>24</v>
      </c>
      <c r="E416">
        <v>143</v>
      </c>
      <c r="F416">
        <v>1.44</v>
      </c>
      <c r="N416">
        <f t="shared" si="18"/>
        <v>77.62994553599998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5.434418</v>
      </c>
      <c r="P416">
        <f t="shared" si="19"/>
        <v>5.434418</v>
      </c>
      <c r="S416">
        <f t="shared" si="20"/>
        <v>1.6286002559999999</v>
      </c>
    </row>
    <row r="417" spans="1:19">
      <c r="A417" s="7">
        <v>42276</v>
      </c>
      <c r="B417" s="8" t="s">
        <v>30</v>
      </c>
      <c r="C417">
        <v>27</v>
      </c>
      <c r="D417" s="8" t="s">
        <v>24</v>
      </c>
      <c r="E417">
        <v>57</v>
      </c>
      <c r="F417">
        <v>0.61</v>
      </c>
      <c r="N417">
        <f t="shared" si="18"/>
        <v>5.552681785249999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-0.5946119999999997</v>
      </c>
      <c r="P417" t="str">
        <f t="shared" si="19"/>
        <v xml:space="preserve"> </v>
      </c>
      <c r="S417">
        <f t="shared" si="20"/>
        <v>0.29224640974999999</v>
      </c>
    </row>
    <row r="418" spans="1:19">
      <c r="A418" s="7">
        <v>42276</v>
      </c>
      <c r="B418" s="8" t="s">
        <v>30</v>
      </c>
      <c r="C418">
        <v>27</v>
      </c>
      <c r="D418" s="8" t="s">
        <v>24</v>
      </c>
      <c r="E418">
        <v>163</v>
      </c>
      <c r="F418">
        <v>2.0499999999999998</v>
      </c>
      <c r="N418">
        <f t="shared" si="18"/>
        <v>179.33439266041665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6.8365180000000008</v>
      </c>
      <c r="P418">
        <f t="shared" si="19"/>
        <v>6.8365180000000008</v>
      </c>
      <c r="S418">
        <f t="shared" si="20"/>
        <v>3.3006329937499994</v>
      </c>
    </row>
    <row r="419" spans="1:19">
      <c r="A419" s="7">
        <v>42276</v>
      </c>
      <c r="B419" s="8" t="s">
        <v>30</v>
      </c>
      <c r="C419">
        <v>27</v>
      </c>
      <c r="D419" s="8" t="s">
        <v>24</v>
      </c>
      <c r="E419">
        <v>154</v>
      </c>
      <c r="F419">
        <v>1.64</v>
      </c>
      <c r="N419">
        <f t="shared" si="18"/>
        <v>108.43679595466664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6.2055730000000002</v>
      </c>
      <c r="P419">
        <f t="shared" si="19"/>
        <v>6.2055730000000002</v>
      </c>
      <c r="S419">
        <f t="shared" si="20"/>
        <v>2.1124051159999997</v>
      </c>
    </row>
    <row r="420" spans="1:19">
      <c r="A420" s="7">
        <v>42276</v>
      </c>
      <c r="B420" s="8" t="s">
        <v>30</v>
      </c>
      <c r="C420">
        <v>27</v>
      </c>
      <c r="D420" s="8" t="s">
        <v>24</v>
      </c>
      <c r="E420">
        <v>113</v>
      </c>
      <c r="F420">
        <v>1.21</v>
      </c>
      <c r="N420">
        <f t="shared" si="18"/>
        <v>43.312918070583329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3.3312680000000006</v>
      </c>
      <c r="P420">
        <f t="shared" si="19"/>
        <v>3.3312680000000006</v>
      </c>
      <c r="S420">
        <f t="shared" si="20"/>
        <v>1.1499004797499999</v>
      </c>
    </row>
    <row r="421" spans="1:19">
      <c r="A421" s="7">
        <v>42276</v>
      </c>
      <c r="B421" s="8" t="s">
        <v>30</v>
      </c>
      <c r="C421">
        <v>27</v>
      </c>
      <c r="D421" s="8" t="s">
        <v>24</v>
      </c>
      <c r="E421">
        <v>152</v>
      </c>
      <c r="F421">
        <v>2.02</v>
      </c>
      <c r="N421">
        <f t="shared" si="18"/>
        <v>162.37328858933333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6.0653630000000005</v>
      </c>
      <c r="P421">
        <f t="shared" si="19"/>
        <v>6.0653630000000005</v>
      </c>
      <c r="S421">
        <f t="shared" si="20"/>
        <v>3.2047359589999997</v>
      </c>
    </row>
    <row r="422" spans="1:19">
      <c r="A422" s="7">
        <v>42276</v>
      </c>
      <c r="B422" s="8" t="s">
        <v>30</v>
      </c>
      <c r="C422">
        <v>27</v>
      </c>
      <c r="D422" s="8" t="s">
        <v>24</v>
      </c>
      <c r="E422">
        <v>165</v>
      </c>
      <c r="F422">
        <v>1.9</v>
      </c>
      <c r="N422">
        <f t="shared" si="18"/>
        <v>155.94067362499999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6.9767280000000005</v>
      </c>
      <c r="P422">
        <f t="shared" si="19"/>
        <v>6.9767280000000005</v>
      </c>
      <c r="S422">
        <f t="shared" si="20"/>
        <v>2.835284975</v>
      </c>
    </row>
    <row r="423" spans="1:19">
      <c r="A423" s="7">
        <v>42276</v>
      </c>
      <c r="B423" s="8" t="s">
        <v>30</v>
      </c>
      <c r="C423">
        <v>27</v>
      </c>
      <c r="D423" s="8" t="s">
        <v>24</v>
      </c>
      <c r="E423">
        <v>155</v>
      </c>
      <c r="F423">
        <v>2.25</v>
      </c>
      <c r="G423">
        <v>10</v>
      </c>
      <c r="N423">
        <f t="shared" si="18"/>
        <v>205.43053359374997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12.583648569198983</v>
      </c>
      <c r="P423">
        <f t="shared" si="19"/>
        <v>12.583648569198983</v>
      </c>
      <c r="S423">
        <f t="shared" si="20"/>
        <v>3.9760748437499998</v>
      </c>
    </row>
    <row r="424" spans="1:19">
      <c r="A424" s="7">
        <v>42276</v>
      </c>
      <c r="B424" s="8" t="s">
        <v>30</v>
      </c>
      <c r="C424">
        <v>27</v>
      </c>
      <c r="D424" s="8" t="s">
        <v>24</v>
      </c>
      <c r="E424">
        <v>69</v>
      </c>
      <c r="F424">
        <v>0.55000000000000004</v>
      </c>
      <c r="N424">
        <f t="shared" si="18"/>
        <v>5.4644031062499998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0.24664800000000042</v>
      </c>
      <c r="P424">
        <f t="shared" si="19"/>
        <v>0.24664800000000042</v>
      </c>
      <c r="S424">
        <f t="shared" si="20"/>
        <v>0.23758274375000002</v>
      </c>
    </row>
    <row r="425" spans="1:19">
      <c r="A425" s="7">
        <v>42276</v>
      </c>
      <c r="B425" s="8" t="s">
        <v>30</v>
      </c>
      <c r="C425">
        <v>27</v>
      </c>
      <c r="D425" s="8" t="s">
        <v>24</v>
      </c>
      <c r="E425">
        <v>112</v>
      </c>
      <c r="F425">
        <v>1.34</v>
      </c>
      <c r="N425">
        <f t="shared" si="18"/>
        <v>52.649697370666665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3.2611630000000007</v>
      </c>
      <c r="P425">
        <f t="shared" si="19"/>
        <v>3.2611630000000007</v>
      </c>
      <c r="S425">
        <f t="shared" si="20"/>
        <v>1.4102597510000001</v>
      </c>
    </row>
    <row r="426" spans="1:19">
      <c r="A426" s="7">
        <v>42276</v>
      </c>
      <c r="B426" s="8" t="s">
        <v>30</v>
      </c>
      <c r="C426">
        <v>27</v>
      </c>
      <c r="D426" s="8" t="s">
        <v>24</v>
      </c>
      <c r="E426">
        <v>162</v>
      </c>
      <c r="F426">
        <v>1.41</v>
      </c>
      <c r="N426">
        <f t="shared" si="18"/>
        <v>84.318233566499984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6.7664130000000009</v>
      </c>
      <c r="P426">
        <f t="shared" si="19"/>
        <v>6.7664130000000009</v>
      </c>
      <c r="S426">
        <f t="shared" si="20"/>
        <v>1.5614487697499997</v>
      </c>
    </row>
    <row r="427" spans="1:19">
      <c r="A427" s="7">
        <v>42276</v>
      </c>
      <c r="B427" s="8" t="s">
        <v>30</v>
      </c>
      <c r="C427">
        <v>27</v>
      </c>
      <c r="D427" s="8" t="s">
        <v>24</v>
      </c>
      <c r="E427">
        <v>115</v>
      </c>
      <c r="F427">
        <v>2</v>
      </c>
      <c r="N427">
        <f t="shared" si="18"/>
        <v>120.42761666666665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3.4714780000000003</v>
      </c>
      <c r="P427">
        <f t="shared" si="19"/>
        <v>3.4714780000000003</v>
      </c>
      <c r="S427">
        <f t="shared" si="20"/>
        <v>3.1415899999999999</v>
      </c>
    </row>
    <row r="428" spans="1:19">
      <c r="A428" s="7">
        <v>42276</v>
      </c>
      <c r="B428" s="8" t="s">
        <v>30</v>
      </c>
      <c r="C428">
        <v>27</v>
      </c>
      <c r="D428" s="8" t="s">
        <v>24</v>
      </c>
      <c r="E428">
        <v>258</v>
      </c>
      <c r="F428">
        <v>1.99</v>
      </c>
      <c r="N428">
        <f t="shared" si="18"/>
        <v>267.48172701850001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13.496493000000001</v>
      </c>
      <c r="P428">
        <f t="shared" si="19"/>
        <v>13.496493000000001</v>
      </c>
      <c r="S428">
        <f t="shared" si="20"/>
        <v>3.1102526397500001</v>
      </c>
    </row>
    <row r="429" spans="1:19">
      <c r="A429" s="7">
        <v>42276</v>
      </c>
      <c r="B429" s="8" t="s">
        <v>30</v>
      </c>
      <c r="C429">
        <v>27</v>
      </c>
      <c r="D429" s="8" t="s">
        <v>24</v>
      </c>
      <c r="E429">
        <v>111</v>
      </c>
      <c r="F429">
        <v>1.48</v>
      </c>
      <c r="N429">
        <f t="shared" si="18"/>
        <v>63.65238330799999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3.191058</v>
      </c>
      <c r="P429">
        <f t="shared" si="19"/>
        <v>3.191058</v>
      </c>
      <c r="S429">
        <f t="shared" si="20"/>
        <v>1.7203346839999998</v>
      </c>
    </row>
    <row r="430" spans="1:19">
      <c r="A430" s="7">
        <v>42276</v>
      </c>
      <c r="B430" s="8" t="s">
        <v>30</v>
      </c>
      <c r="C430">
        <v>27</v>
      </c>
      <c r="D430" s="8" t="s">
        <v>24</v>
      </c>
      <c r="E430">
        <v>127</v>
      </c>
      <c r="F430">
        <v>0.89</v>
      </c>
      <c r="N430">
        <f t="shared" si="18"/>
        <v>26.336132229416666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4.3127380000000004</v>
      </c>
      <c r="P430">
        <f t="shared" si="19"/>
        <v>4.3127380000000004</v>
      </c>
      <c r="S430">
        <f t="shared" si="20"/>
        <v>0.62211335975000004</v>
      </c>
    </row>
    <row r="431" spans="1:19">
      <c r="A431" s="7">
        <v>42276</v>
      </c>
      <c r="B431" s="8" t="s">
        <v>30</v>
      </c>
      <c r="C431">
        <v>27</v>
      </c>
      <c r="D431" s="8" t="s">
        <v>24</v>
      </c>
      <c r="E431">
        <v>202</v>
      </c>
      <c r="F431">
        <v>2.0099999999999998</v>
      </c>
      <c r="G431">
        <v>6</v>
      </c>
      <c r="N431">
        <f t="shared" si="18"/>
        <v>213.65435227649994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14.658296632220345</v>
      </c>
      <c r="P431">
        <f t="shared" si="19"/>
        <v>14.658296632220345</v>
      </c>
      <c r="S431">
        <f t="shared" si="20"/>
        <v>3.1730844397499989</v>
      </c>
    </row>
    <row r="432" spans="1:19">
      <c r="A432" s="7">
        <v>42276</v>
      </c>
      <c r="B432" s="8" t="s">
        <v>30</v>
      </c>
      <c r="C432">
        <v>27</v>
      </c>
      <c r="D432" s="8" t="s">
        <v>24</v>
      </c>
      <c r="E432">
        <v>199</v>
      </c>
      <c r="F432">
        <v>1.84</v>
      </c>
      <c r="G432">
        <v>10</v>
      </c>
      <c r="N432">
        <f t="shared" si="18"/>
        <v>176.38310447466665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13.342607608878293</v>
      </c>
      <c r="P432">
        <f t="shared" si="19"/>
        <v>13.342607608878293</v>
      </c>
      <c r="S432">
        <f t="shared" si="20"/>
        <v>2.659041776</v>
      </c>
    </row>
    <row r="433" spans="1:19">
      <c r="A433" s="7">
        <v>42276</v>
      </c>
      <c r="B433" s="8" t="s">
        <v>30</v>
      </c>
      <c r="C433">
        <v>27</v>
      </c>
      <c r="D433" s="8" t="s">
        <v>24</v>
      </c>
      <c r="E433">
        <v>162</v>
      </c>
      <c r="F433">
        <v>1.93</v>
      </c>
      <c r="N433">
        <f t="shared" si="18"/>
        <v>157.97846597849997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6.7664130000000009</v>
      </c>
      <c r="P433">
        <f t="shared" si="19"/>
        <v>6.7664130000000009</v>
      </c>
      <c r="S433">
        <f t="shared" si="20"/>
        <v>2.92552714775</v>
      </c>
    </row>
    <row r="434" spans="1:19">
      <c r="A434" s="7">
        <v>42276</v>
      </c>
      <c r="B434" s="8" t="s">
        <v>30</v>
      </c>
      <c r="C434">
        <v>27</v>
      </c>
      <c r="D434" s="8" t="s">
        <v>24</v>
      </c>
      <c r="E434">
        <v>184</v>
      </c>
      <c r="F434">
        <v>1.32</v>
      </c>
      <c r="N434">
        <f t="shared" si="18"/>
        <v>83.933231711999994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8.3087230000000005</v>
      </c>
      <c r="P434">
        <f t="shared" si="19"/>
        <v>8.3087230000000005</v>
      </c>
      <c r="S434">
        <f t="shared" si="20"/>
        <v>1.368476604</v>
      </c>
    </row>
    <row r="435" spans="1:19">
      <c r="A435" s="7">
        <v>42276</v>
      </c>
      <c r="B435" s="8" t="s">
        <v>30</v>
      </c>
      <c r="C435">
        <v>27</v>
      </c>
      <c r="D435" s="8" t="s">
        <v>24</v>
      </c>
      <c r="E435">
        <v>184</v>
      </c>
      <c r="F435">
        <v>1.23</v>
      </c>
      <c r="N435">
        <f t="shared" si="18"/>
        <v>72.877976501999996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8.3087230000000005</v>
      </c>
      <c r="P435">
        <f t="shared" si="19"/>
        <v>8.3087230000000005</v>
      </c>
      <c r="S435">
        <f t="shared" si="20"/>
        <v>1.1882278777499999</v>
      </c>
    </row>
    <row r="436" spans="1:19">
      <c r="A436" s="7">
        <v>42276</v>
      </c>
      <c r="B436" s="8" t="s">
        <v>30</v>
      </c>
      <c r="C436">
        <v>27</v>
      </c>
      <c r="D436" s="8" t="s">
        <v>24</v>
      </c>
      <c r="E436">
        <v>91</v>
      </c>
      <c r="F436">
        <v>1.8</v>
      </c>
      <c r="N436">
        <f t="shared" si="18"/>
        <v>77.188866300000001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1.788958</v>
      </c>
      <c r="P436">
        <f t="shared" si="19"/>
        <v>1.788958</v>
      </c>
      <c r="S436">
        <f t="shared" si="20"/>
        <v>2.5446879</v>
      </c>
    </row>
    <row r="437" spans="1:19">
      <c r="A437" s="7">
        <v>42276</v>
      </c>
      <c r="B437" s="8" t="s">
        <v>30</v>
      </c>
      <c r="C437">
        <v>27</v>
      </c>
      <c r="D437" s="8" t="s">
        <v>24</v>
      </c>
      <c r="E437">
        <v>112</v>
      </c>
      <c r="F437">
        <v>1.2</v>
      </c>
      <c r="N437">
        <f t="shared" si="18"/>
        <v>42.222969599999999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3.2611630000000007</v>
      </c>
      <c r="P437">
        <f t="shared" si="19"/>
        <v>3.2611630000000007</v>
      </c>
      <c r="S437">
        <f t="shared" si="20"/>
        <v>1.1309723999999999</v>
      </c>
    </row>
    <row r="438" spans="1:19">
      <c r="A438" s="7">
        <v>42276</v>
      </c>
      <c r="B438" s="8" t="s">
        <v>30</v>
      </c>
      <c r="C438">
        <v>27</v>
      </c>
      <c r="D438" s="8" t="s">
        <v>24</v>
      </c>
      <c r="E438">
        <v>118</v>
      </c>
      <c r="F438">
        <v>2.2000000000000002</v>
      </c>
      <c r="N438">
        <f t="shared" si="18"/>
        <v>149.51874006666668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3.6817929999999999</v>
      </c>
      <c r="P438">
        <f t="shared" si="19"/>
        <v>3.6817929999999999</v>
      </c>
      <c r="S438">
        <f t="shared" si="20"/>
        <v>3.8013239000000003</v>
      </c>
    </row>
    <row r="439" spans="1:19">
      <c r="A439" s="7">
        <v>42276</v>
      </c>
      <c r="B439" s="8" t="s">
        <v>30</v>
      </c>
      <c r="C439">
        <v>27</v>
      </c>
      <c r="D439" s="8" t="s">
        <v>24</v>
      </c>
      <c r="E439">
        <v>204</v>
      </c>
      <c r="F439">
        <v>2.2599999999999998</v>
      </c>
      <c r="N439">
        <f t="shared" si="18"/>
        <v>272.78174642799991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9.7108230000000013</v>
      </c>
      <c r="P439">
        <f t="shared" si="19"/>
        <v>9.7108230000000013</v>
      </c>
      <c r="S439">
        <f t="shared" si="20"/>
        <v>4.0114962709999986</v>
      </c>
    </row>
    <row r="440" spans="1:19">
      <c r="A440" s="7">
        <v>42276</v>
      </c>
      <c r="B440" s="8" t="s">
        <v>30</v>
      </c>
      <c r="C440">
        <v>27</v>
      </c>
      <c r="D440" s="8" t="s">
        <v>24</v>
      </c>
      <c r="E440">
        <v>130</v>
      </c>
      <c r="F440">
        <v>1.45</v>
      </c>
      <c r="G440">
        <v>6</v>
      </c>
      <c r="N440">
        <f t="shared" si="18"/>
        <v>71.556257229166661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7.3100988834106726</v>
      </c>
      <c r="P440">
        <f t="shared" si="19"/>
        <v>7.3100988834106726</v>
      </c>
      <c r="S440">
        <f t="shared" si="20"/>
        <v>1.6512982437499999</v>
      </c>
    </row>
    <row r="441" spans="1:19">
      <c r="A441" s="7">
        <v>42276</v>
      </c>
      <c r="B441" s="8" t="s">
        <v>30</v>
      </c>
      <c r="C441">
        <v>27</v>
      </c>
      <c r="D441" s="8" t="s">
        <v>24</v>
      </c>
      <c r="E441">
        <v>62</v>
      </c>
      <c r="F441">
        <v>2.04</v>
      </c>
      <c r="N441">
        <f t="shared" si="18"/>
        <v>67.549211543999988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-0.2440869999999995</v>
      </c>
      <c r="P441" t="str">
        <f t="shared" si="19"/>
        <v xml:space="preserve"> </v>
      </c>
      <c r="S441">
        <f t="shared" si="20"/>
        <v>3.268510236</v>
      </c>
    </row>
    <row r="442" spans="1:19">
      <c r="A442" s="7">
        <v>42276</v>
      </c>
      <c r="B442" s="8" t="s">
        <v>30</v>
      </c>
      <c r="C442">
        <v>27</v>
      </c>
      <c r="D442" s="8" t="s">
        <v>24</v>
      </c>
      <c r="E442">
        <v>137</v>
      </c>
      <c r="F442">
        <v>1.45</v>
      </c>
      <c r="N442">
        <f t="shared" si="18"/>
        <v>75.409286464583332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5.0137880000000008</v>
      </c>
      <c r="P442">
        <f t="shared" si="19"/>
        <v>5.0137880000000008</v>
      </c>
      <c r="S442">
        <f t="shared" si="20"/>
        <v>1.6512982437499999</v>
      </c>
    </row>
    <row r="443" spans="1:19">
      <c r="A443" s="7">
        <v>42276</v>
      </c>
      <c r="B443" s="8" t="s">
        <v>30</v>
      </c>
      <c r="C443">
        <v>27</v>
      </c>
      <c r="D443" s="8" t="s">
        <v>24</v>
      </c>
      <c r="E443">
        <v>158</v>
      </c>
      <c r="F443">
        <v>1.89</v>
      </c>
      <c r="N443">
        <f t="shared" si="18"/>
        <v>147.75730291349998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6.4859929999999997</v>
      </c>
      <c r="P443">
        <f t="shared" si="19"/>
        <v>6.4859929999999997</v>
      </c>
      <c r="S443">
        <f t="shared" si="20"/>
        <v>2.8055184097499999</v>
      </c>
    </row>
    <row r="444" spans="1:19">
      <c r="A444" s="7">
        <v>42276</v>
      </c>
      <c r="B444" s="8" t="s">
        <v>30</v>
      </c>
      <c r="C444">
        <v>27</v>
      </c>
      <c r="D444" s="8" t="s">
        <v>24</v>
      </c>
      <c r="E444">
        <v>157</v>
      </c>
      <c r="F444">
        <v>1.49</v>
      </c>
      <c r="N444">
        <f t="shared" si="18"/>
        <v>91.251591796916657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6.4158879999999998</v>
      </c>
      <c r="P444">
        <f t="shared" si="19"/>
        <v>6.4158879999999998</v>
      </c>
      <c r="S444">
        <f t="shared" si="20"/>
        <v>1.7436609897499999</v>
      </c>
    </row>
    <row r="445" spans="1:19">
      <c r="A445" s="7">
        <v>42276</v>
      </c>
      <c r="B445" s="8" t="s">
        <v>30</v>
      </c>
      <c r="C445">
        <v>27</v>
      </c>
      <c r="D445" s="8" t="s">
        <v>24</v>
      </c>
      <c r="E445">
        <v>61</v>
      </c>
      <c r="F445">
        <v>0.39</v>
      </c>
      <c r="N445">
        <f t="shared" si="18"/>
        <v>2.4289988482499996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-0.31419199999999936</v>
      </c>
      <c r="P445" t="str">
        <f t="shared" si="19"/>
        <v xml:space="preserve"> </v>
      </c>
      <c r="S445">
        <f t="shared" si="20"/>
        <v>0.11945895975000001</v>
      </c>
    </row>
    <row r="446" spans="1:19">
      <c r="A446" s="7">
        <v>42276</v>
      </c>
      <c r="B446" s="8" t="s">
        <v>30</v>
      </c>
      <c r="C446">
        <v>10</v>
      </c>
      <c r="D446" s="8" t="s">
        <v>20</v>
      </c>
      <c r="F446">
        <v>7.7</v>
      </c>
      <c r="J446">
        <f>52+53+76+125+132+155+170+182+187</f>
        <v>1132</v>
      </c>
      <c r="K446">
        <v>9</v>
      </c>
      <c r="L446">
        <v>187</v>
      </c>
      <c r="N446" t="str">
        <f t="shared" si="18"/>
        <v>NA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19.633652000000005</v>
      </c>
      <c r="P446">
        <f t="shared" si="19"/>
        <v>19.633652000000005</v>
      </c>
      <c r="S446">
        <f t="shared" si="20"/>
        <v>46.566217775000005</v>
      </c>
    </row>
    <row r="447" spans="1:19">
      <c r="A447" s="7">
        <v>42276</v>
      </c>
      <c r="B447" s="8" t="s">
        <v>30</v>
      </c>
      <c r="C447">
        <v>10</v>
      </c>
      <c r="D447" s="8" t="s">
        <v>20</v>
      </c>
      <c r="F447">
        <v>3.24</v>
      </c>
      <c r="J447">
        <f>74+135+159+156+177</f>
        <v>701</v>
      </c>
      <c r="K447">
        <v>5</v>
      </c>
      <c r="L447">
        <v>177</v>
      </c>
      <c r="N447" t="str">
        <f t="shared" si="18"/>
        <v>NA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10.327109000000007</v>
      </c>
      <c r="P447">
        <f t="shared" si="19"/>
        <v>10.327109000000007</v>
      </c>
      <c r="S447">
        <f t="shared" si="20"/>
        <v>8.2447887960000017</v>
      </c>
    </row>
    <row r="448" spans="1:19">
      <c r="A448" s="7">
        <v>42276</v>
      </c>
      <c r="B448" s="8" t="s">
        <v>30</v>
      </c>
      <c r="C448">
        <v>10</v>
      </c>
      <c r="D448" s="8" t="s">
        <v>20</v>
      </c>
      <c r="F448">
        <v>5.78</v>
      </c>
      <c r="J448">
        <f>200+234+230+255+271+287</f>
        <v>1477</v>
      </c>
      <c r="K448">
        <v>6</v>
      </c>
      <c r="L448">
        <v>287</v>
      </c>
      <c r="N448" t="str">
        <f t="shared" si="18"/>
        <v>NA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42.921686000000001</v>
      </c>
      <c r="P448">
        <f t="shared" si="19"/>
        <v>42.921686000000001</v>
      </c>
      <c r="S448">
        <f t="shared" si="20"/>
        <v>26.238873839</v>
      </c>
    </row>
    <row r="449" spans="1:19">
      <c r="A449" s="7">
        <v>42276</v>
      </c>
      <c r="B449" s="8" t="s">
        <v>30</v>
      </c>
      <c r="C449">
        <v>10</v>
      </c>
      <c r="D449" s="8" t="s">
        <v>20</v>
      </c>
      <c r="F449">
        <v>3.92</v>
      </c>
      <c r="J449">
        <f>28+34+74+91+142+153+154+168+175</f>
        <v>1019</v>
      </c>
      <c r="K449">
        <v>9</v>
      </c>
      <c r="L449">
        <v>175</v>
      </c>
      <c r="N449" t="str">
        <f t="shared" si="18"/>
        <v>NA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12.654277000000008</v>
      </c>
      <c r="P449">
        <f t="shared" si="19"/>
        <v>12.654277000000008</v>
      </c>
      <c r="S449">
        <f t="shared" si="20"/>
        <v>12.068732143999998</v>
      </c>
    </row>
    <row r="450" spans="1:19">
      <c r="A450" s="7">
        <v>42276</v>
      </c>
      <c r="B450" s="8" t="s">
        <v>30</v>
      </c>
      <c r="C450">
        <v>10</v>
      </c>
      <c r="D450" s="8" t="s">
        <v>20</v>
      </c>
      <c r="F450">
        <v>2.02</v>
      </c>
      <c r="J450">
        <f>82+102+109</f>
        <v>293</v>
      </c>
      <c r="K450">
        <v>3</v>
      </c>
      <c r="L450">
        <v>109</v>
      </c>
      <c r="N450" t="str">
        <f t="shared" si="18"/>
        <v>NA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6.6044350000000023</v>
      </c>
      <c r="P450">
        <f t="shared" si="19"/>
        <v>6.6044350000000023</v>
      </c>
      <c r="S450">
        <f t="shared" si="20"/>
        <v>3.2047359589999997</v>
      </c>
    </row>
    <row r="451" spans="1:19">
      <c r="A451" s="7">
        <v>42276</v>
      </c>
      <c r="B451" s="8" t="s">
        <v>30</v>
      </c>
      <c r="C451">
        <v>10</v>
      </c>
      <c r="D451" s="8" t="s">
        <v>20</v>
      </c>
      <c r="F451">
        <v>7.36</v>
      </c>
      <c r="J451">
        <f>68+132+139+154+191+210+258+262</f>
        <v>1414</v>
      </c>
      <c r="K451">
        <v>8</v>
      </c>
      <c r="L451">
        <v>267</v>
      </c>
      <c r="N451" t="str">
        <f t="shared" si="18"/>
        <v>NA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28.995315000000012</v>
      </c>
      <c r="P451">
        <f t="shared" si="19"/>
        <v>28.995315000000012</v>
      </c>
      <c r="S451">
        <f t="shared" si="20"/>
        <v>42.544668416</v>
      </c>
    </row>
    <row r="452" spans="1:19">
      <c r="A452" s="7">
        <v>42276</v>
      </c>
      <c r="B452" s="8" t="s">
        <v>30</v>
      </c>
      <c r="C452">
        <v>10</v>
      </c>
      <c r="D452" s="8" t="s">
        <v>20</v>
      </c>
      <c r="F452">
        <v>5.19</v>
      </c>
      <c r="J452">
        <f>101+165+228+241+253+253+285</f>
        <v>1526</v>
      </c>
      <c r="K452">
        <v>7</v>
      </c>
      <c r="L452">
        <v>285</v>
      </c>
      <c r="N452" t="str">
        <f t="shared" ref="N452:N515" si="21">IF(OR(D452="S. acutus", D452="S. tabernaemontani", D452="S. californicus"),(1/3)*(3.14159)*((F452/2)^2)*E452,"NA")</f>
        <v>NA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41.095818000000016</v>
      </c>
      <c r="P452">
        <f t="shared" si="19"/>
        <v>41.095818000000016</v>
      </c>
      <c r="S452">
        <f t="shared" si="20"/>
        <v>21.155545599750003</v>
      </c>
    </row>
    <row r="453" spans="1:19">
      <c r="A453" s="7">
        <v>42276</v>
      </c>
      <c r="B453" s="8" t="s">
        <v>30</v>
      </c>
      <c r="C453">
        <v>10</v>
      </c>
      <c r="D453" s="8" t="s">
        <v>20</v>
      </c>
      <c r="F453">
        <v>6.32</v>
      </c>
      <c r="J453">
        <f>64+67+114+127+160+191+196+214</f>
        <v>1133</v>
      </c>
      <c r="K453">
        <v>8</v>
      </c>
      <c r="L453">
        <v>214</v>
      </c>
      <c r="N453" t="str">
        <f t="shared" si="21"/>
        <v>NA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18.616145000000003</v>
      </c>
      <c r="P453">
        <f t="shared" ref="P453:P516" si="22">IF(O453&lt;0," ",O453)</f>
        <v>18.616145000000003</v>
      </c>
      <c r="S453">
        <f t="shared" ref="S453:S516" si="23">3.14159*((F453/2)^2)</f>
        <v>31.370661104000003</v>
      </c>
    </row>
    <row r="454" spans="1:19">
      <c r="A454" s="7">
        <v>42276</v>
      </c>
      <c r="B454" s="8" t="s">
        <v>30</v>
      </c>
      <c r="C454">
        <v>10</v>
      </c>
      <c r="D454" s="8" t="s">
        <v>20</v>
      </c>
      <c r="F454">
        <v>4.3600000000000003</v>
      </c>
      <c r="J454">
        <f>43+92+141+130+220+224+243+252</f>
        <v>1345</v>
      </c>
      <c r="K454">
        <v>8</v>
      </c>
      <c r="L454">
        <v>252</v>
      </c>
      <c r="N454" t="str">
        <f t="shared" si="21"/>
        <v>NA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27.044895000000004</v>
      </c>
      <c r="P454">
        <f t="shared" si="22"/>
        <v>27.044895000000004</v>
      </c>
      <c r="S454">
        <f t="shared" si="23"/>
        <v>14.930092316000001</v>
      </c>
    </row>
    <row r="455" spans="1:19">
      <c r="A455" s="7">
        <v>42277</v>
      </c>
      <c r="B455" s="8" t="s">
        <v>31</v>
      </c>
      <c r="C455">
        <v>38</v>
      </c>
      <c r="D455" s="8" t="s">
        <v>20</v>
      </c>
      <c r="E455">
        <v>268</v>
      </c>
      <c r="F455">
        <v>5.16</v>
      </c>
      <c r="H455">
        <v>31</v>
      </c>
      <c r="I455">
        <v>2.1</v>
      </c>
      <c r="N455" t="str">
        <f t="shared" si="21"/>
        <v>NA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148.18530831999999</v>
      </c>
      <c r="P455">
        <f t="shared" si="22"/>
        <v>148.18530831999999</v>
      </c>
      <c r="S455">
        <f t="shared" si="23"/>
        <v>20.911679676000002</v>
      </c>
    </row>
    <row r="456" spans="1:19">
      <c r="A456" s="7">
        <v>42277</v>
      </c>
      <c r="B456" s="8" t="s">
        <v>31</v>
      </c>
      <c r="C456">
        <v>38</v>
      </c>
      <c r="D456" s="8" t="s">
        <v>20</v>
      </c>
      <c r="F456">
        <v>3.18</v>
      </c>
      <c r="J456">
        <f>64+113+187+209</f>
        <v>573</v>
      </c>
      <c r="K456">
        <v>4</v>
      </c>
      <c r="L456">
        <v>209</v>
      </c>
      <c r="N456" t="str">
        <f t="shared" si="21"/>
        <v>NA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-4.2910180000000011</v>
      </c>
      <c r="P456" t="str">
        <f t="shared" si="22"/>
        <v xml:space="preserve"> </v>
      </c>
      <c r="S456">
        <f t="shared" si="23"/>
        <v>7.9422536790000002</v>
      </c>
    </row>
    <row r="457" spans="1:19">
      <c r="A457" s="7">
        <v>42277</v>
      </c>
      <c r="B457" s="8" t="s">
        <v>31</v>
      </c>
      <c r="C457">
        <v>38</v>
      </c>
      <c r="D457" s="8" t="s">
        <v>20</v>
      </c>
      <c r="F457">
        <v>0.66</v>
      </c>
      <c r="J457">
        <f>68+72+88</f>
        <v>228</v>
      </c>
      <c r="K457">
        <v>3</v>
      </c>
      <c r="L457">
        <v>88</v>
      </c>
      <c r="N457" t="str">
        <f t="shared" si="21"/>
        <v>NA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6.8365049999999954</v>
      </c>
      <c r="P457">
        <f t="shared" si="22"/>
        <v>6.8365049999999954</v>
      </c>
      <c r="S457">
        <f t="shared" si="23"/>
        <v>0.34211915100000001</v>
      </c>
    </row>
    <row r="458" spans="1:19">
      <c r="A458" s="7">
        <v>42277</v>
      </c>
      <c r="B458" s="8" t="s">
        <v>31</v>
      </c>
      <c r="C458">
        <v>38</v>
      </c>
      <c r="D458" s="8" t="s">
        <v>20</v>
      </c>
      <c r="F458">
        <v>6.66</v>
      </c>
      <c r="J458">
        <f>240+267+273+280+317+327+340+350+354</f>
        <v>2748</v>
      </c>
      <c r="K458">
        <v>9</v>
      </c>
      <c r="L458">
        <v>354</v>
      </c>
      <c r="N458" t="str">
        <f t="shared" si="21"/>
        <v>NA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120.83381700000004</v>
      </c>
      <c r="P458">
        <f t="shared" si="22"/>
        <v>120.83381700000004</v>
      </c>
      <c r="S458">
        <f t="shared" si="23"/>
        <v>34.836777351000002</v>
      </c>
    </row>
    <row r="459" spans="1:19">
      <c r="A459" s="7">
        <v>42277</v>
      </c>
      <c r="B459" s="8" t="s">
        <v>31</v>
      </c>
      <c r="C459">
        <v>38</v>
      </c>
      <c r="D459" s="8" t="s">
        <v>20</v>
      </c>
      <c r="F459">
        <v>0.51</v>
      </c>
      <c r="J459">
        <f>52+61</f>
        <v>113</v>
      </c>
      <c r="K459">
        <v>2</v>
      </c>
      <c r="L459">
        <v>61</v>
      </c>
      <c r="N459" t="str">
        <f t="shared" si="21"/>
        <v>NA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11.210647999999999</v>
      </c>
      <c r="P459">
        <f t="shared" si="22"/>
        <v>11.210647999999999</v>
      </c>
      <c r="S459">
        <f t="shared" si="23"/>
        <v>0.20428188975</v>
      </c>
    </row>
    <row r="460" spans="1:19">
      <c r="A460" s="7">
        <v>42277</v>
      </c>
      <c r="B460" s="8" t="s">
        <v>31</v>
      </c>
      <c r="C460">
        <v>38</v>
      </c>
      <c r="D460" s="8" t="s">
        <v>20</v>
      </c>
      <c r="F460">
        <v>0.77</v>
      </c>
      <c r="J460">
        <f>26+37</f>
        <v>63</v>
      </c>
      <c r="K460">
        <v>2</v>
      </c>
      <c r="L460">
        <v>37</v>
      </c>
      <c r="N460" t="str">
        <f t="shared" si="21"/>
        <v>NA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13.752777999999999</v>
      </c>
      <c r="P460">
        <f t="shared" si="22"/>
        <v>13.752777999999999</v>
      </c>
      <c r="S460">
        <f t="shared" si="23"/>
        <v>0.46566217774999996</v>
      </c>
    </row>
    <row r="461" spans="1:19">
      <c r="A461" s="7">
        <v>42277</v>
      </c>
      <c r="B461" s="8" t="s">
        <v>31</v>
      </c>
      <c r="C461">
        <v>38</v>
      </c>
      <c r="D461" s="8" t="s">
        <v>20</v>
      </c>
      <c r="F461">
        <v>0.64</v>
      </c>
      <c r="J461">
        <f>35+37+47</f>
        <v>119</v>
      </c>
      <c r="K461">
        <v>3</v>
      </c>
      <c r="L461">
        <v>47</v>
      </c>
      <c r="N461" t="str">
        <f t="shared" si="21"/>
        <v>NA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8.9682549999999992</v>
      </c>
      <c r="P461">
        <f t="shared" si="22"/>
        <v>8.9682549999999992</v>
      </c>
      <c r="S461">
        <f t="shared" si="23"/>
        <v>0.321698816</v>
      </c>
    </row>
    <row r="462" spans="1:19">
      <c r="A462" s="7">
        <v>42277</v>
      </c>
      <c r="B462" s="8" t="s">
        <v>31</v>
      </c>
      <c r="C462">
        <v>38</v>
      </c>
      <c r="D462" s="8" t="s">
        <v>20</v>
      </c>
      <c r="F462">
        <v>1.28</v>
      </c>
      <c r="J462">
        <f>62+64+113+119</f>
        <v>358</v>
      </c>
      <c r="K462">
        <v>4</v>
      </c>
      <c r="L462">
        <v>119</v>
      </c>
      <c r="N462" t="str">
        <f t="shared" si="21"/>
        <v>NA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2.6637069999999987</v>
      </c>
      <c r="P462">
        <f t="shared" si="22"/>
        <v>2.6637069999999987</v>
      </c>
      <c r="S462">
        <f t="shared" si="23"/>
        <v>1.286795264</v>
      </c>
    </row>
    <row r="463" spans="1:19">
      <c r="A463" s="7">
        <v>42277</v>
      </c>
      <c r="B463" s="8" t="s">
        <v>31</v>
      </c>
      <c r="C463">
        <v>38</v>
      </c>
      <c r="D463" s="8" t="s">
        <v>20</v>
      </c>
      <c r="F463">
        <v>5.53</v>
      </c>
      <c r="J463">
        <f>212+263+257+273+287+298+301</f>
        <v>1891</v>
      </c>
      <c r="K463">
        <v>7</v>
      </c>
      <c r="L463">
        <v>301</v>
      </c>
      <c r="N463" t="str">
        <f t="shared" si="21"/>
        <v>NA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70.49647299999998</v>
      </c>
      <c r="P463">
        <f t="shared" si="22"/>
        <v>70.49647299999998</v>
      </c>
      <c r="S463">
        <f t="shared" si="23"/>
        <v>24.018162407750001</v>
      </c>
    </row>
    <row r="464" spans="1:19">
      <c r="A464" s="7">
        <v>42277</v>
      </c>
      <c r="B464" s="8" t="s">
        <v>31</v>
      </c>
      <c r="C464">
        <v>35</v>
      </c>
      <c r="D464" s="8" t="s">
        <v>20</v>
      </c>
      <c r="F464">
        <v>8.61</v>
      </c>
      <c r="J464">
        <f>80+140+194+229+251+260+303+315+317</f>
        <v>2089</v>
      </c>
      <c r="K464">
        <v>9</v>
      </c>
      <c r="L464">
        <v>3117</v>
      </c>
      <c r="N464" t="str">
        <f t="shared" si="21"/>
        <v>NA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-773.290663</v>
      </c>
      <c r="P464" t="str">
        <f t="shared" si="22"/>
        <v xml:space="preserve"> </v>
      </c>
      <c r="S464">
        <f t="shared" si="23"/>
        <v>58.223166009749995</v>
      </c>
    </row>
    <row r="465" spans="1:19">
      <c r="A465" s="7">
        <v>42277</v>
      </c>
      <c r="B465" s="8" t="s">
        <v>31</v>
      </c>
      <c r="C465">
        <v>35</v>
      </c>
      <c r="D465" s="8" t="s">
        <v>20</v>
      </c>
      <c r="F465">
        <v>2.95</v>
      </c>
      <c r="J465">
        <f>141+190+197+242+278</f>
        <v>1048</v>
      </c>
      <c r="K465">
        <v>5</v>
      </c>
      <c r="L465">
        <v>278</v>
      </c>
      <c r="N465" t="str">
        <f t="shared" si="21"/>
        <v>NA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12.434348999999997</v>
      </c>
      <c r="P465">
        <f t="shared" si="22"/>
        <v>12.434348999999997</v>
      </c>
      <c r="S465">
        <f t="shared" si="23"/>
        <v>6.8349217437499998</v>
      </c>
    </row>
    <row r="466" spans="1:19">
      <c r="A466" s="7">
        <v>42277</v>
      </c>
      <c r="B466" s="8" t="s">
        <v>31</v>
      </c>
      <c r="C466">
        <v>35</v>
      </c>
      <c r="D466" s="8" t="s">
        <v>20</v>
      </c>
      <c r="F466">
        <v>1.18</v>
      </c>
      <c r="J466">
        <f>30+45+47+48</f>
        <v>170</v>
      </c>
      <c r="K466">
        <v>4</v>
      </c>
      <c r="L466">
        <v>48</v>
      </c>
      <c r="N466" t="str">
        <f t="shared" si="21"/>
        <v>NA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6.4261619999999979</v>
      </c>
      <c r="P466">
        <f t="shared" si="22"/>
        <v>6.4261619999999979</v>
      </c>
      <c r="S466">
        <f t="shared" si="23"/>
        <v>1.0935874789999998</v>
      </c>
    </row>
    <row r="467" spans="1:19">
      <c r="A467" s="7">
        <v>42277</v>
      </c>
      <c r="B467" s="8" t="s">
        <v>31</v>
      </c>
      <c r="C467">
        <v>35</v>
      </c>
      <c r="D467" s="8" t="s">
        <v>21</v>
      </c>
      <c r="E467">
        <v>312</v>
      </c>
      <c r="F467">
        <v>4.74</v>
      </c>
      <c r="H467">
        <v>29</v>
      </c>
      <c r="I467">
        <v>2.2000000000000002</v>
      </c>
      <c r="N467" t="str">
        <f t="shared" si="21"/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153.35286238000003</v>
      </c>
      <c r="P467">
        <f t="shared" si="22"/>
        <v>153.35286238000003</v>
      </c>
      <c r="S467">
        <f t="shared" si="23"/>
        <v>17.645996871000001</v>
      </c>
    </row>
    <row r="468" spans="1:19">
      <c r="A468" s="7">
        <v>42277</v>
      </c>
      <c r="B468" s="8" t="s">
        <v>31</v>
      </c>
      <c r="C468">
        <v>35</v>
      </c>
      <c r="D468" s="8" t="s">
        <v>21</v>
      </c>
      <c r="E468">
        <v>311</v>
      </c>
      <c r="F468">
        <v>4.25</v>
      </c>
      <c r="H468">
        <v>25</v>
      </c>
      <c r="I468">
        <v>3</v>
      </c>
      <c r="N468" t="str">
        <f t="shared" si="21"/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153.86969745000005</v>
      </c>
      <c r="P468">
        <f t="shared" si="22"/>
        <v>153.86969745000005</v>
      </c>
      <c r="S468">
        <f t="shared" si="23"/>
        <v>14.186242343749999</v>
      </c>
    </row>
    <row r="469" spans="1:19">
      <c r="A469" s="7">
        <v>42277</v>
      </c>
      <c r="B469" s="8" t="s">
        <v>31</v>
      </c>
      <c r="C469">
        <v>35</v>
      </c>
      <c r="D469" s="8" t="s">
        <v>20</v>
      </c>
      <c r="F469">
        <v>0.62</v>
      </c>
      <c r="J469">
        <f>32+51</f>
        <v>83</v>
      </c>
      <c r="K469">
        <v>2</v>
      </c>
      <c r="L469">
        <v>51</v>
      </c>
      <c r="N469" t="str">
        <f t="shared" si="21"/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11.410447999999999</v>
      </c>
      <c r="P469">
        <f t="shared" si="22"/>
        <v>11.410447999999999</v>
      </c>
      <c r="S469">
        <f t="shared" si="23"/>
        <v>0.301906799</v>
      </c>
    </row>
    <row r="470" spans="1:19">
      <c r="A470" s="7">
        <v>42277</v>
      </c>
      <c r="B470" s="8" t="s">
        <v>31</v>
      </c>
      <c r="C470">
        <v>35</v>
      </c>
      <c r="D470" s="8" t="s">
        <v>20</v>
      </c>
      <c r="F470">
        <v>0.96</v>
      </c>
      <c r="J470">
        <f>31+39+71+74+97</f>
        <v>312</v>
      </c>
      <c r="K470">
        <v>5</v>
      </c>
      <c r="L470">
        <v>97</v>
      </c>
      <c r="N470" t="str">
        <f t="shared" si="21"/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-2.0439859999999967</v>
      </c>
      <c r="P470" t="str">
        <f t="shared" si="22"/>
        <v xml:space="preserve"> </v>
      </c>
      <c r="S470">
        <f t="shared" si="23"/>
        <v>0.7238223359999999</v>
      </c>
    </row>
    <row r="471" spans="1:19">
      <c r="A471" s="7">
        <v>42277</v>
      </c>
      <c r="B471" s="8" t="s">
        <v>31</v>
      </c>
      <c r="C471">
        <v>35</v>
      </c>
      <c r="D471" s="8" t="s">
        <v>20</v>
      </c>
      <c r="F471">
        <v>1.1200000000000001</v>
      </c>
      <c r="J471">
        <f>64+87+95</f>
        <v>246</v>
      </c>
      <c r="K471">
        <v>3</v>
      </c>
      <c r="L471">
        <v>95</v>
      </c>
      <c r="N471" t="str">
        <f t="shared" si="21"/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6.415379999999999</v>
      </c>
      <c r="P471">
        <f t="shared" si="22"/>
        <v>6.415379999999999</v>
      </c>
      <c r="S471">
        <f t="shared" si="23"/>
        <v>0.98520262400000014</v>
      </c>
    </row>
    <row r="472" spans="1:19">
      <c r="A472" s="7">
        <v>42277</v>
      </c>
      <c r="B472" s="8" t="s">
        <v>31</v>
      </c>
      <c r="C472">
        <v>35</v>
      </c>
      <c r="D472" s="8" t="s">
        <v>20</v>
      </c>
      <c r="F472">
        <v>0.51</v>
      </c>
      <c r="J472">
        <f>38+45+58</f>
        <v>141</v>
      </c>
      <c r="K472">
        <v>3</v>
      </c>
      <c r="L472">
        <v>58</v>
      </c>
      <c r="N472" t="str">
        <f t="shared" si="21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7.7171699999999959</v>
      </c>
      <c r="P472">
        <f t="shared" si="22"/>
        <v>7.7171699999999959</v>
      </c>
      <c r="S472">
        <f t="shared" si="23"/>
        <v>0.20428188975</v>
      </c>
    </row>
    <row r="473" spans="1:19">
      <c r="A473" s="7">
        <v>42277</v>
      </c>
      <c r="B473" s="8" t="s">
        <v>31</v>
      </c>
      <c r="C473">
        <v>35</v>
      </c>
      <c r="D473" s="8" t="s">
        <v>20</v>
      </c>
      <c r="F473">
        <v>0.49</v>
      </c>
      <c r="J473">
        <f>32+51+54</f>
        <v>137</v>
      </c>
      <c r="K473">
        <v>3</v>
      </c>
      <c r="L473">
        <v>54</v>
      </c>
      <c r="N473" t="str">
        <f t="shared" si="21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8.5471299999999992</v>
      </c>
      <c r="P473">
        <f t="shared" si="22"/>
        <v>8.5471299999999992</v>
      </c>
      <c r="S473">
        <f t="shared" si="23"/>
        <v>0.18857393974999997</v>
      </c>
    </row>
    <row r="474" spans="1:19">
      <c r="A474" s="7">
        <v>42277</v>
      </c>
      <c r="B474" s="8" t="s">
        <v>31</v>
      </c>
      <c r="C474">
        <v>35</v>
      </c>
      <c r="D474" s="8" t="s">
        <v>20</v>
      </c>
      <c r="F474">
        <v>4.8099999999999996</v>
      </c>
      <c r="J474">
        <f>71+142+165+217+229+243+264+289+299</f>
        <v>1919</v>
      </c>
      <c r="K474">
        <v>9</v>
      </c>
      <c r="L474">
        <v>299</v>
      </c>
      <c r="N474" t="str">
        <f t="shared" si="21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59.679397000000016</v>
      </c>
      <c r="P474">
        <f t="shared" si="22"/>
        <v>59.679397000000016</v>
      </c>
      <c r="S474">
        <f t="shared" si="23"/>
        <v>18.171035099749997</v>
      </c>
    </row>
    <row r="475" spans="1:19">
      <c r="A475" s="7">
        <v>42277</v>
      </c>
      <c r="B475" s="8" t="s">
        <v>31</v>
      </c>
      <c r="C475">
        <v>28</v>
      </c>
      <c r="D475" s="8" t="s">
        <v>21</v>
      </c>
      <c r="E475">
        <v>338</v>
      </c>
      <c r="F475">
        <v>1.84</v>
      </c>
      <c r="H475">
        <v>32</v>
      </c>
      <c r="I475">
        <v>3</v>
      </c>
      <c r="N475" t="str">
        <f t="shared" si="21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122.16225528000004</v>
      </c>
      <c r="P475">
        <f t="shared" si="22"/>
        <v>122.16225528000004</v>
      </c>
      <c r="S475">
        <f t="shared" si="23"/>
        <v>2.659041776</v>
      </c>
    </row>
    <row r="476" spans="1:19">
      <c r="A476" s="7">
        <v>42277</v>
      </c>
      <c r="B476" s="8" t="s">
        <v>31</v>
      </c>
      <c r="C476">
        <v>28</v>
      </c>
      <c r="D476" s="8" t="s">
        <v>20</v>
      </c>
      <c r="F476">
        <v>0.86</v>
      </c>
      <c r="J476">
        <f>87+88+90+113+126</f>
        <v>504</v>
      </c>
      <c r="K476">
        <v>5</v>
      </c>
      <c r="L476">
        <v>126</v>
      </c>
      <c r="N476" t="str">
        <f t="shared" si="21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7.2208690000000075</v>
      </c>
      <c r="P476">
        <f t="shared" si="22"/>
        <v>7.2208690000000075</v>
      </c>
      <c r="S476">
        <f t="shared" si="23"/>
        <v>0.58087999099999987</v>
      </c>
    </row>
    <row r="477" spans="1:19">
      <c r="A477" s="7">
        <v>42277</v>
      </c>
      <c r="B477" s="8" t="s">
        <v>31</v>
      </c>
      <c r="C477">
        <v>28</v>
      </c>
      <c r="D477" s="8" t="s">
        <v>20</v>
      </c>
      <c r="F477">
        <v>3.04</v>
      </c>
      <c r="J477">
        <f>89+104+149+157+182+213+214</f>
        <v>1108</v>
      </c>
      <c r="K477">
        <v>7</v>
      </c>
      <c r="L477">
        <v>214</v>
      </c>
      <c r="N477" t="str">
        <f t="shared" si="21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23.294623000000009</v>
      </c>
      <c r="P477">
        <f t="shared" si="22"/>
        <v>23.294623000000009</v>
      </c>
      <c r="S477">
        <f t="shared" si="23"/>
        <v>7.2583295359999997</v>
      </c>
    </row>
    <row r="478" spans="1:19">
      <c r="A478" s="7">
        <v>42277</v>
      </c>
      <c r="B478" s="8" t="s">
        <v>31</v>
      </c>
      <c r="C478">
        <v>28</v>
      </c>
      <c r="D478" s="8" t="s">
        <v>20</v>
      </c>
      <c r="F478">
        <v>0.84</v>
      </c>
      <c r="J478">
        <f>47+62+71+85</f>
        <v>265</v>
      </c>
      <c r="K478">
        <v>4</v>
      </c>
      <c r="L478">
        <v>85</v>
      </c>
      <c r="N478" t="str">
        <f t="shared" si="21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4.1868219999999994</v>
      </c>
      <c r="P478">
        <f t="shared" si="22"/>
        <v>4.1868219999999994</v>
      </c>
      <c r="S478">
        <f t="shared" si="23"/>
        <v>0.55417647599999986</v>
      </c>
    </row>
    <row r="479" spans="1:19">
      <c r="A479" s="7">
        <v>42277</v>
      </c>
      <c r="B479" s="8" t="s">
        <v>31</v>
      </c>
      <c r="C479">
        <v>28</v>
      </c>
      <c r="D479" s="8" t="s">
        <v>20</v>
      </c>
      <c r="F479">
        <v>2.1800000000000002</v>
      </c>
      <c r="J479">
        <f>83+87+139+177+214+224+241</f>
        <v>1165</v>
      </c>
      <c r="K479">
        <v>7</v>
      </c>
      <c r="L479">
        <v>241</v>
      </c>
      <c r="N479" t="str">
        <f t="shared" si="21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20.505043000000008</v>
      </c>
      <c r="P479">
        <f t="shared" si="22"/>
        <v>20.505043000000008</v>
      </c>
      <c r="S479">
        <f t="shared" si="23"/>
        <v>3.7325230790000004</v>
      </c>
    </row>
    <row r="480" spans="1:19">
      <c r="A480" s="7">
        <v>42277</v>
      </c>
      <c r="B480" s="8" t="s">
        <v>31</v>
      </c>
      <c r="C480">
        <v>28</v>
      </c>
      <c r="D480" s="8" t="s">
        <v>20</v>
      </c>
      <c r="F480">
        <v>0.8</v>
      </c>
      <c r="J480">
        <f>150</f>
        <v>150</v>
      </c>
      <c r="K480">
        <v>1</v>
      </c>
      <c r="L480">
        <v>150</v>
      </c>
      <c r="N480" t="str">
        <f t="shared" si="21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-5.1088689999999986</v>
      </c>
      <c r="P480" t="str">
        <f t="shared" si="22"/>
        <v xml:space="preserve"> </v>
      </c>
      <c r="S480">
        <f t="shared" si="23"/>
        <v>0.50265440000000006</v>
      </c>
    </row>
    <row r="481" spans="1:19">
      <c r="A481" s="7">
        <v>42277</v>
      </c>
      <c r="B481" s="8" t="s">
        <v>31</v>
      </c>
      <c r="C481">
        <v>28</v>
      </c>
      <c r="D481" s="8" t="s">
        <v>20</v>
      </c>
      <c r="F481">
        <v>2.9</v>
      </c>
      <c r="J481">
        <f>73+134+163+172+184+203+207</f>
        <v>1136</v>
      </c>
      <c r="K481">
        <v>7</v>
      </c>
      <c r="L481">
        <v>207</v>
      </c>
      <c r="N481" t="str">
        <f t="shared" si="21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28.028478000000014</v>
      </c>
      <c r="P481">
        <f t="shared" si="22"/>
        <v>28.028478000000014</v>
      </c>
      <c r="S481">
        <f t="shared" si="23"/>
        <v>6.6051929749999996</v>
      </c>
    </row>
    <row r="482" spans="1:19">
      <c r="A482" s="7">
        <v>42277</v>
      </c>
      <c r="B482" s="8" t="s">
        <v>31</v>
      </c>
      <c r="C482">
        <v>28</v>
      </c>
      <c r="D482" s="8" t="s">
        <v>20</v>
      </c>
      <c r="F482">
        <v>1.73</v>
      </c>
      <c r="J482">
        <f>32+64+95+111+176</f>
        <v>478</v>
      </c>
      <c r="K482">
        <v>5</v>
      </c>
      <c r="L482">
        <v>176</v>
      </c>
      <c r="N482" t="str">
        <f t="shared" si="21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-10.279010999999997</v>
      </c>
      <c r="P482" t="str">
        <f t="shared" si="22"/>
        <v xml:space="preserve"> </v>
      </c>
      <c r="S482">
        <f t="shared" si="23"/>
        <v>2.3506161777500001</v>
      </c>
    </row>
    <row r="483" spans="1:19">
      <c r="A483" s="7">
        <v>42277</v>
      </c>
      <c r="B483" s="8" t="s">
        <v>31</v>
      </c>
      <c r="C483">
        <v>28</v>
      </c>
      <c r="D483" s="8" t="s">
        <v>21</v>
      </c>
      <c r="E483">
        <v>203</v>
      </c>
      <c r="F483">
        <v>2.8</v>
      </c>
      <c r="H483">
        <v>26</v>
      </c>
      <c r="I483">
        <v>2.4</v>
      </c>
      <c r="N483" t="str">
        <f t="shared" si="21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83.563686599999983</v>
      </c>
      <c r="P483">
        <f t="shared" si="22"/>
        <v>83.563686599999983</v>
      </c>
      <c r="S483">
        <f t="shared" si="23"/>
        <v>6.1575163999999987</v>
      </c>
    </row>
    <row r="484" spans="1:19">
      <c r="A484" s="7">
        <v>42277</v>
      </c>
      <c r="B484" s="8" t="s">
        <v>31</v>
      </c>
      <c r="C484">
        <v>28</v>
      </c>
      <c r="D484" s="8" t="s">
        <v>20</v>
      </c>
      <c r="F484">
        <v>4.3899999999999997</v>
      </c>
      <c r="J484">
        <f>50+111+133+177+189+214+221+238</f>
        <v>1333</v>
      </c>
      <c r="K484">
        <v>8</v>
      </c>
      <c r="L484">
        <v>233</v>
      </c>
      <c r="N484" t="str">
        <f t="shared" si="21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31.643490000000007</v>
      </c>
      <c r="P484">
        <f t="shared" si="22"/>
        <v>31.643490000000007</v>
      </c>
      <c r="S484">
        <f t="shared" si="23"/>
        <v>15.136259159749999</v>
      </c>
    </row>
    <row r="485" spans="1:19">
      <c r="A485" s="7">
        <v>42277</v>
      </c>
      <c r="B485" s="8" t="s">
        <v>31</v>
      </c>
      <c r="C485">
        <v>28</v>
      </c>
      <c r="D485" s="8" t="s">
        <v>20</v>
      </c>
      <c r="F485">
        <v>1.1000000000000001</v>
      </c>
      <c r="J485">
        <f>44+49+51+65</f>
        <v>209</v>
      </c>
      <c r="K485">
        <v>4</v>
      </c>
      <c r="L485">
        <v>65</v>
      </c>
      <c r="N485" t="str">
        <f t="shared" si="21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4.9614419999999981</v>
      </c>
      <c r="P485">
        <f t="shared" si="22"/>
        <v>4.9614419999999981</v>
      </c>
      <c r="S485">
        <f t="shared" si="23"/>
        <v>0.95033097500000008</v>
      </c>
    </row>
    <row r="486" spans="1:19">
      <c r="A486" s="7">
        <v>42277</v>
      </c>
      <c r="B486" s="8" t="s">
        <v>31</v>
      </c>
      <c r="C486">
        <v>10</v>
      </c>
      <c r="D486" s="8" t="s">
        <v>24</v>
      </c>
      <c r="E486">
        <v>55</v>
      </c>
      <c r="F486">
        <v>0.64</v>
      </c>
      <c r="N486">
        <f t="shared" si="21"/>
        <v>5.8978116266666669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-0.73482199999999986</v>
      </c>
      <c r="P486" t="str">
        <f t="shared" si="22"/>
        <v xml:space="preserve"> </v>
      </c>
      <c r="S486">
        <f t="shared" si="23"/>
        <v>0.321698816</v>
      </c>
    </row>
    <row r="487" spans="1:19">
      <c r="A487" s="7">
        <v>42277</v>
      </c>
      <c r="B487" s="8" t="s">
        <v>31</v>
      </c>
      <c r="C487">
        <v>10</v>
      </c>
      <c r="D487" s="8" t="s">
        <v>24</v>
      </c>
      <c r="E487">
        <v>123</v>
      </c>
      <c r="F487">
        <v>1.39</v>
      </c>
      <c r="N487">
        <f t="shared" si="21"/>
        <v>62.21612689974998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4.032318000000001</v>
      </c>
      <c r="P487">
        <f t="shared" si="22"/>
        <v>4.032318000000001</v>
      </c>
      <c r="S487">
        <f t="shared" si="23"/>
        <v>1.5174665097499997</v>
      </c>
    </row>
    <row r="488" spans="1:19">
      <c r="A488" s="7">
        <v>42277</v>
      </c>
      <c r="B488" s="8" t="s">
        <v>31</v>
      </c>
      <c r="C488">
        <v>10</v>
      </c>
      <c r="D488" s="8" t="s">
        <v>24</v>
      </c>
      <c r="E488">
        <v>58</v>
      </c>
      <c r="F488">
        <v>0.65</v>
      </c>
      <c r="N488">
        <f t="shared" si="21"/>
        <v>6.4153885791666667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-0.52450699999999983</v>
      </c>
      <c r="P488" t="str">
        <f t="shared" si="22"/>
        <v xml:space="preserve"> </v>
      </c>
      <c r="S488">
        <f t="shared" si="23"/>
        <v>0.33183044375000004</v>
      </c>
    </row>
    <row r="489" spans="1:19">
      <c r="A489" s="7">
        <v>42277</v>
      </c>
      <c r="B489" s="8" t="s">
        <v>31</v>
      </c>
      <c r="C489">
        <v>10</v>
      </c>
      <c r="D489" s="8" t="s">
        <v>24</v>
      </c>
      <c r="E489">
        <v>20</v>
      </c>
      <c r="F489">
        <v>0.56000000000000005</v>
      </c>
      <c r="N489">
        <f t="shared" si="21"/>
        <v>1.6420043733333334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-3.1884969999999999</v>
      </c>
      <c r="P489" t="str">
        <f t="shared" si="22"/>
        <v xml:space="preserve"> </v>
      </c>
      <c r="S489">
        <f t="shared" si="23"/>
        <v>0.24630065600000003</v>
      </c>
    </row>
    <row r="490" spans="1:19">
      <c r="A490" s="7">
        <v>42277</v>
      </c>
      <c r="B490" s="8" t="s">
        <v>31</v>
      </c>
      <c r="C490">
        <v>10</v>
      </c>
      <c r="D490" s="8" t="s">
        <v>24</v>
      </c>
      <c r="E490">
        <v>50</v>
      </c>
      <c r="F490">
        <v>0.63</v>
      </c>
      <c r="N490">
        <f t="shared" si="21"/>
        <v>5.1954044625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-1.0853469999999996</v>
      </c>
      <c r="P490" t="str">
        <f t="shared" si="22"/>
        <v xml:space="preserve"> </v>
      </c>
      <c r="S490">
        <f t="shared" si="23"/>
        <v>0.31172426775000001</v>
      </c>
    </row>
    <row r="491" spans="1:19">
      <c r="A491" s="7">
        <v>42277</v>
      </c>
      <c r="B491" s="8" t="s">
        <v>31</v>
      </c>
      <c r="C491">
        <v>10</v>
      </c>
      <c r="D491" s="8" t="s">
        <v>24</v>
      </c>
      <c r="E491">
        <v>23</v>
      </c>
      <c r="F491">
        <v>0.39</v>
      </c>
      <c r="N491">
        <f t="shared" si="21"/>
        <v>0.91585202474999994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-2.9781819999999999</v>
      </c>
      <c r="P491" t="str">
        <f t="shared" si="22"/>
        <v xml:space="preserve"> </v>
      </c>
      <c r="S491">
        <f t="shared" si="23"/>
        <v>0.11945895975000001</v>
      </c>
    </row>
    <row r="492" spans="1:19">
      <c r="A492" s="7">
        <v>42277</v>
      </c>
      <c r="B492" s="8" t="s">
        <v>31</v>
      </c>
      <c r="C492">
        <v>10</v>
      </c>
      <c r="D492" s="8" t="s">
        <v>24</v>
      </c>
      <c r="E492">
        <v>79</v>
      </c>
      <c r="F492">
        <v>1.2</v>
      </c>
      <c r="N492">
        <f t="shared" si="21"/>
        <v>29.782273199999995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0.94769799999999993</v>
      </c>
      <c r="P492">
        <f t="shared" si="22"/>
        <v>0.94769799999999993</v>
      </c>
      <c r="S492">
        <f t="shared" si="23"/>
        <v>1.1309723999999999</v>
      </c>
    </row>
    <row r="493" spans="1:19">
      <c r="A493" s="7">
        <v>42277</v>
      </c>
      <c r="B493" s="8" t="s">
        <v>31</v>
      </c>
      <c r="C493">
        <v>10</v>
      </c>
      <c r="D493" s="8" t="s">
        <v>24</v>
      </c>
      <c r="E493">
        <v>51</v>
      </c>
      <c r="F493">
        <v>0.43</v>
      </c>
      <c r="N493">
        <f t="shared" si="21"/>
        <v>2.4687399617499994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-1.0152419999999998</v>
      </c>
      <c r="P493" t="str">
        <f t="shared" si="22"/>
        <v xml:space="preserve"> </v>
      </c>
      <c r="S493">
        <f t="shared" si="23"/>
        <v>0.14521999774999997</v>
      </c>
    </row>
    <row r="494" spans="1:19">
      <c r="A494" s="7">
        <v>42277</v>
      </c>
      <c r="B494" s="8" t="s">
        <v>31</v>
      </c>
      <c r="C494">
        <v>10</v>
      </c>
      <c r="D494" s="8" t="s">
        <v>24</v>
      </c>
      <c r="E494">
        <v>73</v>
      </c>
      <c r="F494">
        <v>0.9</v>
      </c>
      <c r="G494">
        <v>1</v>
      </c>
      <c r="N494">
        <f t="shared" si="21"/>
        <v>15.480184724999999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3.3094941803112525</v>
      </c>
      <c r="P494">
        <f t="shared" si="22"/>
        <v>3.3094941803112525</v>
      </c>
      <c r="S494">
        <f t="shared" si="23"/>
        <v>0.636171975</v>
      </c>
    </row>
    <row r="495" spans="1:19">
      <c r="A495" s="7">
        <v>42277</v>
      </c>
      <c r="B495" s="8" t="s">
        <v>31</v>
      </c>
      <c r="C495">
        <v>10</v>
      </c>
      <c r="D495" s="8" t="s">
        <v>24</v>
      </c>
      <c r="E495">
        <v>58</v>
      </c>
      <c r="F495">
        <v>1.06</v>
      </c>
      <c r="N495">
        <f t="shared" si="21"/>
        <v>17.061137532666667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-0.52450699999999983</v>
      </c>
      <c r="P495" t="str">
        <f t="shared" si="22"/>
        <v xml:space="preserve"> </v>
      </c>
      <c r="S495">
        <f t="shared" si="23"/>
        <v>0.88247263100000006</v>
      </c>
    </row>
    <row r="496" spans="1:19">
      <c r="A496" s="7">
        <v>42277</v>
      </c>
      <c r="B496" s="8" t="s">
        <v>31</v>
      </c>
      <c r="C496">
        <v>10</v>
      </c>
      <c r="D496" s="8" t="s">
        <v>24</v>
      </c>
      <c r="E496">
        <v>36</v>
      </c>
      <c r="F496">
        <v>1.0900000000000001</v>
      </c>
      <c r="N496">
        <f t="shared" si="21"/>
        <v>11.197569237000002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-2.0668169999999999</v>
      </c>
      <c r="P496" t="str">
        <f t="shared" si="22"/>
        <v xml:space="preserve"> </v>
      </c>
      <c r="S496">
        <f t="shared" si="23"/>
        <v>0.93313076975000009</v>
      </c>
    </row>
    <row r="497" spans="1:19">
      <c r="A497" s="7">
        <v>42277</v>
      </c>
      <c r="B497" s="8" t="s">
        <v>31</v>
      </c>
      <c r="C497">
        <v>10</v>
      </c>
      <c r="D497" s="8" t="s">
        <v>24</v>
      </c>
      <c r="E497">
        <v>75</v>
      </c>
      <c r="F497">
        <v>1.1499999999999999</v>
      </c>
      <c r="N497">
        <f t="shared" si="21"/>
        <v>25.967204843749993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0.66727800000000048</v>
      </c>
      <c r="P497">
        <f t="shared" si="22"/>
        <v>0.66727800000000048</v>
      </c>
      <c r="S497">
        <f t="shared" si="23"/>
        <v>1.0386881937499999</v>
      </c>
    </row>
    <row r="498" spans="1:19">
      <c r="A498" s="7">
        <v>42277</v>
      </c>
      <c r="B498" s="8" t="s">
        <v>31</v>
      </c>
      <c r="C498">
        <v>10</v>
      </c>
      <c r="D498" s="8" t="s">
        <v>24</v>
      </c>
      <c r="E498">
        <v>123</v>
      </c>
      <c r="F498">
        <v>1.23</v>
      </c>
      <c r="N498">
        <f t="shared" si="21"/>
        <v>48.717342987749994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4.032318000000001</v>
      </c>
      <c r="P498">
        <f t="shared" si="22"/>
        <v>4.032318000000001</v>
      </c>
      <c r="S498">
        <f t="shared" si="23"/>
        <v>1.1882278777499999</v>
      </c>
    </row>
    <row r="499" spans="1:19">
      <c r="A499" s="7">
        <v>42277</v>
      </c>
      <c r="B499" s="8" t="s">
        <v>31</v>
      </c>
      <c r="C499">
        <v>10</v>
      </c>
      <c r="D499" s="8" t="s">
        <v>24</v>
      </c>
      <c r="E499">
        <v>93</v>
      </c>
      <c r="F499">
        <v>1.01</v>
      </c>
      <c r="N499">
        <f t="shared" si="21"/>
        <v>24.836703682249997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1.9291680000000007</v>
      </c>
      <c r="P499">
        <f t="shared" si="22"/>
        <v>1.9291680000000007</v>
      </c>
      <c r="S499">
        <f t="shared" si="23"/>
        <v>0.80118398974999994</v>
      </c>
    </row>
    <row r="500" spans="1:19">
      <c r="A500" s="7">
        <v>42277</v>
      </c>
      <c r="B500" s="8" t="s">
        <v>31</v>
      </c>
      <c r="C500">
        <v>10</v>
      </c>
      <c r="D500" s="8" t="s">
        <v>24</v>
      </c>
      <c r="E500">
        <v>50</v>
      </c>
      <c r="F500">
        <v>0.61</v>
      </c>
      <c r="N500">
        <f t="shared" si="21"/>
        <v>4.8707734958333324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-1.0853469999999996</v>
      </c>
      <c r="P500" t="str">
        <f t="shared" si="22"/>
        <v xml:space="preserve"> </v>
      </c>
      <c r="S500">
        <f t="shared" si="23"/>
        <v>0.29224640974999999</v>
      </c>
    </row>
    <row r="501" spans="1:19">
      <c r="A501" s="7">
        <v>42277</v>
      </c>
      <c r="B501" s="8" t="s">
        <v>31</v>
      </c>
      <c r="C501">
        <v>10</v>
      </c>
      <c r="D501" s="8" t="s">
        <v>24</v>
      </c>
      <c r="E501">
        <v>51</v>
      </c>
      <c r="F501">
        <v>1.08</v>
      </c>
      <c r="N501">
        <f t="shared" si="21"/>
        <v>15.573489948000001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-1.0152419999999998</v>
      </c>
      <c r="P501" t="str">
        <f t="shared" si="22"/>
        <v xml:space="preserve"> </v>
      </c>
      <c r="S501">
        <f t="shared" si="23"/>
        <v>0.91608764400000009</v>
      </c>
    </row>
    <row r="502" spans="1:19">
      <c r="A502" s="7">
        <v>42277</v>
      </c>
      <c r="B502" s="8" t="s">
        <v>31</v>
      </c>
      <c r="C502">
        <v>10</v>
      </c>
      <c r="D502" s="8" t="s">
        <v>24</v>
      </c>
      <c r="E502">
        <v>77</v>
      </c>
      <c r="F502">
        <v>1.26</v>
      </c>
      <c r="N502">
        <f t="shared" si="21"/>
        <v>32.003691488999998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0.80748800000000021</v>
      </c>
      <c r="P502">
        <f t="shared" si="22"/>
        <v>0.80748800000000021</v>
      </c>
      <c r="S502">
        <f t="shared" si="23"/>
        <v>1.246897071</v>
      </c>
    </row>
    <row r="503" spans="1:19">
      <c r="A503" s="7">
        <v>42277</v>
      </c>
      <c r="B503" s="8" t="s">
        <v>31</v>
      </c>
      <c r="C503">
        <v>10</v>
      </c>
      <c r="D503" s="8" t="s">
        <v>24</v>
      </c>
      <c r="E503">
        <v>123</v>
      </c>
      <c r="F503">
        <v>1.34</v>
      </c>
      <c r="N503">
        <f t="shared" si="21"/>
        <v>57.820649791000001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4.032318000000001</v>
      </c>
      <c r="P503">
        <f t="shared" si="22"/>
        <v>4.032318000000001</v>
      </c>
      <c r="S503">
        <f t="shared" si="23"/>
        <v>1.4102597510000001</v>
      </c>
    </row>
    <row r="504" spans="1:19">
      <c r="A504" s="7">
        <v>42277</v>
      </c>
      <c r="B504" s="8" t="s">
        <v>31</v>
      </c>
      <c r="C504">
        <v>10</v>
      </c>
      <c r="D504" s="8" t="s">
        <v>24</v>
      </c>
      <c r="E504">
        <v>90</v>
      </c>
      <c r="F504">
        <v>0.97</v>
      </c>
      <c r="N504">
        <f t="shared" si="21"/>
        <v>22.169415232499997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1.7188530000000002</v>
      </c>
      <c r="P504">
        <f t="shared" si="22"/>
        <v>1.7188530000000002</v>
      </c>
      <c r="S504">
        <f t="shared" si="23"/>
        <v>0.7389805077499999</v>
      </c>
    </row>
    <row r="505" spans="1:19">
      <c r="A505" s="7">
        <v>42277</v>
      </c>
      <c r="B505" s="8" t="s">
        <v>31</v>
      </c>
      <c r="C505">
        <v>10</v>
      </c>
      <c r="D505" s="8" t="s">
        <v>24</v>
      </c>
      <c r="E505">
        <v>101</v>
      </c>
      <c r="F505">
        <v>0.15</v>
      </c>
      <c r="N505">
        <f t="shared" si="21"/>
        <v>0.59493860624999995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2.4900080000000004</v>
      </c>
      <c r="P505">
        <f t="shared" si="22"/>
        <v>2.4900080000000004</v>
      </c>
      <c r="S505">
        <f t="shared" si="23"/>
        <v>1.7671443749999998E-2</v>
      </c>
    </row>
    <row r="506" spans="1:19">
      <c r="A506" s="7">
        <v>42277</v>
      </c>
      <c r="B506" s="8" t="s">
        <v>31</v>
      </c>
      <c r="C506">
        <v>10</v>
      </c>
      <c r="D506" s="8" t="s">
        <v>24</v>
      </c>
      <c r="E506">
        <v>77</v>
      </c>
      <c r="F506">
        <v>0.99</v>
      </c>
      <c r="G506">
        <v>1</v>
      </c>
      <c r="N506">
        <f t="shared" si="21"/>
        <v>19.757380970249997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3.6012521488849236</v>
      </c>
      <c r="P506">
        <f t="shared" si="22"/>
        <v>3.6012521488849236</v>
      </c>
      <c r="S506">
        <f t="shared" si="23"/>
        <v>0.76976808975</v>
      </c>
    </row>
    <row r="507" spans="1:19">
      <c r="A507" s="7">
        <v>42277</v>
      </c>
      <c r="B507" s="8" t="s">
        <v>31</v>
      </c>
      <c r="C507">
        <v>10</v>
      </c>
      <c r="D507" s="8" t="s">
        <v>24</v>
      </c>
      <c r="E507">
        <v>85</v>
      </c>
      <c r="F507">
        <v>1.25</v>
      </c>
      <c r="N507">
        <f t="shared" si="21"/>
        <v>34.770201822916661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1.368328</v>
      </c>
      <c r="P507">
        <f t="shared" si="22"/>
        <v>1.368328</v>
      </c>
      <c r="S507">
        <f t="shared" si="23"/>
        <v>1.22718359375</v>
      </c>
    </row>
    <row r="508" spans="1:19">
      <c r="A508" s="7">
        <v>42277</v>
      </c>
      <c r="B508" s="8" t="s">
        <v>31</v>
      </c>
      <c r="C508">
        <v>10</v>
      </c>
      <c r="D508" s="8" t="s">
        <v>24</v>
      </c>
      <c r="E508">
        <v>71</v>
      </c>
      <c r="F508">
        <v>0.68</v>
      </c>
      <c r="G508">
        <v>3</v>
      </c>
      <c r="N508">
        <f t="shared" si="21"/>
        <v>8.5949713613333341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3.0107699133091588</v>
      </c>
      <c r="P508">
        <f t="shared" si="22"/>
        <v>3.0107699133091588</v>
      </c>
      <c r="S508">
        <f t="shared" si="23"/>
        <v>0.36316780400000004</v>
      </c>
    </row>
    <row r="509" spans="1:19">
      <c r="A509" s="7">
        <v>42277</v>
      </c>
      <c r="B509" s="8" t="s">
        <v>31</v>
      </c>
      <c r="C509">
        <v>10</v>
      </c>
      <c r="D509" s="8" t="s">
        <v>24</v>
      </c>
      <c r="E509">
        <v>84</v>
      </c>
      <c r="F509">
        <v>1.33</v>
      </c>
      <c r="N509">
        <f t="shared" si="21"/>
        <v>38.900109856999997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1.2982230000000001</v>
      </c>
      <c r="P509">
        <f t="shared" si="22"/>
        <v>1.2982230000000001</v>
      </c>
      <c r="S509">
        <f t="shared" si="23"/>
        <v>1.3892896377500001</v>
      </c>
    </row>
    <row r="510" spans="1:19">
      <c r="A510" s="7">
        <v>42277</v>
      </c>
      <c r="B510" s="8" t="s">
        <v>31</v>
      </c>
      <c r="C510">
        <v>10</v>
      </c>
      <c r="D510" s="8" t="s">
        <v>24</v>
      </c>
      <c r="E510">
        <v>94</v>
      </c>
      <c r="F510">
        <v>1</v>
      </c>
      <c r="N510">
        <f t="shared" si="21"/>
        <v>24.609121666666663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1.9992730000000005</v>
      </c>
      <c r="P510">
        <f t="shared" si="22"/>
        <v>1.9992730000000005</v>
      </c>
      <c r="S510">
        <f t="shared" si="23"/>
        <v>0.78539749999999997</v>
      </c>
    </row>
    <row r="511" spans="1:19">
      <c r="A511" s="7">
        <v>42277</v>
      </c>
      <c r="B511" s="8" t="s">
        <v>31</v>
      </c>
      <c r="C511">
        <v>10</v>
      </c>
      <c r="D511" s="8" t="s">
        <v>24</v>
      </c>
      <c r="E511">
        <v>54</v>
      </c>
      <c r="F511">
        <v>0.8</v>
      </c>
      <c r="N511">
        <f t="shared" si="21"/>
        <v>9.0477792000000008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-0.80492699999999973</v>
      </c>
      <c r="P511" t="str">
        <f t="shared" si="22"/>
        <v xml:space="preserve"> </v>
      </c>
      <c r="S511">
        <f t="shared" si="23"/>
        <v>0.50265440000000006</v>
      </c>
    </row>
    <row r="512" spans="1:19">
      <c r="A512" s="7">
        <v>42277</v>
      </c>
      <c r="B512" s="8" t="s">
        <v>31</v>
      </c>
      <c r="C512">
        <v>10</v>
      </c>
      <c r="D512" s="8" t="s">
        <v>24</v>
      </c>
      <c r="E512">
        <v>108</v>
      </c>
      <c r="F512">
        <v>1.19</v>
      </c>
      <c r="N512">
        <f t="shared" si="21"/>
        <v>40.039250390999996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2.9807430000000004</v>
      </c>
      <c r="P512">
        <f t="shared" si="22"/>
        <v>2.9807430000000004</v>
      </c>
      <c r="S512">
        <f t="shared" si="23"/>
        <v>1.11220139975</v>
      </c>
    </row>
    <row r="513" spans="1:19">
      <c r="A513" s="7">
        <v>42277</v>
      </c>
      <c r="B513" s="8" t="s">
        <v>31</v>
      </c>
      <c r="C513">
        <v>10</v>
      </c>
      <c r="D513" s="8" t="s">
        <v>24</v>
      </c>
      <c r="E513">
        <v>54</v>
      </c>
      <c r="F513">
        <v>0.93</v>
      </c>
      <c r="N513">
        <f t="shared" si="21"/>
        <v>12.2272253595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-0.80492699999999973</v>
      </c>
      <c r="P513" t="str">
        <f t="shared" si="22"/>
        <v xml:space="preserve"> </v>
      </c>
      <c r="S513">
        <f t="shared" si="23"/>
        <v>0.67929029775000005</v>
      </c>
    </row>
    <row r="514" spans="1:19">
      <c r="A514" s="7">
        <v>42277</v>
      </c>
      <c r="B514" s="8" t="s">
        <v>31</v>
      </c>
      <c r="C514">
        <v>10</v>
      </c>
      <c r="D514" s="8" t="s">
        <v>24</v>
      </c>
      <c r="E514">
        <v>92</v>
      </c>
      <c r="F514">
        <v>1.5</v>
      </c>
      <c r="N514">
        <f t="shared" si="21"/>
        <v>54.192427499999994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1.8590629999999999</v>
      </c>
      <c r="P514">
        <f t="shared" si="22"/>
        <v>1.8590629999999999</v>
      </c>
      <c r="S514">
        <f t="shared" si="23"/>
        <v>1.767144375</v>
      </c>
    </row>
    <row r="515" spans="1:19">
      <c r="A515" s="7">
        <v>42277</v>
      </c>
      <c r="B515" s="8" t="s">
        <v>31</v>
      </c>
      <c r="C515">
        <v>10</v>
      </c>
      <c r="D515" s="8" t="s">
        <v>24</v>
      </c>
      <c r="E515">
        <v>89</v>
      </c>
      <c r="F515">
        <v>1.29</v>
      </c>
      <c r="N515">
        <f t="shared" si="21"/>
        <v>38.773739399249997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1.6487480000000003</v>
      </c>
      <c r="P515">
        <f t="shared" si="22"/>
        <v>1.6487480000000003</v>
      </c>
      <c r="S515">
        <f t="shared" si="23"/>
        <v>1.3069799797500001</v>
      </c>
    </row>
    <row r="516" spans="1:19">
      <c r="A516" s="7">
        <v>42277</v>
      </c>
      <c r="B516" s="8" t="s">
        <v>31</v>
      </c>
      <c r="C516">
        <v>3</v>
      </c>
      <c r="D516" s="8" t="s">
        <v>24</v>
      </c>
      <c r="E516">
        <v>98</v>
      </c>
      <c r="F516">
        <v>0.74</v>
      </c>
      <c r="N516">
        <f t="shared" ref="N516:N579" si="24">IF(OR(D516="S. acutus", D516="S. tabernaemontani", D516="S. californicus"),(1/3)*(3.14159)*((F516/2)^2)*E516,"NA")</f>
        <v>14.049399919333332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2.279693</v>
      </c>
      <c r="P516">
        <f t="shared" si="22"/>
        <v>2.279693</v>
      </c>
      <c r="S516">
        <f t="shared" si="23"/>
        <v>0.43008367099999995</v>
      </c>
    </row>
    <row r="517" spans="1:19">
      <c r="A517" s="7">
        <v>42277</v>
      </c>
      <c r="B517" s="8" t="s">
        <v>31</v>
      </c>
      <c r="C517">
        <v>3</v>
      </c>
      <c r="D517" s="8" t="s">
        <v>24</v>
      </c>
      <c r="E517">
        <v>87</v>
      </c>
      <c r="F517">
        <v>0.8</v>
      </c>
      <c r="N517">
        <f t="shared" si="24"/>
        <v>14.576977600000001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1.5085380000000006</v>
      </c>
      <c r="P517">
        <f t="shared" ref="P517:P580" si="25">IF(O517&lt;0," ",O517)</f>
        <v>1.5085380000000006</v>
      </c>
      <c r="S517">
        <f t="shared" ref="S517:S580" si="26">3.14159*((F517/2)^2)</f>
        <v>0.50265440000000006</v>
      </c>
    </row>
    <row r="518" spans="1:19">
      <c r="A518" s="7">
        <v>42277</v>
      </c>
      <c r="B518" s="8" t="s">
        <v>31</v>
      </c>
      <c r="C518">
        <v>3</v>
      </c>
      <c r="D518" s="8" t="s">
        <v>24</v>
      </c>
      <c r="E518">
        <v>140</v>
      </c>
      <c r="F518">
        <v>1.29</v>
      </c>
      <c r="N518">
        <f t="shared" si="24"/>
        <v>60.992399055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5.2241030000000004</v>
      </c>
      <c r="P518">
        <f t="shared" si="25"/>
        <v>5.2241030000000004</v>
      </c>
      <c r="S518">
        <f t="shared" si="26"/>
        <v>1.3069799797500001</v>
      </c>
    </row>
    <row r="519" spans="1:19">
      <c r="A519" s="7">
        <v>42277</v>
      </c>
      <c r="B519" s="8" t="s">
        <v>31</v>
      </c>
      <c r="C519">
        <v>3</v>
      </c>
      <c r="D519" s="8" t="s">
        <v>24</v>
      </c>
      <c r="E519">
        <v>111</v>
      </c>
      <c r="F519">
        <v>1.3</v>
      </c>
      <c r="N519">
        <f t="shared" si="24"/>
        <v>49.110905674999998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3.191058</v>
      </c>
      <c r="P519">
        <f t="shared" si="25"/>
        <v>3.191058</v>
      </c>
      <c r="S519">
        <f t="shared" si="26"/>
        <v>1.3273217750000001</v>
      </c>
    </row>
    <row r="520" spans="1:19">
      <c r="A520" s="7">
        <v>42277</v>
      </c>
      <c r="B520" s="8" t="s">
        <v>31</v>
      </c>
      <c r="C520">
        <v>3</v>
      </c>
      <c r="D520" s="8" t="s">
        <v>24</v>
      </c>
      <c r="E520">
        <v>92</v>
      </c>
      <c r="F520">
        <v>1.03</v>
      </c>
      <c r="N520">
        <f t="shared" si="24"/>
        <v>25.552331704333334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1.8590629999999999</v>
      </c>
      <c r="P520">
        <f t="shared" si="25"/>
        <v>1.8590629999999999</v>
      </c>
      <c r="S520">
        <f t="shared" si="26"/>
        <v>0.83322820774999995</v>
      </c>
    </row>
    <row r="521" spans="1:19">
      <c r="A521" s="7">
        <v>42277</v>
      </c>
      <c r="B521" s="8" t="s">
        <v>31</v>
      </c>
      <c r="C521">
        <v>3</v>
      </c>
      <c r="D521" s="8" t="s">
        <v>24</v>
      </c>
      <c r="E521">
        <v>37</v>
      </c>
      <c r="F521">
        <v>0.73</v>
      </c>
      <c r="N521">
        <f t="shared" si="24"/>
        <v>5.1619727089166654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-1.9967119999999996</v>
      </c>
      <c r="P521" t="str">
        <f t="shared" si="25"/>
        <v xml:space="preserve"> </v>
      </c>
      <c r="S521">
        <f t="shared" si="26"/>
        <v>0.41853832774999994</v>
      </c>
    </row>
    <row r="522" spans="1:19">
      <c r="A522" s="7">
        <v>42277</v>
      </c>
      <c r="B522" s="8" t="s">
        <v>31</v>
      </c>
      <c r="C522">
        <v>3</v>
      </c>
      <c r="D522" s="8" t="s">
        <v>24</v>
      </c>
      <c r="E522">
        <v>26</v>
      </c>
      <c r="F522">
        <v>0.66</v>
      </c>
      <c r="N522">
        <f t="shared" si="24"/>
        <v>2.9650326420000002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-2.7678669999999999</v>
      </c>
      <c r="P522" t="str">
        <f t="shared" si="25"/>
        <v xml:space="preserve"> </v>
      </c>
      <c r="S522">
        <f t="shared" si="26"/>
        <v>0.34211915100000001</v>
      </c>
    </row>
    <row r="523" spans="1:19">
      <c r="A523" s="7">
        <v>42277</v>
      </c>
      <c r="B523" s="8" t="s">
        <v>31</v>
      </c>
      <c r="C523">
        <v>3</v>
      </c>
      <c r="D523" s="8" t="s">
        <v>24</v>
      </c>
      <c r="E523">
        <v>118</v>
      </c>
      <c r="F523">
        <v>1.1599999999999999</v>
      </c>
      <c r="G523">
        <v>6</v>
      </c>
      <c r="N523">
        <f t="shared" si="24"/>
        <v>41.568681122666653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5.8823867439628774</v>
      </c>
      <c r="P523">
        <f t="shared" si="25"/>
        <v>5.8823867439628774</v>
      </c>
      <c r="S523">
        <f t="shared" si="26"/>
        <v>1.0568308759999998</v>
      </c>
    </row>
    <row r="524" spans="1:19">
      <c r="A524" s="7">
        <v>42277</v>
      </c>
      <c r="B524" s="8" t="s">
        <v>31</v>
      </c>
      <c r="C524">
        <v>3</v>
      </c>
      <c r="D524" s="8" t="s">
        <v>24</v>
      </c>
      <c r="E524">
        <v>112</v>
      </c>
      <c r="F524">
        <v>1.35</v>
      </c>
      <c r="G524">
        <v>2</v>
      </c>
      <c r="N524">
        <f t="shared" si="24"/>
        <v>53.438445900000005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6.0335612525813103</v>
      </c>
      <c r="P524">
        <f t="shared" si="25"/>
        <v>6.0335612525813103</v>
      </c>
      <c r="S524">
        <f t="shared" si="26"/>
        <v>1.4313869437500002</v>
      </c>
    </row>
    <row r="525" spans="1:19">
      <c r="A525" s="7">
        <v>42277</v>
      </c>
      <c r="B525" s="8" t="s">
        <v>31</v>
      </c>
      <c r="C525">
        <v>3</v>
      </c>
      <c r="D525" s="8" t="s">
        <v>20</v>
      </c>
      <c r="F525">
        <v>1.83</v>
      </c>
      <c r="J525">
        <f>24+50+65+90+117+107+133</f>
        <v>586</v>
      </c>
      <c r="K525">
        <v>7</v>
      </c>
      <c r="L525">
        <v>133</v>
      </c>
      <c r="N525" t="str">
        <f t="shared" si="24"/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-1.2446419999999918</v>
      </c>
      <c r="P525" t="str">
        <f t="shared" si="25"/>
        <v xml:space="preserve"> </v>
      </c>
      <c r="S525">
        <f t="shared" si="26"/>
        <v>2.6302176877500001</v>
      </c>
    </row>
    <row r="526" spans="1:19">
      <c r="A526" s="7">
        <v>42277</v>
      </c>
      <c r="B526" s="8" t="s">
        <v>31</v>
      </c>
      <c r="C526">
        <v>3</v>
      </c>
      <c r="D526" s="8" t="s">
        <v>24</v>
      </c>
      <c r="E526">
        <v>132</v>
      </c>
      <c r="F526">
        <v>1.26</v>
      </c>
      <c r="G526">
        <v>8</v>
      </c>
      <c r="N526">
        <f t="shared" si="24"/>
        <v>54.863471124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6.8495903473168109</v>
      </c>
      <c r="P526">
        <f t="shared" si="25"/>
        <v>6.8495903473168109</v>
      </c>
      <c r="S526">
        <f t="shared" si="26"/>
        <v>1.246897071</v>
      </c>
    </row>
    <row r="527" spans="1:19">
      <c r="A527" s="7">
        <v>42277</v>
      </c>
      <c r="B527" s="8" t="s">
        <v>31</v>
      </c>
      <c r="C527">
        <v>3</v>
      </c>
      <c r="D527" s="8" t="s">
        <v>24</v>
      </c>
      <c r="E527">
        <v>99</v>
      </c>
      <c r="F527">
        <v>0.95</v>
      </c>
      <c r="N527">
        <f t="shared" si="24"/>
        <v>23.391101043749998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2.3497979999999998</v>
      </c>
      <c r="P527">
        <f t="shared" si="25"/>
        <v>2.3497979999999998</v>
      </c>
      <c r="S527">
        <f t="shared" si="26"/>
        <v>0.70882124375</v>
      </c>
    </row>
    <row r="528" spans="1:19">
      <c r="A528" s="7">
        <v>42277</v>
      </c>
      <c r="B528" s="8" t="s">
        <v>31</v>
      </c>
      <c r="C528">
        <v>3</v>
      </c>
      <c r="D528" s="8" t="s">
        <v>24</v>
      </c>
      <c r="E528">
        <v>103</v>
      </c>
      <c r="F528">
        <v>1.26</v>
      </c>
      <c r="N528">
        <f t="shared" si="24"/>
        <v>42.810132770999999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2.6302180000000002</v>
      </c>
      <c r="P528">
        <f t="shared" si="25"/>
        <v>2.6302180000000002</v>
      </c>
      <c r="S528">
        <f t="shared" si="26"/>
        <v>1.246897071</v>
      </c>
    </row>
    <row r="529" spans="1:19">
      <c r="A529" s="7">
        <v>42277</v>
      </c>
      <c r="B529" s="8" t="s">
        <v>31</v>
      </c>
      <c r="C529">
        <v>3</v>
      </c>
      <c r="D529" s="8" t="s">
        <v>24</v>
      </c>
      <c r="E529">
        <v>115</v>
      </c>
      <c r="F529">
        <v>0.92</v>
      </c>
      <c r="N529">
        <f t="shared" si="24"/>
        <v>25.482483686666665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3.4714780000000003</v>
      </c>
      <c r="P529">
        <f t="shared" si="25"/>
        <v>3.4714780000000003</v>
      </c>
      <c r="S529">
        <f t="shared" si="26"/>
        <v>0.66476044400000001</v>
      </c>
    </row>
    <row r="530" spans="1:19">
      <c r="A530" s="7">
        <v>42277</v>
      </c>
      <c r="B530" s="8" t="s">
        <v>31</v>
      </c>
      <c r="C530">
        <v>3</v>
      </c>
      <c r="D530" s="8" t="s">
        <v>24</v>
      </c>
      <c r="E530">
        <v>125</v>
      </c>
      <c r="F530">
        <v>1.19</v>
      </c>
      <c r="G530">
        <v>3</v>
      </c>
      <c r="N530">
        <f t="shared" si="24"/>
        <v>46.341724989583327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6.3056327522170736</v>
      </c>
      <c r="P530">
        <f t="shared" si="25"/>
        <v>6.3056327522170736</v>
      </c>
      <c r="S530">
        <f t="shared" si="26"/>
        <v>1.11220139975</v>
      </c>
    </row>
    <row r="531" spans="1:19">
      <c r="A531" s="7">
        <v>42277</v>
      </c>
      <c r="B531" s="8" t="s">
        <v>31</v>
      </c>
      <c r="C531">
        <v>3</v>
      </c>
      <c r="D531" s="8" t="s">
        <v>24</v>
      </c>
      <c r="E531">
        <v>85</v>
      </c>
      <c r="F531">
        <v>1.3</v>
      </c>
      <c r="N531">
        <f t="shared" si="24"/>
        <v>37.607450291666666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1.368328</v>
      </c>
      <c r="P531">
        <f t="shared" si="25"/>
        <v>1.368328</v>
      </c>
      <c r="S531">
        <f t="shared" si="26"/>
        <v>1.3273217750000001</v>
      </c>
    </row>
    <row r="532" spans="1:19">
      <c r="A532" s="7">
        <v>42277</v>
      </c>
      <c r="B532" s="8" t="s">
        <v>31</v>
      </c>
      <c r="C532">
        <v>3</v>
      </c>
      <c r="D532" s="8" t="s">
        <v>24</v>
      </c>
      <c r="E532">
        <v>122</v>
      </c>
      <c r="F532">
        <v>1</v>
      </c>
      <c r="G532">
        <v>3</v>
      </c>
      <c r="N532">
        <f t="shared" si="24"/>
        <v>31.939498333333329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5.7263467918818334</v>
      </c>
      <c r="P532">
        <f t="shared" si="25"/>
        <v>5.7263467918818334</v>
      </c>
      <c r="S532">
        <f t="shared" si="26"/>
        <v>0.78539749999999997</v>
      </c>
    </row>
    <row r="533" spans="1:19">
      <c r="A533" s="7">
        <v>42277</v>
      </c>
      <c r="B533" s="8" t="s">
        <v>31</v>
      </c>
      <c r="C533">
        <v>3</v>
      </c>
      <c r="D533" s="8" t="s">
        <v>24</v>
      </c>
      <c r="E533">
        <v>113</v>
      </c>
      <c r="F533">
        <v>1.01</v>
      </c>
      <c r="N533">
        <f t="shared" si="24"/>
        <v>30.177930280583332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3.3312680000000006</v>
      </c>
      <c r="P533">
        <f t="shared" si="25"/>
        <v>3.3312680000000006</v>
      </c>
      <c r="S533">
        <f t="shared" si="26"/>
        <v>0.80118398974999994</v>
      </c>
    </row>
    <row r="534" spans="1:19">
      <c r="A534" s="7">
        <v>42277</v>
      </c>
      <c r="B534" s="8" t="s">
        <v>31</v>
      </c>
      <c r="C534">
        <v>3</v>
      </c>
      <c r="D534" s="8" t="s">
        <v>24</v>
      </c>
      <c r="E534">
        <v>128</v>
      </c>
      <c r="F534">
        <v>1.25</v>
      </c>
      <c r="G534">
        <v>5</v>
      </c>
      <c r="N534">
        <f t="shared" si="24"/>
        <v>52.359833333333327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6.6149425571833333</v>
      </c>
      <c r="P534">
        <f t="shared" si="25"/>
        <v>6.6149425571833333</v>
      </c>
      <c r="S534">
        <f t="shared" si="26"/>
        <v>1.22718359375</v>
      </c>
    </row>
    <row r="535" spans="1:19">
      <c r="A535" s="7">
        <v>42277</v>
      </c>
      <c r="B535" s="8" t="s">
        <v>31</v>
      </c>
      <c r="C535">
        <v>3</v>
      </c>
      <c r="D535" s="8" t="s">
        <v>24</v>
      </c>
      <c r="E535">
        <v>80</v>
      </c>
      <c r="F535">
        <v>0.94</v>
      </c>
      <c r="N535">
        <f t="shared" si="24"/>
        <v>18.506059493333332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1.0178029999999998</v>
      </c>
      <c r="P535">
        <f t="shared" si="25"/>
        <v>1.0178029999999998</v>
      </c>
      <c r="S535">
        <f t="shared" si="26"/>
        <v>0.69397723099999997</v>
      </c>
    </row>
    <row r="536" spans="1:19">
      <c r="A536" s="7">
        <v>42277</v>
      </c>
      <c r="B536" s="8" t="s">
        <v>31</v>
      </c>
      <c r="C536">
        <v>3</v>
      </c>
      <c r="D536" s="8" t="s">
        <v>24</v>
      </c>
      <c r="E536">
        <v>140</v>
      </c>
      <c r="F536">
        <v>1.63</v>
      </c>
      <c r="G536">
        <v>4</v>
      </c>
      <c r="N536">
        <f t="shared" si="24"/>
        <v>97.380388828333309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8.5267301626222789</v>
      </c>
      <c r="P536">
        <f t="shared" si="25"/>
        <v>8.5267301626222789</v>
      </c>
      <c r="S536">
        <f t="shared" si="26"/>
        <v>2.0867226177499996</v>
      </c>
    </row>
    <row r="537" spans="1:19">
      <c r="A537" s="7">
        <v>42277</v>
      </c>
      <c r="B537" s="8" t="s">
        <v>31</v>
      </c>
      <c r="C537">
        <v>3</v>
      </c>
      <c r="D537" s="8" t="s">
        <v>24</v>
      </c>
      <c r="E537">
        <v>80</v>
      </c>
      <c r="F537">
        <v>1.3</v>
      </c>
      <c r="N537">
        <f t="shared" si="24"/>
        <v>35.39524733333333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1.0178029999999998</v>
      </c>
      <c r="P537">
        <f t="shared" si="25"/>
        <v>1.0178029999999998</v>
      </c>
      <c r="S537">
        <f t="shared" si="26"/>
        <v>1.3273217750000001</v>
      </c>
    </row>
    <row r="538" spans="1:19">
      <c r="A538" s="7">
        <v>42277</v>
      </c>
      <c r="B538" s="8" t="s">
        <v>31</v>
      </c>
      <c r="C538">
        <v>3</v>
      </c>
      <c r="D538" s="8" t="s">
        <v>24</v>
      </c>
      <c r="E538">
        <v>108</v>
      </c>
      <c r="F538">
        <v>0.96</v>
      </c>
      <c r="N538">
        <f t="shared" si="24"/>
        <v>26.057604095999995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2.9807430000000004</v>
      </c>
      <c r="P538">
        <f t="shared" si="25"/>
        <v>2.9807430000000004</v>
      </c>
      <c r="S538">
        <f t="shared" si="26"/>
        <v>0.7238223359999999</v>
      </c>
    </row>
    <row r="539" spans="1:19">
      <c r="A539" s="7">
        <v>42277</v>
      </c>
      <c r="B539" s="8" t="s">
        <v>31</v>
      </c>
      <c r="C539">
        <v>3</v>
      </c>
      <c r="D539" s="8" t="s">
        <v>24</v>
      </c>
      <c r="E539">
        <v>68</v>
      </c>
      <c r="F539">
        <v>1.5</v>
      </c>
      <c r="N539">
        <f t="shared" si="24"/>
        <v>40.055272499999994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0.17654300000000056</v>
      </c>
      <c r="P539">
        <f t="shared" si="25"/>
        <v>0.17654300000000056</v>
      </c>
      <c r="S539">
        <f t="shared" si="26"/>
        <v>1.767144375</v>
      </c>
    </row>
    <row r="540" spans="1:19">
      <c r="A540" s="7">
        <v>42277</v>
      </c>
      <c r="B540" s="8" t="s">
        <v>31</v>
      </c>
      <c r="C540">
        <v>3</v>
      </c>
      <c r="D540" s="8" t="s">
        <v>24</v>
      </c>
      <c r="E540">
        <v>55</v>
      </c>
      <c r="F540">
        <v>0.81</v>
      </c>
      <c r="N540">
        <f t="shared" si="24"/>
        <v>9.4471538287500003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-0.73482199999999986</v>
      </c>
      <c r="P540" t="str">
        <f t="shared" si="25"/>
        <v xml:space="preserve"> </v>
      </c>
      <c r="S540">
        <f t="shared" si="26"/>
        <v>0.51529929975000011</v>
      </c>
    </row>
    <row r="541" spans="1:19">
      <c r="A541" s="7">
        <v>42277</v>
      </c>
      <c r="B541" s="8" t="s">
        <v>31</v>
      </c>
      <c r="C541">
        <v>3</v>
      </c>
      <c r="D541" s="8" t="s">
        <v>24</v>
      </c>
      <c r="E541">
        <v>101</v>
      </c>
      <c r="F541">
        <v>1.46</v>
      </c>
      <c r="N541">
        <f t="shared" si="24"/>
        <v>56.363161470333324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2.4900080000000004</v>
      </c>
      <c r="P541">
        <f t="shared" si="25"/>
        <v>2.4900080000000004</v>
      </c>
      <c r="S541">
        <f t="shared" si="26"/>
        <v>1.6741533109999998</v>
      </c>
    </row>
    <row r="542" spans="1:19">
      <c r="A542" s="7">
        <v>42277</v>
      </c>
      <c r="B542" s="8" t="s">
        <v>31</v>
      </c>
      <c r="C542">
        <v>3</v>
      </c>
      <c r="D542" s="8" t="s">
        <v>24</v>
      </c>
      <c r="E542">
        <v>100</v>
      </c>
      <c r="F542">
        <v>1.4</v>
      </c>
      <c r="G542">
        <v>1</v>
      </c>
      <c r="N542">
        <f t="shared" si="24"/>
        <v>51.312636666666656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5.5030230820396664</v>
      </c>
      <c r="P542">
        <f t="shared" si="25"/>
        <v>5.5030230820396664</v>
      </c>
      <c r="S542">
        <f t="shared" si="26"/>
        <v>1.5393790999999997</v>
      </c>
    </row>
    <row r="543" spans="1:19">
      <c r="A543" s="7">
        <v>42277</v>
      </c>
      <c r="B543" s="8" t="s">
        <v>31</v>
      </c>
      <c r="C543">
        <v>3</v>
      </c>
      <c r="D543" s="8" t="s">
        <v>24</v>
      </c>
      <c r="E543">
        <v>42</v>
      </c>
      <c r="F543">
        <v>0.69</v>
      </c>
      <c r="N543">
        <f t="shared" si="24"/>
        <v>5.2349884964999989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-1.6461869999999998</v>
      </c>
      <c r="P543" t="str">
        <f t="shared" si="25"/>
        <v xml:space="preserve"> </v>
      </c>
      <c r="S543">
        <f t="shared" si="26"/>
        <v>0.37392774974999993</v>
      </c>
    </row>
    <row r="544" spans="1:19">
      <c r="A544" s="7">
        <v>42277</v>
      </c>
      <c r="B544" s="8" t="s">
        <v>31</v>
      </c>
      <c r="C544">
        <v>3</v>
      </c>
      <c r="D544" s="8" t="s">
        <v>24</v>
      </c>
      <c r="E544">
        <v>55</v>
      </c>
      <c r="F544">
        <v>1.03</v>
      </c>
      <c r="N544">
        <f t="shared" si="24"/>
        <v>15.275850475416666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-0.73482199999999986</v>
      </c>
      <c r="P544" t="str">
        <f t="shared" si="25"/>
        <v xml:space="preserve"> </v>
      </c>
      <c r="S544">
        <f t="shared" si="26"/>
        <v>0.83322820774999995</v>
      </c>
    </row>
    <row r="545" spans="1:19">
      <c r="A545" s="7">
        <v>42277</v>
      </c>
      <c r="B545" s="8" t="s">
        <v>31</v>
      </c>
      <c r="C545">
        <v>3</v>
      </c>
      <c r="D545" s="8" t="s">
        <v>20</v>
      </c>
      <c r="F545">
        <v>2.4300000000000002</v>
      </c>
      <c r="J545">
        <f>74+77+83+116+126+139+159+165</f>
        <v>939</v>
      </c>
      <c r="K545">
        <v>8</v>
      </c>
      <c r="L545">
        <v>165</v>
      </c>
      <c r="N545" t="str">
        <f t="shared" si="24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15.188679999999998</v>
      </c>
      <c r="P545">
        <f t="shared" si="25"/>
        <v>15.188679999999998</v>
      </c>
      <c r="S545">
        <f t="shared" si="26"/>
        <v>4.6376936977500005</v>
      </c>
    </row>
    <row r="546" spans="1:19">
      <c r="A546" s="7">
        <v>42277</v>
      </c>
      <c r="B546" s="8" t="s">
        <v>31</v>
      </c>
      <c r="C546">
        <v>3</v>
      </c>
      <c r="D546" s="8" t="s">
        <v>24</v>
      </c>
      <c r="E546">
        <v>88</v>
      </c>
      <c r="F546">
        <v>0.82</v>
      </c>
      <c r="N546">
        <f t="shared" si="24"/>
        <v>15.490970850666663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1.5786430000000005</v>
      </c>
      <c r="P546">
        <f t="shared" si="25"/>
        <v>1.5786430000000005</v>
      </c>
      <c r="S546">
        <f t="shared" si="26"/>
        <v>0.52810127899999992</v>
      </c>
    </row>
    <row r="547" spans="1:19">
      <c r="A547" s="7">
        <v>42277</v>
      </c>
      <c r="B547" s="8" t="s">
        <v>31</v>
      </c>
      <c r="C547">
        <v>3</v>
      </c>
      <c r="D547" s="8" t="s">
        <v>24</v>
      </c>
      <c r="E547">
        <v>125</v>
      </c>
      <c r="F547">
        <v>1.95</v>
      </c>
      <c r="G547">
        <v>5</v>
      </c>
      <c r="N547">
        <f t="shared" si="24"/>
        <v>124.43641640624998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8.8203521010560149</v>
      </c>
      <c r="P547">
        <f t="shared" si="25"/>
        <v>8.8203521010560149</v>
      </c>
      <c r="S547">
        <f t="shared" si="26"/>
        <v>2.9864739937499998</v>
      </c>
    </row>
    <row r="548" spans="1:19">
      <c r="A548" s="7">
        <v>42277</v>
      </c>
      <c r="B548" s="8" t="s">
        <v>31</v>
      </c>
      <c r="C548">
        <v>3</v>
      </c>
      <c r="D548" s="8" t="s">
        <v>24</v>
      </c>
      <c r="E548">
        <v>87</v>
      </c>
      <c r="F548">
        <v>0.98</v>
      </c>
      <c r="N548">
        <f t="shared" si="24"/>
        <v>21.874577010999996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1.5085380000000006</v>
      </c>
      <c r="P548">
        <f t="shared" si="25"/>
        <v>1.5085380000000006</v>
      </c>
      <c r="S548">
        <f t="shared" si="26"/>
        <v>0.7542957589999999</v>
      </c>
    </row>
    <row r="549" spans="1:19">
      <c r="A549" s="7">
        <v>42277</v>
      </c>
      <c r="B549" s="8" t="s">
        <v>31</v>
      </c>
      <c r="C549">
        <v>3</v>
      </c>
      <c r="D549" s="8" t="s">
        <v>24</v>
      </c>
      <c r="E549">
        <v>63</v>
      </c>
      <c r="F549">
        <v>0.91</v>
      </c>
      <c r="N549">
        <f t="shared" si="24"/>
        <v>13.65814106475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-0.17398199999999964</v>
      </c>
      <c r="P549" t="str">
        <f t="shared" si="25"/>
        <v xml:space="preserve"> </v>
      </c>
      <c r="S549">
        <f t="shared" si="26"/>
        <v>0.65038766975000006</v>
      </c>
    </row>
    <row r="550" spans="1:19">
      <c r="A550" s="7">
        <v>42277</v>
      </c>
      <c r="B550" s="8" t="s">
        <v>31</v>
      </c>
      <c r="C550">
        <v>3</v>
      </c>
      <c r="D550" s="8" t="s">
        <v>24</v>
      </c>
      <c r="E550">
        <v>106</v>
      </c>
      <c r="F550">
        <v>1.9</v>
      </c>
      <c r="G550">
        <v>3</v>
      </c>
      <c r="N550">
        <f t="shared" si="24"/>
        <v>100.18006911666666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7.3076409876188713</v>
      </c>
      <c r="P550">
        <f t="shared" si="25"/>
        <v>7.3076409876188713</v>
      </c>
      <c r="S550">
        <f t="shared" si="26"/>
        <v>2.835284975</v>
      </c>
    </row>
    <row r="551" spans="1:19">
      <c r="A551" s="7">
        <v>42277</v>
      </c>
      <c r="B551" s="8" t="s">
        <v>31</v>
      </c>
      <c r="C551">
        <v>3</v>
      </c>
      <c r="D551" s="8" t="s">
        <v>24</v>
      </c>
      <c r="E551">
        <v>127</v>
      </c>
      <c r="F551">
        <v>0.93</v>
      </c>
      <c r="N551">
        <f t="shared" si="24"/>
        <v>28.756622604750003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4.3127380000000004</v>
      </c>
      <c r="P551">
        <f t="shared" si="25"/>
        <v>4.3127380000000004</v>
      </c>
      <c r="S551">
        <f t="shared" si="26"/>
        <v>0.67929029775000005</v>
      </c>
    </row>
    <row r="552" spans="1:19">
      <c r="A552" s="7">
        <v>42277</v>
      </c>
      <c r="B552" s="8" t="s">
        <v>31</v>
      </c>
      <c r="C552">
        <v>3</v>
      </c>
      <c r="D552" s="8" t="s">
        <v>24</v>
      </c>
      <c r="E552">
        <v>46</v>
      </c>
      <c r="F552">
        <v>0.93</v>
      </c>
      <c r="N552">
        <f t="shared" si="24"/>
        <v>10.415784565500001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-1.365767</v>
      </c>
      <c r="P552" t="str">
        <f t="shared" si="25"/>
        <v xml:space="preserve"> </v>
      </c>
      <c r="S552">
        <f t="shared" si="26"/>
        <v>0.67929029775000005</v>
      </c>
    </row>
    <row r="553" spans="1:19">
      <c r="A553" s="7">
        <v>42277</v>
      </c>
      <c r="B553" s="8" t="s">
        <v>31</v>
      </c>
      <c r="C553">
        <v>3</v>
      </c>
      <c r="D553" s="8" t="s">
        <v>24</v>
      </c>
      <c r="E553">
        <v>34</v>
      </c>
      <c r="F553">
        <v>0.85</v>
      </c>
      <c r="N553">
        <f t="shared" si="24"/>
        <v>6.4310965291666653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-2.2070269999999996</v>
      </c>
      <c r="P553" t="str">
        <f t="shared" si="25"/>
        <v xml:space="preserve"> </v>
      </c>
      <c r="S553">
        <f t="shared" si="26"/>
        <v>0.56744969374999987</v>
      </c>
    </row>
    <row r="554" spans="1:19">
      <c r="A554" s="7">
        <v>42277</v>
      </c>
      <c r="B554" s="8" t="s">
        <v>32</v>
      </c>
      <c r="C554">
        <v>50</v>
      </c>
      <c r="D554" s="8" t="s">
        <v>20</v>
      </c>
      <c r="F554">
        <v>9.14</v>
      </c>
      <c r="J554">
        <f>300+325+326+348+344+348+359+368</f>
        <v>2718</v>
      </c>
      <c r="K554">
        <v>8</v>
      </c>
      <c r="L554">
        <v>368</v>
      </c>
      <c r="N554" t="str">
        <f t="shared" si="24"/>
        <v>NA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120.82609000000002</v>
      </c>
      <c r="P554">
        <f t="shared" si="25"/>
        <v>120.82609000000002</v>
      </c>
      <c r="S554">
        <f t="shared" si="26"/>
        <v>65.611792991000002</v>
      </c>
    </row>
    <row r="555" spans="1:19">
      <c r="A555" s="7">
        <v>42277</v>
      </c>
      <c r="B555" s="8" t="s">
        <v>32</v>
      </c>
      <c r="C555">
        <v>50</v>
      </c>
      <c r="D555" s="8" t="s">
        <v>20</v>
      </c>
      <c r="F555">
        <v>4.99</v>
      </c>
      <c r="J555">
        <f>105+130+179+196+258+265</f>
        <v>1133</v>
      </c>
      <c r="K555">
        <v>6</v>
      </c>
      <c r="L555">
        <v>265</v>
      </c>
      <c r="N555" t="str">
        <f t="shared" si="24"/>
        <v>NA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17.297356000000001</v>
      </c>
      <c r="P555">
        <f t="shared" si="25"/>
        <v>17.297356000000001</v>
      </c>
      <c r="S555">
        <f t="shared" si="26"/>
        <v>19.556476289750002</v>
      </c>
    </row>
    <row r="556" spans="1:19">
      <c r="A556" s="7">
        <v>42277</v>
      </c>
      <c r="B556" s="8" t="s">
        <v>32</v>
      </c>
      <c r="C556">
        <v>50</v>
      </c>
      <c r="D556" s="8" t="s">
        <v>20</v>
      </c>
      <c r="F556">
        <v>3.69</v>
      </c>
      <c r="J556">
        <f>69+69+134+178+200</f>
        <v>650</v>
      </c>
      <c r="K556">
        <v>5</v>
      </c>
      <c r="L556">
        <v>200</v>
      </c>
      <c r="N556" t="str">
        <f t="shared" si="24"/>
        <v>NA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-1.3830309999999955</v>
      </c>
      <c r="P556" t="str">
        <f t="shared" si="25"/>
        <v xml:space="preserve"> </v>
      </c>
      <c r="S556">
        <f t="shared" si="26"/>
        <v>10.69405089975</v>
      </c>
    </row>
    <row r="557" spans="1:19">
      <c r="A557" s="7">
        <v>42277</v>
      </c>
      <c r="B557" s="8" t="s">
        <v>32</v>
      </c>
      <c r="C557">
        <v>34</v>
      </c>
      <c r="D557" s="8" t="s">
        <v>20</v>
      </c>
      <c r="F557">
        <v>1.39</v>
      </c>
      <c r="J557">
        <f>39+60+75+93+108+120</f>
        <v>495</v>
      </c>
      <c r="K557">
        <v>6</v>
      </c>
      <c r="L557">
        <v>120</v>
      </c>
      <c r="N557" t="str">
        <f t="shared" si="24"/>
        <v>NA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1.162191</v>
      </c>
      <c r="P557">
        <f t="shared" si="25"/>
        <v>1.162191</v>
      </c>
      <c r="S557">
        <f t="shared" si="26"/>
        <v>1.5174665097499997</v>
      </c>
    </row>
    <row r="558" spans="1:19">
      <c r="A558" s="7">
        <v>42277</v>
      </c>
      <c r="B558" s="8" t="s">
        <v>32</v>
      </c>
      <c r="C558">
        <v>34</v>
      </c>
      <c r="D558" s="8" t="s">
        <v>20</v>
      </c>
      <c r="F558">
        <v>0.74</v>
      </c>
      <c r="J558">
        <f>82+107+127+138+151</f>
        <v>605</v>
      </c>
      <c r="K558">
        <v>5</v>
      </c>
      <c r="L558">
        <v>151</v>
      </c>
      <c r="N558" t="str">
        <f t="shared" si="24"/>
        <v>NA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9.1589990000000014</v>
      </c>
      <c r="P558">
        <f t="shared" si="25"/>
        <v>9.1589990000000014</v>
      </c>
      <c r="S558">
        <f t="shared" si="26"/>
        <v>0.43008367099999995</v>
      </c>
    </row>
    <row r="559" spans="1:19">
      <c r="A559" s="7">
        <v>42277</v>
      </c>
      <c r="B559" s="8" t="s">
        <v>32</v>
      </c>
      <c r="C559">
        <v>34</v>
      </c>
      <c r="D559" s="8" t="s">
        <v>20</v>
      </c>
      <c r="F559">
        <v>2.2000000000000002</v>
      </c>
      <c r="J559">
        <f>71+99+111+120+136</f>
        <v>537</v>
      </c>
      <c r="K559">
        <v>5</v>
      </c>
      <c r="L559">
        <v>136</v>
      </c>
      <c r="N559" t="str">
        <f t="shared" si="24"/>
        <v>NA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7.3023340000000019</v>
      </c>
      <c r="P559">
        <f t="shared" si="25"/>
        <v>7.3023340000000019</v>
      </c>
      <c r="S559">
        <f t="shared" si="26"/>
        <v>3.8013239000000003</v>
      </c>
    </row>
    <row r="560" spans="1:19">
      <c r="A560" s="7">
        <v>42277</v>
      </c>
      <c r="B560" s="8" t="s">
        <v>32</v>
      </c>
      <c r="C560">
        <v>34</v>
      </c>
      <c r="D560" s="8" t="s">
        <v>20</v>
      </c>
      <c r="F560">
        <v>1.89</v>
      </c>
      <c r="J560">
        <f>70+58+84+103+109+122+122</f>
        <v>668</v>
      </c>
      <c r="K560">
        <v>7</v>
      </c>
      <c r="L560">
        <v>122</v>
      </c>
      <c r="N560" t="str">
        <f t="shared" si="24"/>
        <v>NA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9.756963000000006</v>
      </c>
      <c r="P560">
        <f t="shared" si="25"/>
        <v>9.756963000000006</v>
      </c>
      <c r="S560">
        <f t="shared" si="26"/>
        <v>2.8055184097499999</v>
      </c>
    </row>
    <row r="561" spans="1:19">
      <c r="A561" s="7">
        <v>42277</v>
      </c>
      <c r="B561" s="8" t="s">
        <v>32</v>
      </c>
      <c r="C561">
        <v>34</v>
      </c>
      <c r="D561" s="8" t="s">
        <v>20</v>
      </c>
      <c r="F561">
        <v>1.02</v>
      </c>
      <c r="J561">
        <f>33+60+62+86+89</f>
        <v>330</v>
      </c>
      <c r="K561">
        <v>5</v>
      </c>
      <c r="L561">
        <v>89</v>
      </c>
      <c r="N561" t="str">
        <f t="shared" si="24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2.0535640000000015</v>
      </c>
      <c r="P561">
        <f t="shared" si="25"/>
        <v>2.0535640000000015</v>
      </c>
      <c r="S561">
        <f t="shared" si="26"/>
        <v>0.817127559</v>
      </c>
    </row>
    <row r="562" spans="1:19">
      <c r="A562" s="7">
        <v>42277</v>
      </c>
      <c r="B562" s="8" t="s">
        <v>32</v>
      </c>
      <c r="C562">
        <v>34</v>
      </c>
      <c r="D562" s="8" t="s">
        <v>20</v>
      </c>
      <c r="F562">
        <v>6.44</v>
      </c>
      <c r="J562">
        <f>105+142+149+165+174+183+197</f>
        <v>1115</v>
      </c>
      <c r="K562">
        <v>7</v>
      </c>
      <c r="L562">
        <v>197</v>
      </c>
      <c r="N562" t="str">
        <f t="shared" si="24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29.07207300000001</v>
      </c>
      <c r="P562">
        <f t="shared" si="25"/>
        <v>29.07207300000001</v>
      </c>
      <c r="S562">
        <f t="shared" si="26"/>
        <v>32.573261756000001</v>
      </c>
    </row>
    <row r="563" spans="1:19">
      <c r="A563" s="7">
        <v>42277</v>
      </c>
      <c r="B563" s="8" t="s">
        <v>32</v>
      </c>
      <c r="C563">
        <v>34</v>
      </c>
      <c r="D563" s="8" t="s">
        <v>20</v>
      </c>
      <c r="F563">
        <v>4.6399999999999997</v>
      </c>
      <c r="J563">
        <f>129+139+140+150+155+155</f>
        <v>868</v>
      </c>
      <c r="K563">
        <v>6</v>
      </c>
      <c r="L563">
        <v>155</v>
      </c>
      <c r="N563" t="str">
        <f t="shared" si="24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25.589230999999998</v>
      </c>
      <c r="P563">
        <f t="shared" si="25"/>
        <v>25.589230999999998</v>
      </c>
      <c r="S563">
        <f t="shared" si="26"/>
        <v>16.909294015999997</v>
      </c>
    </row>
    <row r="564" spans="1:19">
      <c r="A564" s="7">
        <v>42277</v>
      </c>
      <c r="B564" s="8" t="s">
        <v>32</v>
      </c>
      <c r="C564">
        <v>34</v>
      </c>
      <c r="D564" s="8" t="s">
        <v>20</v>
      </c>
      <c r="F564">
        <v>2.29</v>
      </c>
      <c r="J564">
        <f>50+76+105+108+133+141+153</f>
        <v>766</v>
      </c>
      <c r="K564">
        <v>7</v>
      </c>
      <c r="L564">
        <v>153</v>
      </c>
      <c r="N564" t="str">
        <f t="shared" si="24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9.6063580000000073</v>
      </c>
      <c r="P564">
        <f t="shared" si="25"/>
        <v>9.6063580000000073</v>
      </c>
      <c r="S564">
        <f t="shared" si="26"/>
        <v>4.1187030297499998</v>
      </c>
    </row>
    <row r="565" spans="1:19">
      <c r="A565" s="7">
        <v>42277</v>
      </c>
      <c r="B565" s="8" t="s">
        <v>32</v>
      </c>
      <c r="C565">
        <v>27</v>
      </c>
      <c r="D565" s="8" t="s">
        <v>24</v>
      </c>
      <c r="E565">
        <v>117</v>
      </c>
      <c r="F565">
        <v>0.56999999999999995</v>
      </c>
      <c r="N565">
        <f t="shared" si="24"/>
        <v>9.951850262249998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3.611688</v>
      </c>
      <c r="P565">
        <f t="shared" si="25"/>
        <v>3.611688</v>
      </c>
      <c r="S565">
        <f t="shared" si="26"/>
        <v>0.25517564774999996</v>
      </c>
    </row>
    <row r="566" spans="1:19">
      <c r="A566" s="7">
        <v>42277</v>
      </c>
      <c r="B566" s="8" t="s">
        <v>32</v>
      </c>
      <c r="C566">
        <v>27</v>
      </c>
      <c r="D566" s="8" t="s">
        <v>24</v>
      </c>
      <c r="E566">
        <v>153</v>
      </c>
      <c r="F566">
        <v>0.63</v>
      </c>
      <c r="N566">
        <f t="shared" si="24"/>
        <v>15.897937655250001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6.1354680000000004</v>
      </c>
      <c r="P566">
        <f t="shared" si="25"/>
        <v>6.1354680000000004</v>
      </c>
      <c r="S566">
        <f t="shared" si="26"/>
        <v>0.31172426775000001</v>
      </c>
    </row>
    <row r="567" spans="1:19">
      <c r="A567" s="7">
        <v>42277</v>
      </c>
      <c r="B567" s="8" t="s">
        <v>32</v>
      </c>
      <c r="C567">
        <v>27</v>
      </c>
      <c r="D567" s="8" t="s">
        <v>24</v>
      </c>
      <c r="E567">
        <v>126</v>
      </c>
      <c r="F567">
        <v>0.51</v>
      </c>
      <c r="N567">
        <f t="shared" si="24"/>
        <v>8.5798393694999984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4.2426330000000005</v>
      </c>
      <c r="P567">
        <f t="shared" si="25"/>
        <v>4.2426330000000005</v>
      </c>
      <c r="S567">
        <f t="shared" si="26"/>
        <v>0.20428188975</v>
      </c>
    </row>
    <row r="568" spans="1:19">
      <c r="A568" s="7">
        <v>42277</v>
      </c>
      <c r="B568" s="8" t="s">
        <v>32</v>
      </c>
      <c r="C568">
        <v>27</v>
      </c>
      <c r="D568" s="8" t="s">
        <v>24</v>
      </c>
      <c r="E568">
        <v>67</v>
      </c>
      <c r="F568">
        <v>0.32</v>
      </c>
      <c r="N568">
        <f t="shared" si="24"/>
        <v>1.7961517226666666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0.10643799999999981</v>
      </c>
      <c r="P568">
        <f t="shared" si="25"/>
        <v>0.10643799999999981</v>
      </c>
      <c r="S568">
        <f t="shared" si="26"/>
        <v>8.0424704E-2</v>
      </c>
    </row>
    <row r="569" spans="1:19">
      <c r="A569" s="7">
        <v>42277</v>
      </c>
      <c r="B569" s="8" t="s">
        <v>32</v>
      </c>
      <c r="C569">
        <v>27</v>
      </c>
      <c r="D569" s="8" t="s">
        <v>24</v>
      </c>
      <c r="E569">
        <v>127</v>
      </c>
      <c r="F569">
        <v>0.16</v>
      </c>
      <c r="N569">
        <f t="shared" si="24"/>
        <v>0.85116145066666671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4.3127380000000004</v>
      </c>
      <c r="P569">
        <f t="shared" si="25"/>
        <v>4.3127380000000004</v>
      </c>
      <c r="S569">
        <f t="shared" si="26"/>
        <v>2.0106176E-2</v>
      </c>
    </row>
    <row r="570" spans="1:19">
      <c r="A570" s="7">
        <v>42277</v>
      </c>
      <c r="B570" s="8" t="s">
        <v>32</v>
      </c>
      <c r="C570">
        <v>27</v>
      </c>
      <c r="D570" s="8" t="s">
        <v>24</v>
      </c>
      <c r="E570">
        <v>142</v>
      </c>
      <c r="F570">
        <v>0.77</v>
      </c>
      <c r="N570">
        <f t="shared" si="24"/>
        <v>22.041343080166662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5.3643130000000001</v>
      </c>
      <c r="P570">
        <f t="shared" si="25"/>
        <v>5.3643130000000001</v>
      </c>
      <c r="S570">
        <f t="shared" si="26"/>
        <v>0.46566217774999996</v>
      </c>
    </row>
    <row r="571" spans="1:19">
      <c r="A571" s="7">
        <v>42277</v>
      </c>
      <c r="B571" s="8" t="s">
        <v>32</v>
      </c>
      <c r="C571">
        <v>27</v>
      </c>
      <c r="D571" s="8" t="s">
        <v>24</v>
      </c>
      <c r="E571">
        <v>69</v>
      </c>
      <c r="F571">
        <v>0.35</v>
      </c>
      <c r="N571">
        <f t="shared" si="24"/>
        <v>2.2128574562499996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0.24664800000000042</v>
      </c>
      <c r="P571">
        <f t="shared" si="25"/>
        <v>0.24664800000000042</v>
      </c>
      <c r="S571">
        <f t="shared" si="26"/>
        <v>9.6211193749999979E-2</v>
      </c>
    </row>
    <row r="572" spans="1:19">
      <c r="A572" s="7">
        <v>42277</v>
      </c>
      <c r="B572" s="8" t="s">
        <v>32</v>
      </c>
      <c r="C572">
        <v>27</v>
      </c>
      <c r="D572" s="8" t="s">
        <v>24</v>
      </c>
      <c r="E572">
        <v>144</v>
      </c>
      <c r="F572">
        <v>1.02</v>
      </c>
      <c r="N572">
        <f t="shared" si="24"/>
        <v>39.22212283199999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5.5045229999999998</v>
      </c>
      <c r="P572">
        <f t="shared" si="25"/>
        <v>5.5045229999999998</v>
      </c>
      <c r="S572">
        <f t="shared" si="26"/>
        <v>0.817127559</v>
      </c>
    </row>
    <row r="573" spans="1:19">
      <c r="A573" s="7">
        <v>42277</v>
      </c>
      <c r="B573" s="8" t="s">
        <v>32</v>
      </c>
      <c r="C573">
        <v>27</v>
      </c>
      <c r="D573" s="8" t="s">
        <v>24</v>
      </c>
      <c r="E573">
        <v>139</v>
      </c>
      <c r="F573">
        <v>0.76</v>
      </c>
      <c r="N573">
        <f t="shared" si="24"/>
        <v>21.018912614666664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5.1539980000000005</v>
      </c>
      <c r="P573">
        <f t="shared" si="25"/>
        <v>5.1539980000000005</v>
      </c>
      <c r="S573">
        <f t="shared" si="26"/>
        <v>0.45364559599999998</v>
      </c>
    </row>
    <row r="574" spans="1:19">
      <c r="A574" s="7">
        <v>42277</v>
      </c>
      <c r="B574" s="8" t="s">
        <v>32</v>
      </c>
      <c r="C574">
        <v>27</v>
      </c>
      <c r="D574" s="8" t="s">
        <v>24</v>
      </c>
      <c r="E574">
        <v>120</v>
      </c>
      <c r="F574">
        <v>0.8</v>
      </c>
      <c r="N574">
        <f t="shared" si="24"/>
        <v>20.106176000000001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3.8220029999999996</v>
      </c>
      <c r="P574">
        <f t="shared" si="25"/>
        <v>3.8220029999999996</v>
      </c>
      <c r="S574">
        <f t="shared" si="26"/>
        <v>0.50265440000000006</v>
      </c>
    </row>
    <row r="575" spans="1:19">
      <c r="A575" s="7">
        <v>42277</v>
      </c>
      <c r="B575" s="8" t="s">
        <v>32</v>
      </c>
      <c r="C575">
        <v>27</v>
      </c>
      <c r="D575" s="8" t="s">
        <v>24</v>
      </c>
      <c r="E575">
        <v>134</v>
      </c>
      <c r="F575">
        <v>0.43</v>
      </c>
      <c r="N575">
        <f t="shared" si="24"/>
        <v>6.4864932328333316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4.8034729999999994</v>
      </c>
      <c r="P575">
        <f t="shared" si="25"/>
        <v>4.8034729999999994</v>
      </c>
      <c r="S575">
        <f t="shared" si="26"/>
        <v>0.14521999774999997</v>
      </c>
    </row>
    <row r="576" spans="1:19">
      <c r="A576" s="7">
        <v>42277</v>
      </c>
      <c r="B576" s="8" t="s">
        <v>32</v>
      </c>
      <c r="C576">
        <v>27</v>
      </c>
      <c r="D576" s="8" t="s">
        <v>24</v>
      </c>
      <c r="E576">
        <v>131</v>
      </c>
      <c r="F576">
        <v>1.01</v>
      </c>
      <c r="N576">
        <f t="shared" si="24"/>
        <v>34.985034219083332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4.5931579999999999</v>
      </c>
      <c r="P576">
        <f t="shared" si="25"/>
        <v>4.5931579999999999</v>
      </c>
      <c r="S576">
        <f t="shared" si="26"/>
        <v>0.80118398974999994</v>
      </c>
    </row>
    <row r="577" spans="1:19">
      <c r="A577" s="7">
        <v>42277</v>
      </c>
      <c r="B577" s="8" t="s">
        <v>32</v>
      </c>
      <c r="C577">
        <v>27</v>
      </c>
      <c r="D577" s="8" t="s">
        <v>24</v>
      </c>
      <c r="E577">
        <v>111</v>
      </c>
      <c r="F577">
        <v>1.1499999999999999</v>
      </c>
      <c r="N577">
        <f t="shared" si="24"/>
        <v>38.431463168749993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3.191058</v>
      </c>
      <c r="P577">
        <f t="shared" si="25"/>
        <v>3.191058</v>
      </c>
      <c r="S577">
        <f t="shared" si="26"/>
        <v>1.0386881937499999</v>
      </c>
    </row>
    <row r="578" spans="1:19">
      <c r="A578" s="7">
        <v>42277</v>
      </c>
      <c r="B578" s="8" t="s">
        <v>32</v>
      </c>
      <c r="C578">
        <v>27</v>
      </c>
      <c r="D578" s="8" t="s">
        <v>24</v>
      </c>
      <c r="E578">
        <v>122</v>
      </c>
      <c r="F578">
        <v>0.78</v>
      </c>
      <c r="N578">
        <f t="shared" si="24"/>
        <v>19.431990785999997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3.9622130000000011</v>
      </c>
      <c r="P578">
        <f t="shared" si="25"/>
        <v>3.9622130000000011</v>
      </c>
      <c r="S578">
        <f t="shared" si="26"/>
        <v>0.47783583900000004</v>
      </c>
    </row>
    <row r="579" spans="1:19">
      <c r="A579" s="7">
        <v>42277</v>
      </c>
      <c r="B579" s="8" t="s">
        <v>32</v>
      </c>
      <c r="C579">
        <v>27</v>
      </c>
      <c r="D579" s="8" t="s">
        <v>24</v>
      </c>
      <c r="E579">
        <v>135</v>
      </c>
      <c r="F579">
        <v>1.18</v>
      </c>
      <c r="N579">
        <f t="shared" si="24"/>
        <v>49.211436554999992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4.8735780000000011</v>
      </c>
      <c r="P579">
        <f t="shared" si="25"/>
        <v>4.8735780000000011</v>
      </c>
      <c r="S579">
        <f t="shared" si="26"/>
        <v>1.0935874789999998</v>
      </c>
    </row>
    <row r="580" spans="1:19">
      <c r="A580" s="7">
        <v>42277</v>
      </c>
      <c r="B580" s="8" t="s">
        <v>32</v>
      </c>
      <c r="C580">
        <v>27</v>
      </c>
      <c r="D580" s="8" t="s">
        <v>24</v>
      </c>
      <c r="E580">
        <v>130</v>
      </c>
      <c r="F580">
        <v>0.69</v>
      </c>
      <c r="N580">
        <f t="shared" ref="N580:N643" si="27">IF(OR(D580="S. acutus", D580="S. tabernaemontani", D580="S. californicus"),(1/3)*(3.14159)*((F580/2)^2)*E580,"NA")</f>
        <v>16.203535822499994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4.523053</v>
      </c>
      <c r="P580">
        <f t="shared" si="25"/>
        <v>4.523053</v>
      </c>
      <c r="S580">
        <f t="shared" si="26"/>
        <v>0.37392774974999993</v>
      </c>
    </row>
    <row r="581" spans="1:19">
      <c r="A581" s="7">
        <v>42277</v>
      </c>
      <c r="B581" s="8" t="s">
        <v>32</v>
      </c>
      <c r="C581">
        <v>27</v>
      </c>
      <c r="D581" s="8" t="s">
        <v>24</v>
      </c>
      <c r="E581">
        <v>137</v>
      </c>
      <c r="F581">
        <v>1.08</v>
      </c>
      <c r="N581">
        <f t="shared" si="27"/>
        <v>41.834669076000004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5.0137880000000008</v>
      </c>
      <c r="P581">
        <f t="shared" ref="P581:P644" si="28">IF(O581&lt;0," ",O581)</f>
        <v>5.0137880000000008</v>
      </c>
      <c r="S581">
        <f t="shared" ref="S581:S644" si="29">3.14159*((F581/2)^2)</f>
        <v>0.91608764400000009</v>
      </c>
    </row>
    <row r="582" spans="1:19">
      <c r="A582" s="7">
        <v>42277</v>
      </c>
      <c r="B582" s="8" t="s">
        <v>32</v>
      </c>
      <c r="C582">
        <v>27</v>
      </c>
      <c r="D582" s="8" t="s">
        <v>24</v>
      </c>
      <c r="E582">
        <v>124</v>
      </c>
      <c r="F582">
        <v>0.66</v>
      </c>
      <c r="N582">
        <f t="shared" si="27"/>
        <v>14.140924908000001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4.1024230000000008</v>
      </c>
      <c r="P582">
        <f t="shared" si="28"/>
        <v>4.1024230000000008</v>
      </c>
      <c r="S582">
        <f t="shared" si="29"/>
        <v>0.34211915100000001</v>
      </c>
    </row>
    <row r="583" spans="1:19">
      <c r="A583" s="7">
        <v>42277</v>
      </c>
      <c r="B583" s="8" t="s">
        <v>32</v>
      </c>
      <c r="C583">
        <v>27</v>
      </c>
      <c r="D583" s="8" t="s">
        <v>24</v>
      </c>
      <c r="E583">
        <v>121</v>
      </c>
      <c r="F583">
        <v>0.75</v>
      </c>
      <c r="N583">
        <f t="shared" si="27"/>
        <v>17.818705781249999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3.8921079999999995</v>
      </c>
      <c r="P583">
        <f t="shared" si="28"/>
        <v>3.8921079999999995</v>
      </c>
      <c r="S583">
        <f t="shared" si="29"/>
        <v>0.44178609375</v>
      </c>
    </row>
    <row r="584" spans="1:19">
      <c r="A584" s="7">
        <v>42277</v>
      </c>
      <c r="B584" s="8" t="s">
        <v>32</v>
      </c>
      <c r="C584">
        <v>27</v>
      </c>
      <c r="D584" s="8" t="s">
        <v>24</v>
      </c>
      <c r="E584">
        <v>112</v>
      </c>
      <c r="F584">
        <v>0.74</v>
      </c>
      <c r="N584">
        <f t="shared" si="27"/>
        <v>16.056457050666666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3.2611630000000007</v>
      </c>
      <c r="P584">
        <f t="shared" si="28"/>
        <v>3.2611630000000007</v>
      </c>
      <c r="S584">
        <f t="shared" si="29"/>
        <v>0.43008367099999995</v>
      </c>
    </row>
    <row r="585" spans="1:19">
      <c r="A585" s="7">
        <v>42277</v>
      </c>
      <c r="B585" s="8" t="s">
        <v>32</v>
      </c>
      <c r="C585">
        <v>27</v>
      </c>
      <c r="D585" s="8" t="s">
        <v>24</v>
      </c>
      <c r="E585">
        <v>130</v>
      </c>
      <c r="F585">
        <v>0.76</v>
      </c>
      <c r="N585">
        <f t="shared" si="27"/>
        <v>19.657975826666664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4.523053</v>
      </c>
      <c r="P585">
        <f t="shared" si="28"/>
        <v>4.523053</v>
      </c>
      <c r="S585">
        <f t="shared" si="29"/>
        <v>0.45364559599999998</v>
      </c>
    </row>
    <row r="586" spans="1:19">
      <c r="A586" s="7">
        <v>42277</v>
      </c>
      <c r="B586" s="8" t="s">
        <v>32</v>
      </c>
      <c r="C586">
        <v>27</v>
      </c>
      <c r="D586" s="8" t="s">
        <v>24</v>
      </c>
      <c r="E586">
        <v>122</v>
      </c>
      <c r="F586">
        <v>0.68</v>
      </c>
      <c r="N586">
        <f t="shared" si="27"/>
        <v>14.768824029333334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3.9622130000000011</v>
      </c>
      <c r="P586">
        <f t="shared" si="28"/>
        <v>3.9622130000000011</v>
      </c>
      <c r="S586">
        <f t="shared" si="29"/>
        <v>0.36316780400000004</v>
      </c>
    </row>
    <row r="587" spans="1:19">
      <c r="A587" s="7">
        <v>42277</v>
      </c>
      <c r="B587" s="8" t="s">
        <v>32</v>
      </c>
      <c r="C587">
        <v>27</v>
      </c>
      <c r="D587" s="8" t="s">
        <v>24</v>
      </c>
      <c r="E587">
        <v>130</v>
      </c>
      <c r="F587">
        <v>0.49</v>
      </c>
      <c r="N587">
        <f t="shared" si="27"/>
        <v>8.1715373891666658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4.523053</v>
      </c>
      <c r="P587">
        <f t="shared" si="28"/>
        <v>4.523053</v>
      </c>
      <c r="S587">
        <f t="shared" si="29"/>
        <v>0.18857393974999997</v>
      </c>
    </row>
    <row r="588" spans="1:19">
      <c r="A588" s="7">
        <v>42277</v>
      </c>
      <c r="B588" s="8" t="s">
        <v>32</v>
      </c>
      <c r="C588">
        <v>27</v>
      </c>
      <c r="D588" s="8" t="s">
        <v>24</v>
      </c>
      <c r="E588">
        <v>38</v>
      </c>
      <c r="F588">
        <v>0.51</v>
      </c>
      <c r="N588">
        <f t="shared" si="27"/>
        <v>2.5875706034999997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-1.9266069999999997</v>
      </c>
      <c r="P588" t="str">
        <f t="shared" si="28"/>
        <v xml:space="preserve"> </v>
      </c>
      <c r="S588">
        <f t="shared" si="29"/>
        <v>0.20428188975</v>
      </c>
    </row>
    <row r="589" spans="1:19">
      <c r="A589" s="7">
        <v>42277</v>
      </c>
      <c r="B589" s="8" t="s">
        <v>32</v>
      </c>
      <c r="C589">
        <v>27</v>
      </c>
      <c r="D589" s="8" t="s">
        <v>24</v>
      </c>
      <c r="E589">
        <v>113</v>
      </c>
      <c r="F589">
        <v>0.62</v>
      </c>
      <c r="N589">
        <f t="shared" si="27"/>
        <v>11.371822762333332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3.3312680000000006</v>
      </c>
      <c r="P589">
        <f t="shared" si="28"/>
        <v>3.3312680000000006</v>
      </c>
      <c r="S589">
        <f t="shared" si="29"/>
        <v>0.301906799</v>
      </c>
    </row>
    <row r="590" spans="1:19">
      <c r="A590" s="7">
        <v>42277</v>
      </c>
      <c r="B590" s="8" t="s">
        <v>32</v>
      </c>
      <c r="C590">
        <v>27</v>
      </c>
      <c r="D590" s="8" t="s">
        <v>24</v>
      </c>
      <c r="E590">
        <v>24</v>
      </c>
      <c r="F590">
        <v>0.19</v>
      </c>
      <c r="N590">
        <f t="shared" si="27"/>
        <v>0.22682279799999999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-2.9080769999999996</v>
      </c>
      <c r="P590" t="str">
        <f t="shared" si="28"/>
        <v xml:space="preserve"> </v>
      </c>
      <c r="S590">
        <f t="shared" si="29"/>
        <v>2.8352849749999999E-2</v>
      </c>
    </row>
    <row r="591" spans="1:19">
      <c r="A591" s="7">
        <v>42277</v>
      </c>
      <c r="B591" s="8" t="s">
        <v>32</v>
      </c>
      <c r="C591">
        <v>27</v>
      </c>
      <c r="D591" s="8" t="s">
        <v>24</v>
      </c>
      <c r="E591">
        <v>154</v>
      </c>
      <c r="F591">
        <v>0.65</v>
      </c>
      <c r="N591">
        <f t="shared" si="27"/>
        <v>17.033962779166668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6.2055730000000002</v>
      </c>
      <c r="P591">
        <f t="shared" si="28"/>
        <v>6.2055730000000002</v>
      </c>
      <c r="S591">
        <f t="shared" si="29"/>
        <v>0.33183044375000004</v>
      </c>
    </row>
    <row r="592" spans="1:19">
      <c r="A592" s="7">
        <v>42277</v>
      </c>
      <c r="B592" s="8" t="s">
        <v>32</v>
      </c>
      <c r="C592">
        <v>27</v>
      </c>
      <c r="D592" s="8" t="s">
        <v>20</v>
      </c>
      <c r="F592">
        <v>1.82</v>
      </c>
      <c r="J592">
        <f>55+96+145+177+188</f>
        <v>661</v>
      </c>
      <c r="K592">
        <v>5</v>
      </c>
      <c r="L592">
        <v>188</v>
      </c>
      <c r="N592" t="str">
        <f t="shared" si="27"/>
        <v>NA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3.2632140000000049</v>
      </c>
      <c r="P592">
        <f t="shared" si="28"/>
        <v>3.2632140000000049</v>
      </c>
      <c r="S592">
        <f t="shared" si="29"/>
        <v>2.6015506790000003</v>
      </c>
    </row>
    <row r="593" spans="1:19">
      <c r="A593" s="7">
        <v>42277</v>
      </c>
      <c r="B593" s="8" t="s">
        <v>32</v>
      </c>
      <c r="C593">
        <v>27</v>
      </c>
      <c r="D593" s="8" t="s">
        <v>24</v>
      </c>
      <c r="E593">
        <v>105</v>
      </c>
      <c r="F593">
        <v>0.57999999999999996</v>
      </c>
      <c r="N593">
        <f t="shared" si="27"/>
        <v>9.247270164999998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2.7704279999999999</v>
      </c>
      <c r="P593">
        <f t="shared" si="28"/>
        <v>2.7704279999999999</v>
      </c>
      <c r="S593">
        <f t="shared" si="29"/>
        <v>0.26420771899999995</v>
      </c>
    </row>
    <row r="594" spans="1:19">
      <c r="A594" s="7">
        <v>42277</v>
      </c>
      <c r="B594" s="8" t="s">
        <v>32</v>
      </c>
      <c r="C594">
        <v>27</v>
      </c>
      <c r="D594" s="8" t="s">
        <v>24</v>
      </c>
      <c r="E594">
        <v>145</v>
      </c>
      <c r="F594">
        <v>0.83</v>
      </c>
      <c r="N594">
        <f t="shared" si="27"/>
        <v>26.151249657916662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5.5746279999999997</v>
      </c>
      <c r="P594">
        <f t="shared" si="28"/>
        <v>5.5746279999999997</v>
      </c>
      <c r="S594">
        <f t="shared" si="29"/>
        <v>0.54106033774999995</v>
      </c>
    </row>
    <row r="595" spans="1:19">
      <c r="A595" s="7">
        <v>42277</v>
      </c>
      <c r="B595" s="8" t="s">
        <v>32</v>
      </c>
      <c r="C595">
        <v>27</v>
      </c>
      <c r="D595" s="8" t="s">
        <v>24</v>
      </c>
      <c r="E595">
        <v>140</v>
      </c>
      <c r="F595">
        <v>0.59</v>
      </c>
      <c r="N595">
        <f t="shared" si="27"/>
        <v>12.758520588333331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5.2241030000000004</v>
      </c>
      <c r="P595">
        <f t="shared" si="28"/>
        <v>5.2241030000000004</v>
      </c>
      <c r="S595">
        <f t="shared" si="29"/>
        <v>0.27339686974999994</v>
      </c>
    </row>
    <row r="596" spans="1:19">
      <c r="A596" s="7">
        <v>42277</v>
      </c>
      <c r="B596" s="8" t="s">
        <v>32</v>
      </c>
      <c r="C596">
        <v>27</v>
      </c>
      <c r="D596" s="8" t="s">
        <v>24</v>
      </c>
      <c r="E596">
        <v>108</v>
      </c>
      <c r="F596">
        <v>0.63</v>
      </c>
      <c r="N596">
        <f t="shared" si="27"/>
        <v>11.222073639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2.9807430000000004</v>
      </c>
      <c r="P596">
        <f t="shared" si="28"/>
        <v>2.9807430000000004</v>
      </c>
      <c r="S596">
        <f t="shared" si="29"/>
        <v>0.31172426775000001</v>
      </c>
    </row>
    <row r="597" spans="1:19">
      <c r="A597" s="7">
        <v>42277</v>
      </c>
      <c r="B597" s="8" t="s">
        <v>32</v>
      </c>
      <c r="C597">
        <v>27</v>
      </c>
      <c r="D597" s="8" t="s">
        <v>24</v>
      </c>
      <c r="E597">
        <v>114</v>
      </c>
      <c r="F597">
        <v>0.84</v>
      </c>
      <c r="N597">
        <f t="shared" si="27"/>
        <v>21.058706087999997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3.4013730000000004</v>
      </c>
      <c r="P597">
        <f t="shared" si="28"/>
        <v>3.4013730000000004</v>
      </c>
      <c r="S597">
        <f t="shared" si="29"/>
        <v>0.55417647599999986</v>
      </c>
    </row>
    <row r="598" spans="1:19">
      <c r="A598" s="7">
        <v>42277</v>
      </c>
      <c r="B598" s="8" t="s">
        <v>32</v>
      </c>
      <c r="C598">
        <v>27</v>
      </c>
      <c r="D598" s="8" t="s">
        <v>24</v>
      </c>
      <c r="E598">
        <v>104</v>
      </c>
      <c r="F598">
        <v>0.62</v>
      </c>
      <c r="N598">
        <f t="shared" si="27"/>
        <v>10.466102365333333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2.700323</v>
      </c>
      <c r="P598">
        <f t="shared" si="28"/>
        <v>2.700323</v>
      </c>
      <c r="S598">
        <f t="shared" si="29"/>
        <v>0.301906799</v>
      </c>
    </row>
    <row r="599" spans="1:19">
      <c r="A599" s="7">
        <v>42277</v>
      </c>
      <c r="B599" s="8" t="s">
        <v>32</v>
      </c>
      <c r="C599">
        <v>27</v>
      </c>
      <c r="D599" s="8" t="s">
        <v>24</v>
      </c>
      <c r="E599">
        <v>123</v>
      </c>
      <c r="F599">
        <v>0.49</v>
      </c>
      <c r="N599">
        <f t="shared" si="27"/>
        <v>7.731531529749998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4.032318000000001</v>
      </c>
      <c r="P599">
        <f t="shared" si="28"/>
        <v>4.032318000000001</v>
      </c>
      <c r="S599">
        <f t="shared" si="29"/>
        <v>0.18857393974999997</v>
      </c>
    </row>
    <row r="600" spans="1:19">
      <c r="A600" s="7">
        <v>42277</v>
      </c>
      <c r="B600" s="8" t="s">
        <v>32</v>
      </c>
      <c r="C600">
        <v>27</v>
      </c>
      <c r="D600" s="8" t="s">
        <v>24</v>
      </c>
      <c r="E600">
        <v>35</v>
      </c>
      <c r="F600">
        <v>0.72</v>
      </c>
      <c r="N600">
        <f t="shared" si="27"/>
        <v>4.7500840799999988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-2.1369219999999998</v>
      </c>
      <c r="P600" t="str">
        <f t="shared" si="28"/>
        <v xml:space="preserve"> </v>
      </c>
      <c r="S600">
        <f t="shared" si="29"/>
        <v>0.40715006399999998</v>
      </c>
    </row>
    <row r="601" spans="1:19">
      <c r="A601" s="7">
        <v>42277</v>
      </c>
      <c r="B601" s="8" t="s">
        <v>32</v>
      </c>
      <c r="C601">
        <v>27</v>
      </c>
      <c r="D601" s="8" t="s">
        <v>24</v>
      </c>
      <c r="E601">
        <v>145</v>
      </c>
      <c r="F601">
        <v>0.7</v>
      </c>
      <c r="N601">
        <f t="shared" si="27"/>
        <v>18.600830791666663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5.5746279999999997</v>
      </c>
      <c r="P601">
        <f t="shared" si="28"/>
        <v>5.5746279999999997</v>
      </c>
      <c r="S601">
        <f t="shared" si="29"/>
        <v>0.38484477499999992</v>
      </c>
    </row>
    <row r="602" spans="1:19">
      <c r="A602" s="7">
        <v>42277</v>
      </c>
      <c r="B602" s="8" t="s">
        <v>32</v>
      </c>
      <c r="C602">
        <v>27</v>
      </c>
      <c r="D602" s="8" t="s">
        <v>24</v>
      </c>
      <c r="E602">
        <v>25</v>
      </c>
      <c r="F602">
        <v>0.55000000000000004</v>
      </c>
      <c r="N602">
        <f t="shared" si="27"/>
        <v>1.9798561979166667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-2.8379719999999997</v>
      </c>
      <c r="P602" t="str">
        <f t="shared" si="28"/>
        <v xml:space="preserve"> </v>
      </c>
      <c r="S602">
        <f t="shared" si="29"/>
        <v>0.23758274375000002</v>
      </c>
    </row>
    <row r="603" spans="1:19">
      <c r="A603" s="9">
        <v>42277</v>
      </c>
      <c r="B603" s="8" t="s">
        <v>32</v>
      </c>
      <c r="C603" s="8">
        <v>27</v>
      </c>
      <c r="D603" s="8" t="s">
        <v>24</v>
      </c>
      <c r="E603">
        <v>36</v>
      </c>
      <c r="F603">
        <v>0.44</v>
      </c>
      <c r="N603">
        <f t="shared" si="27"/>
        <v>1.8246354719999998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-2.0668169999999999</v>
      </c>
      <c r="P603" t="str">
        <f t="shared" si="28"/>
        <v xml:space="preserve"> </v>
      </c>
      <c r="S603">
        <f t="shared" si="29"/>
        <v>0.15205295599999999</v>
      </c>
    </row>
    <row r="604" spans="1:19">
      <c r="A604" s="9">
        <v>42277</v>
      </c>
      <c r="B604" s="8" t="s">
        <v>32</v>
      </c>
      <c r="C604" s="8">
        <v>27</v>
      </c>
      <c r="D604" s="8" t="s">
        <v>24</v>
      </c>
      <c r="E604">
        <v>122</v>
      </c>
      <c r="F604">
        <v>0.71</v>
      </c>
      <c r="N604">
        <f t="shared" si="27"/>
        <v>16.100701109833331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3.9622130000000011</v>
      </c>
      <c r="P604">
        <f t="shared" si="28"/>
        <v>3.9622130000000011</v>
      </c>
      <c r="S604">
        <f t="shared" si="29"/>
        <v>0.39591887974999995</v>
      </c>
    </row>
    <row r="605" spans="1:19">
      <c r="A605" s="9">
        <v>42277</v>
      </c>
      <c r="B605" s="8" t="s">
        <v>32</v>
      </c>
      <c r="C605" s="8">
        <v>27</v>
      </c>
      <c r="D605" s="8" t="s">
        <v>24</v>
      </c>
      <c r="E605">
        <v>91</v>
      </c>
      <c r="F605">
        <v>0.43</v>
      </c>
      <c r="N605">
        <f t="shared" si="27"/>
        <v>4.4050065984166658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1.788958</v>
      </c>
      <c r="P605">
        <f t="shared" si="28"/>
        <v>1.788958</v>
      </c>
      <c r="S605">
        <f t="shared" si="29"/>
        <v>0.14521999774999997</v>
      </c>
    </row>
    <row r="606" spans="1:19">
      <c r="A606" s="9">
        <v>42277</v>
      </c>
      <c r="B606" s="8" t="s">
        <v>32</v>
      </c>
      <c r="C606" s="8">
        <v>27</v>
      </c>
      <c r="D606" s="8" t="s">
        <v>24</v>
      </c>
      <c r="E606">
        <v>124</v>
      </c>
      <c r="F606">
        <v>0.81</v>
      </c>
      <c r="N606">
        <f t="shared" si="27"/>
        <v>21.299037723000001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4.1024230000000008</v>
      </c>
      <c r="P606">
        <f t="shared" si="28"/>
        <v>4.1024230000000008</v>
      </c>
      <c r="S606">
        <f t="shared" si="29"/>
        <v>0.51529929975000011</v>
      </c>
    </row>
    <row r="607" spans="1:19">
      <c r="A607" s="9">
        <v>42277</v>
      </c>
      <c r="B607" s="8" t="s">
        <v>32</v>
      </c>
      <c r="C607" s="8">
        <v>27</v>
      </c>
      <c r="D607" s="8" t="s">
        <v>24</v>
      </c>
      <c r="E607">
        <v>163</v>
      </c>
      <c r="F607">
        <v>0.95</v>
      </c>
      <c r="N607">
        <f t="shared" si="27"/>
        <v>38.512620910416665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6.8365180000000008</v>
      </c>
      <c r="P607">
        <f t="shared" si="28"/>
        <v>6.8365180000000008</v>
      </c>
      <c r="S607">
        <f t="shared" si="29"/>
        <v>0.70882124375</v>
      </c>
    </row>
    <row r="608" spans="1:19">
      <c r="A608" s="9">
        <v>42277</v>
      </c>
      <c r="B608" s="8" t="s">
        <v>32</v>
      </c>
      <c r="C608" s="8">
        <v>27</v>
      </c>
      <c r="D608" s="8" t="s">
        <v>24</v>
      </c>
      <c r="E608">
        <v>120</v>
      </c>
      <c r="F608">
        <v>0.57999999999999996</v>
      </c>
      <c r="N608">
        <f t="shared" si="27"/>
        <v>10.568308759999997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3.8220029999999996</v>
      </c>
      <c r="P608">
        <f t="shared" si="28"/>
        <v>3.8220029999999996</v>
      </c>
      <c r="S608">
        <f t="shared" si="29"/>
        <v>0.26420771899999995</v>
      </c>
    </row>
    <row r="609" spans="1:19">
      <c r="A609" s="9">
        <v>42277</v>
      </c>
      <c r="B609" s="8" t="s">
        <v>32</v>
      </c>
      <c r="C609" s="8">
        <v>27</v>
      </c>
      <c r="D609" s="8" t="s">
        <v>24</v>
      </c>
      <c r="E609">
        <v>121</v>
      </c>
      <c r="F609">
        <v>1</v>
      </c>
      <c r="N609">
        <f t="shared" si="27"/>
        <v>31.677699166666663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3.8921079999999995</v>
      </c>
      <c r="P609">
        <f t="shared" si="28"/>
        <v>3.8921079999999995</v>
      </c>
      <c r="S609">
        <f t="shared" si="29"/>
        <v>0.78539749999999997</v>
      </c>
    </row>
    <row r="610" spans="1:19">
      <c r="A610" s="9">
        <v>42277</v>
      </c>
      <c r="B610" s="8" t="s">
        <v>32</v>
      </c>
      <c r="C610" s="8">
        <v>27</v>
      </c>
      <c r="D610" s="8" t="s">
        <v>24</v>
      </c>
      <c r="E610">
        <v>66</v>
      </c>
      <c r="F610">
        <v>0.48</v>
      </c>
      <c r="N610">
        <f t="shared" si="27"/>
        <v>3.9810228479999994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3.6332999999999949E-2</v>
      </c>
      <c r="P610">
        <f t="shared" si="28"/>
        <v>3.6332999999999949E-2</v>
      </c>
      <c r="S610">
        <f t="shared" si="29"/>
        <v>0.18095558399999997</v>
      </c>
    </row>
    <row r="611" spans="1:19">
      <c r="A611" s="9">
        <v>42277</v>
      </c>
      <c r="B611" s="8" t="s">
        <v>32</v>
      </c>
      <c r="C611" s="8">
        <v>27</v>
      </c>
      <c r="D611" s="8" t="s">
        <v>24</v>
      </c>
      <c r="E611">
        <v>43</v>
      </c>
      <c r="F611">
        <v>0.2</v>
      </c>
      <c r="N611">
        <f t="shared" si="27"/>
        <v>0.45029456666666667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-1.576082</v>
      </c>
      <c r="P611" t="str">
        <f t="shared" si="28"/>
        <v xml:space="preserve"> </v>
      </c>
      <c r="S611">
        <f t="shared" si="29"/>
        <v>3.1415900000000004E-2</v>
      </c>
    </row>
    <row r="612" spans="1:19">
      <c r="A612" s="9">
        <v>42277</v>
      </c>
      <c r="B612" s="8" t="s">
        <v>32</v>
      </c>
      <c r="C612" s="8">
        <v>27</v>
      </c>
      <c r="D612" s="8" t="s">
        <v>24</v>
      </c>
      <c r="E612">
        <v>51</v>
      </c>
      <c r="F612">
        <v>0.26</v>
      </c>
      <c r="N612">
        <f t="shared" si="27"/>
        <v>0.90257880699999993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-1.0152419999999998</v>
      </c>
      <c r="P612" t="str">
        <f t="shared" si="28"/>
        <v xml:space="preserve"> </v>
      </c>
      <c r="S612">
        <f t="shared" si="29"/>
        <v>5.3092871000000007E-2</v>
      </c>
    </row>
    <row r="613" spans="1:19">
      <c r="A613" s="9">
        <v>42277</v>
      </c>
      <c r="B613" s="8" t="s">
        <v>32</v>
      </c>
      <c r="C613" s="8">
        <v>27</v>
      </c>
      <c r="D613" s="8" t="s">
        <v>24</v>
      </c>
      <c r="E613">
        <v>88</v>
      </c>
      <c r="F613">
        <v>0.77</v>
      </c>
      <c r="N613">
        <f t="shared" si="27"/>
        <v>13.659423880666663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1.5786430000000005</v>
      </c>
      <c r="P613">
        <f t="shared" si="28"/>
        <v>1.5786430000000005</v>
      </c>
      <c r="S613">
        <f t="shared" si="29"/>
        <v>0.46566217774999996</v>
      </c>
    </row>
    <row r="614" spans="1:19">
      <c r="A614" s="9">
        <v>42277</v>
      </c>
      <c r="B614" s="8" t="s">
        <v>32</v>
      </c>
      <c r="C614" s="8">
        <v>27</v>
      </c>
      <c r="D614" s="8" t="s">
        <v>24</v>
      </c>
      <c r="E614">
        <v>42</v>
      </c>
      <c r="F614">
        <v>0.34</v>
      </c>
      <c r="N614">
        <f t="shared" si="27"/>
        <v>1.2710873140000001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-1.6461869999999998</v>
      </c>
      <c r="P614" t="str">
        <f t="shared" si="28"/>
        <v xml:space="preserve"> </v>
      </c>
      <c r="S614">
        <f t="shared" si="29"/>
        <v>9.079195100000001E-2</v>
      </c>
    </row>
    <row r="615" spans="1:19">
      <c r="A615" s="9">
        <v>42277</v>
      </c>
      <c r="B615" s="8" t="s">
        <v>32</v>
      </c>
      <c r="C615" s="8">
        <v>27</v>
      </c>
      <c r="D615" s="8" t="s">
        <v>24</v>
      </c>
      <c r="E615">
        <v>29</v>
      </c>
      <c r="F615">
        <v>0.68</v>
      </c>
      <c r="N615">
        <f t="shared" si="27"/>
        <v>3.5106221053333333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-2.5575519999999998</v>
      </c>
      <c r="P615" t="str">
        <f t="shared" si="28"/>
        <v xml:space="preserve"> </v>
      </c>
      <c r="S615">
        <f t="shared" si="29"/>
        <v>0.36316780400000004</v>
      </c>
    </row>
    <row r="616" spans="1:19">
      <c r="A616" s="9">
        <v>42277</v>
      </c>
      <c r="B616" s="8" t="s">
        <v>32</v>
      </c>
      <c r="C616" s="8">
        <v>27</v>
      </c>
      <c r="D616" s="8" t="s">
        <v>24</v>
      </c>
      <c r="E616">
        <v>26</v>
      </c>
      <c r="F616">
        <v>0.53</v>
      </c>
      <c r="N616">
        <f t="shared" si="27"/>
        <v>1.9120240338333334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-2.7678669999999999</v>
      </c>
      <c r="P616" t="str">
        <f t="shared" si="28"/>
        <v xml:space="preserve"> </v>
      </c>
      <c r="S616">
        <f t="shared" si="29"/>
        <v>0.22061815775000002</v>
      </c>
    </row>
    <row r="617" spans="1:19">
      <c r="A617" s="9">
        <v>42277</v>
      </c>
      <c r="B617" s="8" t="s">
        <v>32</v>
      </c>
      <c r="C617" s="8">
        <v>27</v>
      </c>
      <c r="D617" s="8" t="s">
        <v>24</v>
      </c>
      <c r="E617">
        <v>122</v>
      </c>
      <c r="F617">
        <v>0.7</v>
      </c>
      <c r="N617">
        <f t="shared" si="27"/>
        <v>15.650354183333331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3.9622130000000011</v>
      </c>
      <c r="P617">
        <f t="shared" si="28"/>
        <v>3.9622130000000011</v>
      </c>
      <c r="S617">
        <f t="shared" si="29"/>
        <v>0.38484477499999992</v>
      </c>
    </row>
    <row r="618" spans="1:19">
      <c r="A618" s="9">
        <v>42277</v>
      </c>
      <c r="B618" s="8" t="s">
        <v>32</v>
      </c>
      <c r="C618" s="8">
        <v>27</v>
      </c>
      <c r="D618" s="8" t="s">
        <v>20</v>
      </c>
      <c r="F618">
        <v>6.66</v>
      </c>
      <c r="J618">
        <f>93+148+160+104+113+115+118+135</f>
        <v>986</v>
      </c>
      <c r="K618">
        <v>6</v>
      </c>
      <c r="L618">
        <v>160</v>
      </c>
      <c r="N618" t="str">
        <f t="shared" si="27"/>
        <v>NA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35.146096</v>
      </c>
      <c r="P618">
        <f t="shared" si="28"/>
        <v>35.146096</v>
      </c>
      <c r="S618">
        <f t="shared" si="29"/>
        <v>34.836777351000002</v>
      </c>
    </row>
    <row r="619" spans="1:19">
      <c r="A619" s="9">
        <v>42277</v>
      </c>
      <c r="B619" s="8" t="s">
        <v>32</v>
      </c>
      <c r="C619" s="8">
        <v>27</v>
      </c>
      <c r="D619" s="8" t="s">
        <v>24</v>
      </c>
      <c r="E619">
        <v>150</v>
      </c>
      <c r="F619">
        <v>1.96</v>
      </c>
      <c r="N619">
        <f t="shared" si="27"/>
        <v>150.85915179999998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5.9251530000000008</v>
      </c>
      <c r="P619">
        <f t="shared" si="28"/>
        <v>5.9251530000000008</v>
      </c>
      <c r="S619">
        <f t="shared" si="29"/>
        <v>3.0171830359999996</v>
      </c>
    </row>
    <row r="620" spans="1:19">
      <c r="A620" s="9">
        <v>42277</v>
      </c>
      <c r="B620" s="8" t="s">
        <v>32</v>
      </c>
      <c r="C620" s="8">
        <v>27</v>
      </c>
      <c r="D620" s="8" t="s">
        <v>24</v>
      </c>
      <c r="E620">
        <v>149</v>
      </c>
      <c r="F620">
        <v>0.99</v>
      </c>
      <c r="N620">
        <f t="shared" si="27"/>
        <v>38.231815124249998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5.8550480000000009</v>
      </c>
      <c r="P620">
        <f t="shared" si="28"/>
        <v>5.8550480000000009</v>
      </c>
      <c r="S620">
        <f t="shared" si="29"/>
        <v>0.76976808975</v>
      </c>
    </row>
    <row r="621" spans="1:19">
      <c r="A621" s="9">
        <v>42277</v>
      </c>
      <c r="B621" s="8" t="s">
        <v>32</v>
      </c>
      <c r="C621" s="8">
        <v>27</v>
      </c>
      <c r="D621" s="8" t="s">
        <v>24</v>
      </c>
      <c r="E621">
        <v>144</v>
      </c>
      <c r="F621">
        <v>0.74</v>
      </c>
      <c r="N621">
        <f t="shared" si="27"/>
        <v>20.644016207999996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5.5045229999999998</v>
      </c>
      <c r="P621">
        <f t="shared" si="28"/>
        <v>5.5045229999999998</v>
      </c>
      <c r="S621">
        <f t="shared" si="29"/>
        <v>0.43008367099999995</v>
      </c>
    </row>
    <row r="622" spans="1:19">
      <c r="A622" s="9">
        <v>42277</v>
      </c>
      <c r="B622" s="8" t="s">
        <v>32</v>
      </c>
      <c r="C622" s="8">
        <v>11</v>
      </c>
      <c r="D622" s="8" t="s">
        <v>20</v>
      </c>
      <c r="F622">
        <v>3.3</v>
      </c>
      <c r="J622">
        <f>62+83+86+97+111+113+123+131</f>
        <v>806</v>
      </c>
      <c r="K622">
        <v>8</v>
      </c>
      <c r="L622">
        <v>131</v>
      </c>
      <c r="N622" t="str">
        <f t="shared" si="27"/>
        <v>NA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12.961595000000003</v>
      </c>
      <c r="P622">
        <f t="shared" si="28"/>
        <v>12.961595000000003</v>
      </c>
      <c r="S622">
        <f t="shared" si="29"/>
        <v>8.5529787749999979</v>
      </c>
    </row>
    <row r="623" spans="1:19">
      <c r="A623" s="9">
        <v>42277</v>
      </c>
      <c r="B623" s="8" t="s">
        <v>32</v>
      </c>
      <c r="C623" s="8">
        <v>11</v>
      </c>
      <c r="D623" s="8" t="s">
        <v>20</v>
      </c>
      <c r="F623">
        <v>3.55</v>
      </c>
      <c r="J623">
        <f>81+82+110+139+156+162+179+191+201</f>
        <v>1301</v>
      </c>
      <c r="K623">
        <v>9</v>
      </c>
      <c r="L623">
        <v>201</v>
      </c>
      <c r="N623" t="str">
        <f t="shared" si="27"/>
        <v>NA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31.260817000000003</v>
      </c>
      <c r="P623">
        <f t="shared" si="28"/>
        <v>31.260817000000003</v>
      </c>
      <c r="S623">
        <f t="shared" si="29"/>
        <v>9.8979719937499997</v>
      </c>
    </row>
    <row r="624" spans="1:19">
      <c r="A624" s="9">
        <v>42277</v>
      </c>
      <c r="B624" s="8" t="s">
        <v>32</v>
      </c>
      <c r="C624" s="8">
        <v>11</v>
      </c>
      <c r="D624" s="8" t="s">
        <v>20</v>
      </c>
      <c r="F624">
        <v>3.84</v>
      </c>
      <c r="J624">
        <f>79+102+132+151+164+170+188</f>
        <v>986</v>
      </c>
      <c r="K624">
        <v>7</v>
      </c>
      <c r="L624">
        <v>188</v>
      </c>
      <c r="N624" t="str">
        <f t="shared" si="27"/>
        <v>NA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19.688883000000004</v>
      </c>
      <c r="P624">
        <f t="shared" si="28"/>
        <v>19.688883000000004</v>
      </c>
      <c r="S624">
        <f t="shared" si="29"/>
        <v>11.581157375999998</v>
      </c>
    </row>
    <row r="625" spans="1:19">
      <c r="A625" s="9">
        <v>42277</v>
      </c>
      <c r="B625" s="8" t="s">
        <v>32</v>
      </c>
      <c r="C625" s="8">
        <v>11</v>
      </c>
      <c r="D625" s="8" t="s">
        <v>20</v>
      </c>
      <c r="F625">
        <v>3.88</v>
      </c>
      <c r="J625">
        <f>60+51+90+122+149+145+160+175+181</f>
        <v>1133</v>
      </c>
      <c r="K625">
        <v>9</v>
      </c>
      <c r="L625">
        <v>181</v>
      </c>
      <c r="N625" t="str">
        <f t="shared" si="27"/>
        <v>NA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21.534877000000009</v>
      </c>
      <c r="P625">
        <f t="shared" si="28"/>
        <v>21.534877000000009</v>
      </c>
      <c r="S625">
        <f t="shared" si="29"/>
        <v>11.823688123999998</v>
      </c>
    </row>
    <row r="626" spans="1:19">
      <c r="A626" s="9">
        <v>42277</v>
      </c>
      <c r="B626" s="8" t="s">
        <v>32</v>
      </c>
      <c r="C626" s="8">
        <v>11</v>
      </c>
      <c r="D626" s="8" t="s">
        <v>20</v>
      </c>
      <c r="F626">
        <v>3.84</v>
      </c>
      <c r="J626">
        <f>48+99+111+115+127+152+138+155</f>
        <v>945</v>
      </c>
      <c r="K626">
        <v>8</v>
      </c>
      <c r="L626">
        <v>155</v>
      </c>
      <c r="N626" t="str">
        <f t="shared" si="27"/>
        <v>NA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18.763660000000009</v>
      </c>
      <c r="P626">
        <f t="shared" si="28"/>
        <v>18.763660000000009</v>
      </c>
      <c r="S626">
        <f t="shared" si="29"/>
        <v>11.581157375999998</v>
      </c>
    </row>
    <row r="627" spans="1:19">
      <c r="A627" s="9">
        <v>42277</v>
      </c>
      <c r="B627" s="8" t="s">
        <v>32</v>
      </c>
      <c r="C627" s="8">
        <v>11</v>
      </c>
      <c r="D627" s="8" t="s">
        <v>20</v>
      </c>
      <c r="F627">
        <v>3.8</v>
      </c>
      <c r="J627">
        <f>97+131+149+155+186+195+203</f>
        <v>1116</v>
      </c>
      <c r="K627">
        <v>7</v>
      </c>
      <c r="L627">
        <v>203</v>
      </c>
      <c r="N627" t="str">
        <f t="shared" si="27"/>
        <v>NA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27.35835800000001</v>
      </c>
      <c r="P627">
        <f t="shared" si="28"/>
        <v>27.35835800000001</v>
      </c>
      <c r="S627">
        <f t="shared" si="29"/>
        <v>11.3411399</v>
      </c>
    </row>
    <row r="628" spans="1:19">
      <c r="A628" s="9">
        <v>42277</v>
      </c>
      <c r="B628" s="8" t="s">
        <v>32</v>
      </c>
      <c r="C628" s="8">
        <v>11</v>
      </c>
      <c r="D628" s="8" t="s">
        <v>20</v>
      </c>
      <c r="F628">
        <v>0.62</v>
      </c>
      <c r="J628">
        <f>26+43+53+70</f>
        <v>192</v>
      </c>
      <c r="K628">
        <v>4</v>
      </c>
      <c r="L628">
        <v>70</v>
      </c>
      <c r="N628" t="str">
        <f t="shared" si="27"/>
        <v>NA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1.861381999999999</v>
      </c>
      <c r="P628">
        <f t="shared" si="28"/>
        <v>1.861381999999999</v>
      </c>
      <c r="S628">
        <f t="shared" si="29"/>
        <v>0.301906799</v>
      </c>
    </row>
    <row r="629" spans="1:19">
      <c r="A629" s="9">
        <v>42277</v>
      </c>
      <c r="B629" s="8" t="s">
        <v>32</v>
      </c>
      <c r="C629" s="8">
        <v>11</v>
      </c>
      <c r="D629" s="8" t="s">
        <v>20</v>
      </c>
      <c r="F629">
        <v>1.97</v>
      </c>
      <c r="J629">
        <f>50+88+75+102</f>
        <v>315</v>
      </c>
      <c r="K629">
        <v>4</v>
      </c>
      <c r="L629">
        <v>102</v>
      </c>
      <c r="N629" t="str">
        <f t="shared" si="27"/>
        <v>NA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3.7534070000000028</v>
      </c>
      <c r="P629">
        <f t="shared" si="28"/>
        <v>3.7534070000000028</v>
      </c>
      <c r="S629">
        <f t="shared" si="29"/>
        <v>3.04804915775</v>
      </c>
    </row>
    <row r="630" spans="1:19">
      <c r="A630" s="9">
        <v>42277</v>
      </c>
      <c r="B630" s="8" t="s">
        <v>32</v>
      </c>
      <c r="C630" s="8">
        <v>6</v>
      </c>
      <c r="D630" s="8" t="s">
        <v>28</v>
      </c>
      <c r="E630">
        <v>68</v>
      </c>
      <c r="F630">
        <v>0.97</v>
      </c>
      <c r="N630">
        <f t="shared" si="27"/>
        <v>16.750224842333331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0.17654300000000056</v>
      </c>
      <c r="P630">
        <f t="shared" si="28"/>
        <v>0.17654300000000056</v>
      </c>
      <c r="S630">
        <f t="shared" si="29"/>
        <v>0.7389805077499999</v>
      </c>
    </row>
    <row r="631" spans="1:19">
      <c r="A631" s="9">
        <v>42277</v>
      </c>
      <c r="B631" s="8" t="s">
        <v>32</v>
      </c>
      <c r="C631" s="8">
        <v>6</v>
      </c>
      <c r="D631" s="8" t="s">
        <v>28</v>
      </c>
      <c r="E631">
        <v>84</v>
      </c>
      <c r="F631">
        <v>1.82</v>
      </c>
      <c r="N631">
        <f t="shared" si="27"/>
        <v>72.843419011999998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1.2982230000000001</v>
      </c>
      <c r="P631">
        <f t="shared" si="28"/>
        <v>1.2982230000000001</v>
      </c>
      <c r="S631">
        <f t="shared" si="29"/>
        <v>2.6015506790000003</v>
      </c>
    </row>
    <row r="632" spans="1:19">
      <c r="A632" s="9">
        <v>42277</v>
      </c>
      <c r="B632" s="8" t="s">
        <v>32</v>
      </c>
      <c r="C632" s="8">
        <v>6</v>
      </c>
      <c r="D632" s="8" t="s">
        <v>28</v>
      </c>
      <c r="E632">
        <v>46</v>
      </c>
      <c r="F632">
        <v>0.97</v>
      </c>
      <c r="N632">
        <f t="shared" si="27"/>
        <v>11.331034452166664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-1.365767</v>
      </c>
      <c r="P632" t="str">
        <f t="shared" si="28"/>
        <v xml:space="preserve"> </v>
      </c>
      <c r="S632">
        <f t="shared" si="29"/>
        <v>0.7389805077499999</v>
      </c>
    </row>
    <row r="633" spans="1:19">
      <c r="A633" s="9">
        <v>42277</v>
      </c>
      <c r="B633" s="8" t="s">
        <v>32</v>
      </c>
      <c r="C633" s="8">
        <v>6</v>
      </c>
      <c r="D633" s="8" t="s">
        <v>28</v>
      </c>
      <c r="E633">
        <v>53</v>
      </c>
      <c r="F633">
        <v>0.55000000000000004</v>
      </c>
      <c r="N633">
        <f t="shared" si="27"/>
        <v>4.1972951395833338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-0.87503199999999959</v>
      </c>
      <c r="P633" t="str">
        <f t="shared" si="28"/>
        <v xml:space="preserve"> </v>
      </c>
      <c r="S633">
        <f t="shared" si="29"/>
        <v>0.23758274375000002</v>
      </c>
    </row>
    <row r="634" spans="1:19">
      <c r="A634" s="9">
        <v>42277</v>
      </c>
      <c r="B634" s="8" t="s">
        <v>32</v>
      </c>
      <c r="C634" s="8">
        <v>6</v>
      </c>
      <c r="D634" s="8" t="s">
        <v>28</v>
      </c>
      <c r="E634">
        <v>54</v>
      </c>
      <c r="F634">
        <v>0.65</v>
      </c>
      <c r="N634">
        <f t="shared" si="27"/>
        <v>5.9729479874999996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-0.80492699999999973</v>
      </c>
      <c r="P634" t="str">
        <f t="shared" si="28"/>
        <v xml:space="preserve"> </v>
      </c>
      <c r="S634">
        <f t="shared" si="29"/>
        <v>0.33183044375000004</v>
      </c>
    </row>
    <row r="635" spans="1:19">
      <c r="A635" s="9">
        <v>42277</v>
      </c>
      <c r="B635" s="8" t="s">
        <v>32</v>
      </c>
      <c r="C635" s="8">
        <v>6</v>
      </c>
      <c r="D635" s="8" t="s">
        <v>28</v>
      </c>
      <c r="E635">
        <v>48</v>
      </c>
      <c r="F635">
        <v>0.78</v>
      </c>
      <c r="N635">
        <f t="shared" si="27"/>
        <v>7.6453734239999989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-1.2255569999999998</v>
      </c>
      <c r="P635" t="str">
        <f t="shared" si="28"/>
        <v xml:space="preserve"> </v>
      </c>
      <c r="S635">
        <f t="shared" si="29"/>
        <v>0.47783583900000004</v>
      </c>
    </row>
    <row r="636" spans="1:19">
      <c r="A636" s="9">
        <v>42277</v>
      </c>
      <c r="B636" s="8" t="s">
        <v>32</v>
      </c>
      <c r="C636" s="8">
        <v>6</v>
      </c>
      <c r="D636" s="8" t="s">
        <v>28</v>
      </c>
      <c r="E636">
        <v>41</v>
      </c>
      <c r="F636">
        <v>0.94</v>
      </c>
      <c r="N636">
        <f t="shared" si="27"/>
        <v>9.484355490333332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-1.7162919999999997</v>
      </c>
      <c r="P636" t="str">
        <f t="shared" si="28"/>
        <v xml:space="preserve"> </v>
      </c>
      <c r="S636">
        <f t="shared" si="29"/>
        <v>0.69397723099999997</v>
      </c>
    </row>
    <row r="637" spans="1:19">
      <c r="A637" s="9">
        <v>42277</v>
      </c>
      <c r="B637" s="8" t="s">
        <v>32</v>
      </c>
      <c r="C637" s="8">
        <v>6</v>
      </c>
      <c r="D637" s="8" t="s">
        <v>28</v>
      </c>
      <c r="E637">
        <v>72</v>
      </c>
      <c r="F637">
        <v>0.95</v>
      </c>
      <c r="N637">
        <f t="shared" si="27"/>
        <v>17.011709849999999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0.45696300000000001</v>
      </c>
      <c r="P637">
        <f t="shared" si="28"/>
        <v>0.45696300000000001</v>
      </c>
      <c r="S637">
        <f t="shared" si="29"/>
        <v>0.70882124375</v>
      </c>
    </row>
    <row r="638" spans="1:19">
      <c r="A638" s="9">
        <v>42277</v>
      </c>
      <c r="B638" s="8" t="s">
        <v>32</v>
      </c>
      <c r="C638" s="8">
        <v>6</v>
      </c>
      <c r="D638" s="8" t="s">
        <v>28</v>
      </c>
      <c r="E638">
        <v>33</v>
      </c>
      <c r="F638">
        <v>0.43</v>
      </c>
      <c r="N638">
        <f t="shared" si="27"/>
        <v>1.5974199752499996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-2.2771319999999999</v>
      </c>
      <c r="P638" t="str">
        <f t="shared" si="28"/>
        <v xml:space="preserve"> </v>
      </c>
      <c r="S638">
        <f t="shared" si="29"/>
        <v>0.14521999774999997</v>
      </c>
    </row>
    <row r="639" spans="1:19">
      <c r="A639" s="9">
        <v>42277</v>
      </c>
      <c r="B639" s="8" t="s">
        <v>32</v>
      </c>
      <c r="C639" s="8">
        <v>6</v>
      </c>
      <c r="D639" s="8" t="s">
        <v>28</v>
      </c>
      <c r="E639">
        <v>60</v>
      </c>
      <c r="F639">
        <v>0.94</v>
      </c>
      <c r="N639">
        <f t="shared" si="27"/>
        <v>13.879544619999999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-0.38429700000000011</v>
      </c>
      <c r="P639" t="str">
        <f t="shared" si="28"/>
        <v xml:space="preserve"> </v>
      </c>
      <c r="S639">
        <f t="shared" si="29"/>
        <v>0.69397723099999997</v>
      </c>
    </row>
    <row r="640" spans="1:19">
      <c r="A640" s="9">
        <v>42277</v>
      </c>
      <c r="B640" s="8" t="s">
        <v>32</v>
      </c>
      <c r="C640" s="8">
        <v>6</v>
      </c>
      <c r="D640" s="8" t="s">
        <v>28</v>
      </c>
      <c r="E640">
        <v>0.34</v>
      </c>
      <c r="F640">
        <v>0.52</v>
      </c>
      <c r="N640">
        <f t="shared" si="27"/>
        <v>2.4068768186666666E-2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-4.5667612999999996</v>
      </c>
      <c r="P640" t="str">
        <f t="shared" si="28"/>
        <v xml:space="preserve"> </v>
      </c>
      <c r="S640">
        <f t="shared" si="29"/>
        <v>0.21237148400000003</v>
      </c>
    </row>
    <row r="641" spans="1:19">
      <c r="A641" s="9">
        <v>42277</v>
      </c>
      <c r="B641" s="8" t="s">
        <v>32</v>
      </c>
      <c r="C641" s="8">
        <v>6</v>
      </c>
      <c r="D641" s="8" t="s">
        <v>24</v>
      </c>
      <c r="E641">
        <v>41</v>
      </c>
      <c r="F641">
        <v>0.66</v>
      </c>
      <c r="N641">
        <f t="shared" si="27"/>
        <v>4.6756283969999997</v>
      </c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-1.7162919999999997</v>
      </c>
      <c r="P641" t="str">
        <f t="shared" si="28"/>
        <v xml:space="preserve"> </v>
      </c>
      <c r="S641">
        <f t="shared" si="29"/>
        <v>0.34211915100000001</v>
      </c>
    </row>
    <row r="642" spans="1:19">
      <c r="A642" s="9">
        <v>42277</v>
      </c>
      <c r="B642" s="8" t="s">
        <v>32</v>
      </c>
      <c r="C642" s="8">
        <v>6</v>
      </c>
      <c r="D642" s="8" t="s">
        <v>28</v>
      </c>
      <c r="E642">
        <v>39</v>
      </c>
      <c r="F642">
        <v>0.5</v>
      </c>
      <c r="N642">
        <f t="shared" si="27"/>
        <v>2.5525418749999997</v>
      </c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-1.8565019999999999</v>
      </c>
      <c r="P642" t="str">
        <f t="shared" si="28"/>
        <v xml:space="preserve"> </v>
      </c>
      <c r="S642">
        <f t="shared" si="29"/>
        <v>0.19634937499999999</v>
      </c>
    </row>
    <row r="643" spans="1:19">
      <c r="A643" s="9">
        <v>42277</v>
      </c>
      <c r="B643" s="8" t="s">
        <v>32</v>
      </c>
      <c r="C643" s="8">
        <v>6</v>
      </c>
      <c r="D643" s="8" t="s">
        <v>28</v>
      </c>
      <c r="E643">
        <v>51</v>
      </c>
      <c r="F643">
        <v>0.49</v>
      </c>
      <c r="N643">
        <f t="shared" si="27"/>
        <v>3.2057569757499995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-1.0152419999999998</v>
      </c>
      <c r="P643" t="str">
        <f t="shared" si="28"/>
        <v xml:space="preserve"> </v>
      </c>
      <c r="S643">
        <f t="shared" si="29"/>
        <v>0.18857393974999997</v>
      </c>
    </row>
    <row r="644" spans="1:19">
      <c r="A644" s="9">
        <v>42277</v>
      </c>
      <c r="B644" s="8" t="s">
        <v>32</v>
      </c>
      <c r="C644" s="8">
        <v>6</v>
      </c>
      <c r="D644" s="8" t="s">
        <v>28</v>
      </c>
      <c r="E644">
        <v>64</v>
      </c>
      <c r="F644">
        <v>0.79</v>
      </c>
      <c r="N644">
        <f t="shared" ref="N644:N665" si="30">IF(OR(D644="S. acutus", D644="S. tabernaemontani", D644="S. californicus"),(1/3)*(3.14159)*((F644/2)^2)*E644,"NA")</f>
        <v>10.456887034666668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-0.10387699999999978</v>
      </c>
      <c r="P644" t="str">
        <f t="shared" si="28"/>
        <v xml:space="preserve"> </v>
      </c>
      <c r="S644">
        <f t="shared" si="29"/>
        <v>0.49016657975000005</v>
      </c>
    </row>
    <row r="645" spans="1:19">
      <c r="A645" s="9">
        <v>42277</v>
      </c>
      <c r="B645" s="8" t="s">
        <v>32</v>
      </c>
      <c r="C645" s="8">
        <v>6</v>
      </c>
      <c r="D645" s="8" t="s">
        <v>28</v>
      </c>
      <c r="E645">
        <v>39</v>
      </c>
      <c r="F645">
        <v>1.41</v>
      </c>
      <c r="N645">
        <f t="shared" si="30"/>
        <v>20.298834006749995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-1.8565019999999999</v>
      </c>
      <c r="P645" t="str">
        <f t="shared" ref="P645:P665" si="31">IF(O645&lt;0," ",O645)</f>
        <v xml:space="preserve"> </v>
      </c>
      <c r="S645">
        <f t="shared" ref="S645:S665" si="32">3.14159*((F645/2)^2)</f>
        <v>1.5614487697499997</v>
      </c>
    </row>
    <row r="646" spans="1:19">
      <c r="A646" s="9">
        <v>42277</v>
      </c>
      <c r="B646" s="8" t="s">
        <v>32</v>
      </c>
      <c r="C646" s="8">
        <v>6</v>
      </c>
      <c r="D646" s="8" t="s">
        <v>28</v>
      </c>
      <c r="E646">
        <v>77</v>
      </c>
      <c r="F646">
        <v>0.84</v>
      </c>
      <c r="N646">
        <f t="shared" si="30"/>
        <v>14.223862883999997</v>
      </c>
      <c r="O646">
        <f>IF(AND(OR(D646="S. acutus",D646="S. californicus",D646="S. tabernaemontani"),G646=0),E646*[1]Sheet1!$D$7+[1]Sheet1!$L$7,IF(AND(OR(D646="S. acutus",D646="S. tabernaemontani"),G646&gt;0),E646*[1]Sheet1!$D$8+N646*[1]Sheet1!$E$8,IF(AND(D646="S. californicus",G646&gt;0),E646*[1]Sheet1!$D$9+N646*[1]Sheet1!$E$9,IF(D646="S.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latifolia"),E646&gt;0),F646*[1]Sheet1!$C$4+E646*[1]Sheet1!$D$4+H646*[1]Sheet1!$J$4+I646*[1]Sheet1!$K$4+[1]Sheet1!$L$4,IF(AND(OR(D646="T. domingensis",D646="T. latifolia"),J646&gt;0),J646*[1]Sheet1!$G$5+K646*[1]Sheet1!$H$5+L646*[1]Sheet1!$I$5+[1]Sheet1!$L$5,0)))))))</f>
        <v>0.80748800000000021</v>
      </c>
      <c r="P646">
        <f t="shared" si="31"/>
        <v>0.80748800000000021</v>
      </c>
      <c r="S646">
        <f t="shared" si="32"/>
        <v>0.55417647599999986</v>
      </c>
    </row>
    <row r="647" spans="1:19">
      <c r="A647" s="9">
        <v>42277</v>
      </c>
      <c r="B647" s="8" t="s">
        <v>32</v>
      </c>
      <c r="C647" s="8">
        <v>6</v>
      </c>
      <c r="D647" s="8" t="s">
        <v>28</v>
      </c>
      <c r="E647">
        <v>45</v>
      </c>
      <c r="F647">
        <v>0.54</v>
      </c>
      <c r="N647">
        <f t="shared" si="30"/>
        <v>3.4353286650000001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-1.4358719999999998</v>
      </c>
      <c r="P647" t="str">
        <f t="shared" si="31"/>
        <v xml:space="preserve"> </v>
      </c>
      <c r="S647">
        <f t="shared" si="32"/>
        <v>0.22902191100000002</v>
      </c>
    </row>
    <row r="648" spans="1:19">
      <c r="A648" s="7">
        <v>42277</v>
      </c>
      <c r="B648" s="8" t="s">
        <v>33</v>
      </c>
      <c r="C648" s="8">
        <v>47</v>
      </c>
      <c r="D648" s="8" t="s">
        <v>20</v>
      </c>
      <c r="F648">
        <v>3.28</v>
      </c>
      <c r="J648">
        <f>149+172+181+200+205+205</f>
        <v>1112</v>
      </c>
      <c r="K648">
        <v>6</v>
      </c>
      <c r="L648">
        <v>205</v>
      </c>
      <c r="N648" t="str">
        <f t="shared" si="30"/>
        <v>NA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33.403201000000003</v>
      </c>
      <c r="P648">
        <f>IF(O648&lt;0," ",O648)</f>
        <v>33.403201000000003</v>
      </c>
      <c r="S648">
        <f t="shared" si="32"/>
        <v>8.4496204639999988</v>
      </c>
    </row>
    <row r="649" spans="1:19">
      <c r="A649" s="7">
        <v>42277</v>
      </c>
      <c r="B649" s="8" t="s">
        <v>33</v>
      </c>
      <c r="C649" s="8">
        <v>47</v>
      </c>
      <c r="D649" s="8" t="s">
        <v>20</v>
      </c>
      <c r="F649">
        <v>1.5</v>
      </c>
      <c r="J649">
        <f>41+57+62+81</f>
        <v>241</v>
      </c>
      <c r="K649">
        <v>4</v>
      </c>
      <c r="L649">
        <v>81</v>
      </c>
      <c r="N649" t="str">
        <f t="shared" si="30"/>
        <v>NA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3.1416819999999994</v>
      </c>
      <c r="P649">
        <f t="shared" si="31"/>
        <v>3.1416819999999994</v>
      </c>
      <c r="S649">
        <f t="shared" si="32"/>
        <v>1.767144375</v>
      </c>
    </row>
    <row r="650" spans="1:19">
      <c r="A650" s="7">
        <v>42277</v>
      </c>
      <c r="B650" s="8" t="s">
        <v>33</v>
      </c>
      <c r="C650" s="8">
        <v>47</v>
      </c>
      <c r="D650" s="8" t="s">
        <v>20</v>
      </c>
      <c r="F650">
        <v>2.06</v>
      </c>
      <c r="J650">
        <f>87+133+150+176+177</f>
        <v>723</v>
      </c>
      <c r="K650">
        <v>5</v>
      </c>
      <c r="L650">
        <v>177</v>
      </c>
      <c r="N650" t="str">
        <f t="shared" si="30"/>
        <v>NA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12.389719000000014</v>
      </c>
      <c r="P650">
        <f t="shared" si="31"/>
        <v>12.389719000000014</v>
      </c>
      <c r="S650">
        <f t="shared" si="32"/>
        <v>3.3329128309999998</v>
      </c>
    </row>
    <row r="651" spans="1:19">
      <c r="A651" s="7">
        <v>42277</v>
      </c>
      <c r="B651" s="8" t="s">
        <v>33</v>
      </c>
      <c r="C651" s="8">
        <v>47</v>
      </c>
      <c r="D651" s="8" t="s">
        <v>20</v>
      </c>
      <c r="F651">
        <v>2.56</v>
      </c>
      <c r="J651">
        <v>398</v>
      </c>
      <c r="K651">
        <v>1</v>
      </c>
      <c r="L651">
        <v>398</v>
      </c>
      <c r="N651" t="str">
        <f t="shared" si="30"/>
        <v>NA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-56.566388999999994</v>
      </c>
      <c r="P651" t="str">
        <f t="shared" si="31"/>
        <v xml:space="preserve"> </v>
      </c>
      <c r="S651">
        <f t="shared" si="32"/>
        <v>5.147181056</v>
      </c>
    </row>
    <row r="652" spans="1:19">
      <c r="A652" s="7">
        <v>42277</v>
      </c>
      <c r="B652" s="8" t="s">
        <v>33</v>
      </c>
      <c r="C652" s="8">
        <v>47</v>
      </c>
      <c r="D652" s="8" t="s">
        <v>20</v>
      </c>
      <c r="F652">
        <v>1.46</v>
      </c>
      <c r="J652">
        <v>176</v>
      </c>
      <c r="K652">
        <v>1</v>
      </c>
      <c r="L652">
        <v>176</v>
      </c>
      <c r="N652" t="str">
        <f t="shared" si="30"/>
        <v>NA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-10.503609000000004</v>
      </c>
      <c r="P652" t="str">
        <f t="shared" si="31"/>
        <v xml:space="preserve"> </v>
      </c>
      <c r="S652">
        <f t="shared" si="32"/>
        <v>1.6741533109999998</v>
      </c>
    </row>
    <row r="653" spans="1:19">
      <c r="A653" s="7">
        <v>42277</v>
      </c>
      <c r="B653" s="8" t="s">
        <v>33</v>
      </c>
      <c r="C653" s="8">
        <v>47</v>
      </c>
      <c r="D653" s="8" t="s">
        <v>20</v>
      </c>
      <c r="F653">
        <v>1.48</v>
      </c>
      <c r="J653">
        <f>54+53+52+94+97</f>
        <v>350</v>
      </c>
      <c r="K653">
        <v>5</v>
      </c>
      <c r="L653">
        <v>97</v>
      </c>
      <c r="N653" t="str">
        <f t="shared" si="30"/>
        <v>NA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1.5187039999999996</v>
      </c>
      <c r="P653">
        <f t="shared" si="31"/>
        <v>1.5187039999999996</v>
      </c>
      <c r="S653">
        <f t="shared" si="32"/>
        <v>1.7203346839999998</v>
      </c>
    </row>
    <row r="654" spans="1:19">
      <c r="A654" s="7">
        <v>42277</v>
      </c>
      <c r="B654" s="8" t="s">
        <v>33</v>
      </c>
      <c r="C654" s="8">
        <v>41</v>
      </c>
      <c r="D654" s="8" t="s">
        <v>20</v>
      </c>
      <c r="F654">
        <v>5</v>
      </c>
      <c r="J654">
        <f>86+136+182+182+229+220+243</f>
        <v>1278</v>
      </c>
      <c r="K654">
        <v>7</v>
      </c>
      <c r="L654">
        <v>243</v>
      </c>
      <c r="N654" t="str">
        <f t="shared" si="30"/>
        <v>NA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30.496868000000013</v>
      </c>
      <c r="P654">
        <f t="shared" si="31"/>
        <v>30.496868000000013</v>
      </c>
      <c r="S654">
        <f t="shared" si="32"/>
        <v>19.634937499999999</v>
      </c>
    </row>
    <row r="655" spans="1:19">
      <c r="A655" s="7">
        <v>42277</v>
      </c>
      <c r="B655" s="8" t="s">
        <v>33</v>
      </c>
      <c r="C655" s="8">
        <v>41</v>
      </c>
      <c r="D655" s="8" t="s">
        <v>20</v>
      </c>
      <c r="F655">
        <v>3.04</v>
      </c>
      <c r="J655">
        <f>112+125+149+162</f>
        <v>548</v>
      </c>
      <c r="K655">
        <v>4</v>
      </c>
      <c r="L655">
        <v>162</v>
      </c>
      <c r="N655" t="str">
        <f t="shared" si="30"/>
        <v>NA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7.5236219999999996</v>
      </c>
      <c r="P655">
        <f t="shared" si="31"/>
        <v>7.5236219999999996</v>
      </c>
      <c r="S655">
        <f t="shared" si="32"/>
        <v>7.2583295359999997</v>
      </c>
    </row>
    <row r="656" spans="1:19">
      <c r="A656" s="7">
        <v>42277</v>
      </c>
      <c r="B656" s="8" t="s">
        <v>33</v>
      </c>
      <c r="C656" s="8">
        <v>41</v>
      </c>
      <c r="D656" s="8" t="s">
        <v>20</v>
      </c>
      <c r="F656">
        <v>2.09</v>
      </c>
      <c r="J656">
        <f>121+151+160</f>
        <v>432</v>
      </c>
      <c r="K656">
        <v>3</v>
      </c>
      <c r="L656">
        <v>160</v>
      </c>
      <c r="N656" t="str">
        <f t="shared" si="30"/>
        <v>NA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4.2728850000000023</v>
      </c>
      <c r="P656">
        <f t="shared" si="31"/>
        <v>4.2728850000000023</v>
      </c>
      <c r="S656">
        <f t="shared" si="32"/>
        <v>3.4306948197499993</v>
      </c>
    </row>
    <row r="657" spans="1:19">
      <c r="A657" s="7">
        <v>42277</v>
      </c>
      <c r="B657" s="8" t="s">
        <v>33</v>
      </c>
      <c r="C657" s="8">
        <v>27</v>
      </c>
      <c r="D657" s="8" t="s">
        <v>21</v>
      </c>
      <c r="F657">
        <v>1.58</v>
      </c>
      <c r="J657">
        <f>90+128+155+169</f>
        <v>542</v>
      </c>
      <c r="K657">
        <v>4</v>
      </c>
      <c r="L657">
        <v>169</v>
      </c>
      <c r="N657" t="str">
        <f t="shared" si="30"/>
        <v>NA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4.8523770000000006</v>
      </c>
      <c r="P657">
        <f t="shared" si="31"/>
        <v>4.8523770000000006</v>
      </c>
      <c r="S657">
        <f t="shared" si="32"/>
        <v>1.9606663190000002</v>
      </c>
    </row>
    <row r="658" spans="1:19">
      <c r="A658" s="7">
        <v>42277</v>
      </c>
      <c r="B658" s="8" t="s">
        <v>33</v>
      </c>
      <c r="C658" s="8">
        <v>27</v>
      </c>
      <c r="D658" s="8" t="s">
        <v>20</v>
      </c>
      <c r="F658">
        <v>1.91</v>
      </c>
      <c r="J658">
        <f>42+65+88+101</f>
        <v>296</v>
      </c>
      <c r="K658">
        <v>4</v>
      </c>
      <c r="L658">
        <v>101</v>
      </c>
      <c r="N658" t="str">
        <f t="shared" si="30"/>
        <v>NA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2.2733069999999991</v>
      </c>
      <c r="P658">
        <f t="shared" si="31"/>
        <v>2.2733069999999991</v>
      </c>
      <c r="S658">
        <f t="shared" si="32"/>
        <v>2.8652086197499997</v>
      </c>
    </row>
    <row r="659" spans="1:19">
      <c r="A659" s="7">
        <v>42277</v>
      </c>
      <c r="B659" s="8" t="s">
        <v>33</v>
      </c>
      <c r="C659" s="8">
        <v>27</v>
      </c>
      <c r="D659" s="8" t="s">
        <v>21</v>
      </c>
      <c r="E659">
        <v>291</v>
      </c>
      <c r="F659">
        <v>3.25</v>
      </c>
      <c r="H659">
        <v>29</v>
      </c>
      <c r="I659">
        <v>2.41</v>
      </c>
      <c r="N659" t="str">
        <f t="shared" si="30"/>
        <v>NA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121.93927653</v>
      </c>
      <c r="P659">
        <f t="shared" si="31"/>
        <v>121.93927653</v>
      </c>
      <c r="S659">
        <f t="shared" si="32"/>
        <v>8.2957610937500004</v>
      </c>
    </row>
    <row r="660" spans="1:19">
      <c r="A660" s="7">
        <v>42277</v>
      </c>
      <c r="B660" s="8" t="s">
        <v>33</v>
      </c>
      <c r="C660" s="8">
        <v>27</v>
      </c>
      <c r="D660" s="8" t="s">
        <v>20</v>
      </c>
      <c r="F660">
        <v>1.81</v>
      </c>
      <c r="J660">
        <f>40+48+70+70+99</f>
        <v>327</v>
      </c>
      <c r="K660">
        <v>5</v>
      </c>
      <c r="L660">
        <v>99</v>
      </c>
      <c r="N660" t="str">
        <f t="shared" si="30"/>
        <v>NA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-1.2401510000000044</v>
      </c>
      <c r="P660" t="str">
        <f t="shared" si="31"/>
        <v xml:space="preserve"> </v>
      </c>
      <c r="S660">
        <f t="shared" si="32"/>
        <v>2.5730407497500001</v>
      </c>
    </row>
    <row r="661" spans="1:19">
      <c r="A661" s="7">
        <v>42277</v>
      </c>
      <c r="B661" s="8" t="s">
        <v>33</v>
      </c>
      <c r="C661" s="8">
        <v>27</v>
      </c>
      <c r="D661" s="8" t="s">
        <v>21</v>
      </c>
      <c r="F661">
        <v>6.96</v>
      </c>
      <c r="J661">
        <f>250+265+296+319+322+334+328+331+325</f>
        <v>2770</v>
      </c>
      <c r="K661">
        <v>9</v>
      </c>
      <c r="L661">
        <v>334</v>
      </c>
      <c r="N661" t="str">
        <f t="shared" si="30"/>
        <v>NA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128.92132699999999</v>
      </c>
      <c r="P661">
        <f t="shared" si="31"/>
        <v>128.92132699999999</v>
      </c>
      <c r="S661">
        <f t="shared" si="32"/>
        <v>38.045911535999998</v>
      </c>
    </row>
    <row r="662" spans="1:19">
      <c r="A662" s="7">
        <v>42277</v>
      </c>
      <c r="B662" s="8" t="s">
        <v>33</v>
      </c>
      <c r="C662" s="8">
        <v>29</v>
      </c>
      <c r="M662" t="s">
        <v>34</v>
      </c>
      <c r="N662" t="str">
        <f t="shared" si="30"/>
        <v>NA</v>
      </c>
      <c r="S662">
        <f t="shared" si="32"/>
        <v>0</v>
      </c>
    </row>
    <row r="663" spans="1:19">
      <c r="A663" s="7">
        <v>42277</v>
      </c>
      <c r="B663" s="8" t="s">
        <v>33</v>
      </c>
      <c r="C663" s="8">
        <v>25</v>
      </c>
      <c r="D663" s="8" t="s">
        <v>20</v>
      </c>
      <c r="F663">
        <v>11.42</v>
      </c>
      <c r="J663">
        <f>101+165+179+212+240+244+246+260+262+259+265+274</f>
        <v>2707</v>
      </c>
      <c r="K663">
        <v>12</v>
      </c>
      <c r="L663">
        <v>274</v>
      </c>
      <c r="N663" t="str">
        <f t="shared" si="30"/>
        <v>NA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120.02240300000003</v>
      </c>
      <c r="P663">
        <f t="shared" si="31"/>
        <v>120.02240300000003</v>
      </c>
      <c r="S663">
        <f t="shared" si="32"/>
        <v>102.42871451900001</v>
      </c>
    </row>
    <row r="664" spans="1:19">
      <c r="A664" s="7">
        <v>42277</v>
      </c>
      <c r="B664" s="8" t="s">
        <v>33</v>
      </c>
      <c r="C664" s="8">
        <v>25</v>
      </c>
      <c r="D664" s="8" t="s">
        <v>20</v>
      </c>
      <c r="F664">
        <v>5.25</v>
      </c>
      <c r="J664">
        <f>90+81+145+240+292+257+279+296+295+288+282</f>
        <v>2545</v>
      </c>
      <c r="K664">
        <v>11</v>
      </c>
      <c r="L664">
        <v>296</v>
      </c>
      <c r="N664" t="str">
        <f t="shared" si="30"/>
        <v>NA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105.22905600000001</v>
      </c>
      <c r="P664">
        <f t="shared" si="31"/>
        <v>105.22905600000001</v>
      </c>
      <c r="S664">
        <f t="shared" si="32"/>
        <v>21.64751859375</v>
      </c>
    </row>
    <row r="665" spans="1:19">
      <c r="A665" s="7">
        <v>42277</v>
      </c>
      <c r="B665" s="8" t="s">
        <v>33</v>
      </c>
      <c r="C665" s="8">
        <v>25</v>
      </c>
      <c r="D665" s="8" t="s">
        <v>20</v>
      </c>
      <c r="F665">
        <v>8.48</v>
      </c>
      <c r="J665">
        <f>127+172+179+184+183+185+187+190+192+195+200+205+207+213</f>
        <v>2619</v>
      </c>
      <c r="K665">
        <v>14</v>
      </c>
      <c r="L665">
        <v>213</v>
      </c>
      <c r="N665" t="str">
        <f t="shared" si="30"/>
        <v>NA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116.10320200000004</v>
      </c>
      <c r="P665">
        <f t="shared" si="31"/>
        <v>116.10320200000004</v>
      </c>
      <c r="S665">
        <f t="shared" si="32"/>
        <v>56.478248384000004</v>
      </c>
    </row>
    <row r="1048576" spans="1:1">
      <c r="A1048576" s="7"/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B1" workbookViewId="0">
      <pane ySplit="2640" topLeftCell="A9" activePane="bottomLeft"/>
      <selection pane="bottomLeft" activeCell="AE53" sqref="AE53"/>
    </sheetView>
  </sheetViews>
  <sheetFormatPr baseColWidth="10" defaultRowHeight="15" x14ac:dyDescent="0"/>
  <sheetData>
    <row r="1" spans="1:34" ht="20" thickBot="1">
      <c r="A1" s="43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2"/>
      <c r="AA1" s="12"/>
    </row>
    <row r="2" spans="1:34" ht="99" thickTop="1">
      <c r="A2" s="13" t="s">
        <v>37</v>
      </c>
      <c r="B2" s="13" t="s">
        <v>4</v>
      </c>
      <c r="C2" s="5" t="s">
        <v>38</v>
      </c>
      <c r="D2" s="14" t="s">
        <v>39</v>
      </c>
      <c r="E2" s="13" t="s">
        <v>40</v>
      </c>
      <c r="F2" s="5" t="s">
        <v>41</v>
      </c>
      <c r="G2" s="5" t="s">
        <v>39</v>
      </c>
      <c r="H2" s="13" t="s">
        <v>42</v>
      </c>
      <c r="I2" s="5" t="s">
        <v>43</v>
      </c>
      <c r="J2" s="5" t="s">
        <v>39</v>
      </c>
      <c r="K2" s="13" t="s">
        <v>44</v>
      </c>
      <c r="L2" s="5" t="s">
        <v>45</v>
      </c>
      <c r="M2" s="15" t="s">
        <v>39</v>
      </c>
      <c r="N2" s="13" t="s">
        <v>46</v>
      </c>
      <c r="O2" s="5" t="s">
        <v>47</v>
      </c>
      <c r="P2" s="5" t="s">
        <v>39</v>
      </c>
      <c r="Q2" s="13" t="s">
        <v>48</v>
      </c>
      <c r="R2" s="5" t="s">
        <v>49</v>
      </c>
      <c r="S2" s="15" t="s">
        <v>39</v>
      </c>
      <c r="T2" s="13" t="s">
        <v>50</v>
      </c>
      <c r="U2" s="5" t="s">
        <v>51</v>
      </c>
      <c r="V2" s="5" t="s">
        <v>39</v>
      </c>
      <c r="W2" s="13" t="s">
        <v>52</v>
      </c>
      <c r="X2" s="13" t="s">
        <v>53</v>
      </c>
      <c r="Y2" s="13" t="s">
        <v>54</v>
      </c>
      <c r="Z2" s="13" t="s">
        <v>55</v>
      </c>
      <c r="AA2" s="13" t="s">
        <v>56</v>
      </c>
      <c r="AB2" s="13" t="s">
        <v>57</v>
      </c>
      <c r="AC2" s="13" t="s">
        <v>58</v>
      </c>
      <c r="AD2" s="13" t="s">
        <v>59</v>
      </c>
      <c r="AE2" s="13" t="s">
        <v>60</v>
      </c>
      <c r="AF2" s="16" t="s">
        <v>61</v>
      </c>
      <c r="AG2" s="16" t="s">
        <v>62</v>
      </c>
      <c r="AH2" s="16" t="s">
        <v>63</v>
      </c>
    </row>
    <row r="3" spans="1:34">
      <c r="A3" s="17" t="s">
        <v>64</v>
      </c>
      <c r="B3" s="18">
        <v>39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Measurements'!P83:P90)</f>
        <v>188.06242900000007</v>
      </c>
      <c r="S3" s="21"/>
      <c r="T3" s="18">
        <f>R3*4</f>
        <v>752.24971600000026</v>
      </c>
      <c r="U3" s="19"/>
      <c r="V3" s="21"/>
      <c r="W3" s="18">
        <f>U3*4</f>
        <v>0</v>
      </c>
      <c r="X3" s="18">
        <f>SUM(W3,T3,Q3,N3,K3,H3,E3)</f>
        <v>752.24971600000026</v>
      </c>
      <c r="Y3" s="22">
        <f>AVERAGE(X3:X7)</f>
        <v>494.67653040000016</v>
      </c>
      <c r="Z3" s="23">
        <f>E3+Q3</f>
        <v>0</v>
      </c>
      <c r="AA3" s="23">
        <f>W3+T3</f>
        <v>752.24971600000026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3164.5081393944306</v>
      </c>
    </row>
    <row r="4" spans="1:34">
      <c r="A4" s="24" t="s">
        <v>64</v>
      </c>
      <c r="B4" s="25">
        <v>27</v>
      </c>
      <c r="C4" s="26"/>
      <c r="D4" s="27"/>
      <c r="E4" s="18">
        <f t="shared" ref="E4:E52" si="0">C4*4</f>
        <v>0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>
        <f>SUM('Plant Measurements'!P91:P97)</f>
        <v>158.56930300000002</v>
      </c>
      <c r="S4" s="28"/>
      <c r="T4" s="18">
        <f t="shared" ref="T4:T52" si="5">R4*4</f>
        <v>634.27721200000008</v>
      </c>
      <c r="U4" s="26"/>
      <c r="V4" s="28"/>
      <c r="W4" s="18">
        <f t="shared" ref="W4:W52" si="6">U4*4</f>
        <v>0</v>
      </c>
      <c r="X4" s="25">
        <f t="shared" ref="X4:X52" si="7">SUM(W4,T4,Q4,N4,K4,H4,E4)</f>
        <v>634.27721200000008</v>
      </c>
      <c r="Y4" s="29"/>
      <c r="Z4" s="23">
        <f t="shared" ref="Z4:Z52" si="8">E4+Q4</f>
        <v>0</v>
      </c>
      <c r="AA4" s="23">
        <f t="shared" ref="AA4:AA52" si="9">W4+T4</f>
        <v>634.27721200000008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2668.2301864855822</v>
      </c>
    </row>
    <row r="5" spans="1:34">
      <c r="A5" s="24" t="s">
        <v>64</v>
      </c>
      <c r="B5" s="25">
        <v>14</v>
      </c>
      <c r="C5" s="26">
        <f>SUM('Plant Measurements'!P102:P103)</f>
        <v>5.1202260000000006</v>
      </c>
      <c r="D5" s="27"/>
      <c r="E5" s="18">
        <f t="shared" si="0"/>
        <v>20.480904000000002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>
        <f>SUM('Plant Measurements'!P98:P101)</f>
        <v>26.831903000000022</v>
      </c>
      <c r="S5" s="28"/>
      <c r="T5" s="18">
        <f t="shared" si="5"/>
        <v>107.32761200000009</v>
      </c>
      <c r="U5" s="26"/>
      <c r="V5" s="28"/>
      <c r="W5" s="18">
        <f t="shared" si="6"/>
        <v>0</v>
      </c>
      <c r="X5" s="25">
        <f t="shared" si="7"/>
        <v>127.80851600000008</v>
      </c>
      <c r="Y5" s="29"/>
      <c r="Z5" s="23">
        <f t="shared" si="8"/>
        <v>20.480904000000002</v>
      </c>
      <c r="AA5" s="23">
        <f t="shared" si="9"/>
        <v>107.32761200000009</v>
      </c>
      <c r="AB5">
        <f t="shared" si="10"/>
        <v>0.16024678668516884</v>
      </c>
      <c r="AC5">
        <f t="shared" si="11"/>
        <v>0</v>
      </c>
      <c r="AD5">
        <f t="shared" si="12"/>
        <v>0</v>
      </c>
      <c r="AE5">
        <f t="shared" si="13"/>
        <v>0.83975321331483122</v>
      </c>
      <c r="AF5">
        <f t="shared" si="14"/>
        <v>21033.62801</v>
      </c>
      <c r="AG5">
        <f t="shared" si="15"/>
        <v>4206.7256020000004</v>
      </c>
      <c r="AH5">
        <f t="shared" si="16"/>
        <v>537.65535641082704</v>
      </c>
    </row>
    <row r="6" spans="1:34">
      <c r="A6" s="24" t="s">
        <v>64</v>
      </c>
      <c r="B6" s="25">
        <v>11</v>
      </c>
      <c r="C6" s="26"/>
      <c r="D6" s="27"/>
      <c r="E6" s="18">
        <f t="shared" si="0"/>
        <v>0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>
        <f>SUM('Plant Measurements'!P109:P117)</f>
        <v>113.44029700000004</v>
      </c>
      <c r="S6" s="28"/>
      <c r="T6" s="18">
        <f t="shared" si="5"/>
        <v>453.76118800000017</v>
      </c>
      <c r="U6" s="26"/>
      <c r="V6" s="28"/>
      <c r="W6" s="18">
        <f t="shared" si="6"/>
        <v>0</v>
      </c>
      <c r="X6" s="25">
        <f t="shared" si="7"/>
        <v>453.76118800000017</v>
      </c>
      <c r="Y6" s="29"/>
      <c r="Z6" s="23">
        <f t="shared" si="8"/>
        <v>0</v>
      </c>
      <c r="AA6" s="23">
        <f t="shared" si="9"/>
        <v>453.76118800000017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1908.8488067535361</v>
      </c>
    </row>
    <row r="7" spans="1:34">
      <c r="A7" s="30" t="s">
        <v>64</v>
      </c>
      <c r="B7" s="31">
        <v>6</v>
      </c>
      <c r="C7" s="32"/>
      <c r="D7" s="33"/>
      <c r="E7" s="18">
        <f t="shared" si="0"/>
        <v>0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>
        <f>SUM('Plant Measurements'!P118:P129)</f>
        <v>126.32150500000003</v>
      </c>
      <c r="S7" s="34"/>
      <c r="T7" s="18">
        <f t="shared" si="5"/>
        <v>505.28602000000012</v>
      </c>
      <c r="U7" s="32"/>
      <c r="V7" s="34"/>
      <c r="W7" s="18">
        <f t="shared" si="6"/>
        <v>0</v>
      </c>
      <c r="X7" s="31">
        <f t="shared" si="7"/>
        <v>505.28602000000012</v>
      </c>
      <c r="Y7" s="35"/>
      <c r="Z7" s="23">
        <f t="shared" si="8"/>
        <v>0</v>
      </c>
      <c r="AA7" s="23">
        <f t="shared" si="9"/>
        <v>505.28602000000012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2125.599636666685</v>
      </c>
    </row>
    <row r="8" spans="1:34">
      <c r="A8" s="17" t="s">
        <v>27</v>
      </c>
      <c r="B8" s="18">
        <v>50</v>
      </c>
      <c r="C8" s="19"/>
      <c r="D8" s="20"/>
      <c r="E8" s="18">
        <f t="shared" si="0"/>
        <v>0</v>
      </c>
      <c r="F8" s="19"/>
      <c r="G8" s="21"/>
      <c r="H8" s="18"/>
      <c r="I8" s="19"/>
      <c r="J8" s="21"/>
      <c r="K8" s="18">
        <f t="shared" si="2"/>
        <v>0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>
        <f>SUM('Plant Measurements'!P171:P179)</f>
        <v>917.36354881000022</v>
      </c>
      <c r="S8" s="21"/>
      <c r="T8" s="18">
        <f t="shared" si="5"/>
        <v>3669.4541952400009</v>
      </c>
      <c r="U8" s="19"/>
      <c r="V8" s="21"/>
      <c r="W8" s="18">
        <f t="shared" si="6"/>
        <v>0</v>
      </c>
      <c r="X8" s="18">
        <f t="shared" si="7"/>
        <v>3669.4541952400009</v>
      </c>
      <c r="Y8" s="22">
        <f>AVERAGE(X8:X12)</f>
        <v>1204.022916868405</v>
      </c>
      <c r="Z8" s="23">
        <f t="shared" si="8"/>
        <v>0</v>
      </c>
      <c r="AA8" s="23">
        <f t="shared" si="9"/>
        <v>3669.4541952400009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21033.62801</v>
      </c>
      <c r="AG8">
        <f t="shared" si="15"/>
        <v>4206.7256020000004</v>
      </c>
      <c r="AH8">
        <f t="shared" si="16"/>
        <v>15436.38690848242</v>
      </c>
    </row>
    <row r="9" spans="1:34">
      <c r="A9" s="24" t="s">
        <v>27</v>
      </c>
      <c r="B9" s="25">
        <v>9</v>
      </c>
      <c r="C9" s="26">
        <f>SUM('Plant Measurements'!P181:P182)</f>
        <v>15.145241000000002</v>
      </c>
      <c r="D9" s="27"/>
      <c r="E9" s="18">
        <f t="shared" si="0"/>
        <v>60.580964000000009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>
        <f>SUM('Plant Measurements'!P183:P184)</f>
        <v>204.84812399999998</v>
      </c>
      <c r="S9" s="28"/>
      <c r="T9" s="18">
        <f t="shared" si="5"/>
        <v>819.39249599999994</v>
      </c>
      <c r="U9" s="26"/>
      <c r="V9" s="28"/>
      <c r="W9" s="18">
        <f t="shared" si="6"/>
        <v>0</v>
      </c>
      <c r="X9" s="25">
        <f>SUM(W9,T9,Q9,N9,K9,H9,E9)</f>
        <v>879.97345999999993</v>
      </c>
      <c r="Y9" s="29"/>
      <c r="Z9" s="23">
        <f t="shared" si="8"/>
        <v>60.580964000000009</v>
      </c>
      <c r="AA9" s="23">
        <f t="shared" si="9"/>
        <v>819.39249599999994</v>
      </c>
      <c r="AB9">
        <f t="shared" si="10"/>
        <v>6.884408082034657E-2</v>
      </c>
      <c r="AC9">
        <f t="shared" si="11"/>
        <v>0</v>
      </c>
      <c r="AD9">
        <f t="shared" si="12"/>
        <v>0</v>
      </c>
      <c r="AE9">
        <f t="shared" si="13"/>
        <v>0.93115591917965346</v>
      </c>
      <c r="AF9">
        <f t="shared" si="14"/>
        <v>21033.62801</v>
      </c>
      <c r="AG9">
        <f t="shared" si="15"/>
        <v>4206.7256020000004</v>
      </c>
      <c r="AH9">
        <f t="shared" si="16"/>
        <v>3701.8068832625231</v>
      </c>
    </row>
    <row r="10" spans="1:34">
      <c r="A10" s="24" t="s">
        <v>27</v>
      </c>
      <c r="B10" s="25">
        <v>6</v>
      </c>
      <c r="C10" s="26"/>
      <c r="D10" s="27"/>
      <c r="E10" s="18">
        <f t="shared" si="0"/>
        <v>0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/>
      <c r="S10" s="28"/>
      <c r="T10" s="18">
        <f t="shared" si="5"/>
        <v>0</v>
      </c>
      <c r="U10" s="26"/>
      <c r="V10" s="28"/>
      <c r="W10" s="18">
        <f t="shared" si="6"/>
        <v>0</v>
      </c>
      <c r="X10" s="25">
        <f t="shared" si="7"/>
        <v>0</v>
      </c>
      <c r="Y10" s="29"/>
      <c r="Z10" s="23">
        <f t="shared" si="8"/>
        <v>0</v>
      </c>
      <c r="AA10" s="23">
        <f t="shared" si="9"/>
        <v>0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>
        <f t="shared" si="14"/>
        <v>21033.62801</v>
      </c>
      <c r="AG10">
        <f t="shared" si="15"/>
        <v>4206.7256020000004</v>
      </c>
      <c r="AH10">
        <f t="shared" si="16"/>
        <v>0</v>
      </c>
    </row>
    <row r="11" spans="1:34">
      <c r="A11" s="24" t="s">
        <v>27</v>
      </c>
      <c r="B11" s="25">
        <v>4</v>
      </c>
      <c r="C11" s="26">
        <f>SUM('Plant Measurements'!P189,'Plant Measurements'!P191,'Plant Measurements'!P206)</f>
        <v>17.469013275506132</v>
      </c>
      <c r="D11" s="27"/>
      <c r="E11" s="18">
        <f t="shared" si="0"/>
        <v>69.876053102024528</v>
      </c>
      <c r="F11" s="26"/>
      <c r="G11" s="28"/>
      <c r="H11" s="25">
        <f t="shared" si="17"/>
        <v>0</v>
      </c>
      <c r="I11" s="26">
        <f>SUM('Plant Measurements'!P207,'Plant Measurements'!P198:P200)</f>
        <v>22.228407000000001</v>
      </c>
      <c r="J11" s="28"/>
      <c r="K11" s="18">
        <f t="shared" si="2"/>
        <v>88.913628000000003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Measurements'!P187,'Plant Measurements'!P188,'Plant Measurements'!P190,'Plant Measurements'!P192,'Plant Measurements'!P193,'Plant Measurements'!P194:P197,'Plant Measurements'!P201:P205,'Plant Measurements'!P208:P209)</f>
        <v>307.9554930000001</v>
      </c>
      <c r="S11" s="28"/>
      <c r="T11" s="18">
        <f t="shared" si="5"/>
        <v>1231.8219720000004</v>
      </c>
      <c r="U11" s="26"/>
      <c r="V11" s="28"/>
      <c r="W11" s="18">
        <f t="shared" si="6"/>
        <v>0</v>
      </c>
      <c r="X11" s="25">
        <f t="shared" si="7"/>
        <v>1390.611653102025</v>
      </c>
      <c r="Y11" s="29"/>
      <c r="Z11" s="23">
        <f t="shared" si="8"/>
        <v>69.876053102024528</v>
      </c>
      <c r="AA11" s="23">
        <f t="shared" si="9"/>
        <v>1231.8219720000004</v>
      </c>
      <c r="AB11">
        <f t="shared" si="10"/>
        <v>5.0248430570930883E-2</v>
      </c>
      <c r="AC11">
        <f t="shared" si="11"/>
        <v>0</v>
      </c>
      <c r="AD11">
        <f t="shared" si="12"/>
        <v>6.3938503464760391E-2</v>
      </c>
      <c r="AE11">
        <f t="shared" si="13"/>
        <v>0.88581306596430864</v>
      </c>
      <c r="AF11">
        <f t="shared" si="14"/>
        <v>21033.62801</v>
      </c>
      <c r="AG11">
        <f t="shared" si="15"/>
        <v>4206.7256020000004</v>
      </c>
      <c r="AH11">
        <f t="shared" si="16"/>
        <v>5849.921643543832</v>
      </c>
    </row>
    <row r="12" spans="1:34">
      <c r="A12" s="30" t="s">
        <v>27</v>
      </c>
      <c r="B12" s="31">
        <v>2</v>
      </c>
      <c r="C12" s="32">
        <f>SUM('Plant Measurements'!P210:P213)</f>
        <v>20.018819000000004</v>
      </c>
      <c r="D12" s="33"/>
      <c r="E12" s="18">
        <f t="shared" si="0"/>
        <v>80.075276000000017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/>
      <c r="S12" s="34"/>
      <c r="T12" s="18">
        <f t="shared" si="5"/>
        <v>0</v>
      </c>
      <c r="U12" s="32"/>
      <c r="V12" s="34"/>
      <c r="W12" s="18">
        <f t="shared" si="6"/>
        <v>0</v>
      </c>
      <c r="X12" s="31">
        <f t="shared" si="7"/>
        <v>80.075276000000017</v>
      </c>
      <c r="Y12" s="35"/>
      <c r="Z12" s="23">
        <f t="shared" si="8"/>
        <v>80.075276000000017</v>
      </c>
      <c r="AA12" s="23">
        <f t="shared" si="9"/>
        <v>0</v>
      </c>
      <c r="AB12">
        <f t="shared" si="10"/>
        <v>1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21033.62801</v>
      </c>
      <c r="AG12">
        <f t="shared" si="15"/>
        <v>4206.7256020000004</v>
      </c>
      <c r="AH12">
        <f t="shared" si="16"/>
        <v>336.85471363641625</v>
      </c>
    </row>
    <row r="13" spans="1:34">
      <c r="A13" s="36" t="s">
        <v>19</v>
      </c>
      <c r="B13" s="37">
        <v>48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Measurements'!P4:P19)</f>
        <v>268.47178900000011</v>
      </c>
      <c r="S13" s="21"/>
      <c r="T13" s="18">
        <f t="shared" si="5"/>
        <v>1073.8871560000005</v>
      </c>
      <c r="U13" s="19"/>
      <c r="V13" s="21"/>
      <c r="W13" s="18">
        <f t="shared" si="6"/>
        <v>0</v>
      </c>
      <c r="X13" s="18">
        <f t="shared" si="7"/>
        <v>1073.8871560000005</v>
      </c>
      <c r="Y13" s="22">
        <f>AVERAGE(X13:X17)</f>
        <v>704.42685862400026</v>
      </c>
      <c r="Z13" s="23">
        <f t="shared" si="8"/>
        <v>0</v>
      </c>
      <c r="AA13" s="23">
        <f t="shared" si="9"/>
        <v>1073.8871560000005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4517.5485928041699</v>
      </c>
    </row>
    <row r="14" spans="1:34">
      <c r="A14" s="24" t="s">
        <v>19</v>
      </c>
      <c r="B14" s="25">
        <v>30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/>
      <c r="J14" s="28"/>
      <c r="K14" s="18">
        <f t="shared" si="2"/>
        <v>0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Measurements'!P14:P19)</f>
        <v>61.850275000000011</v>
      </c>
      <c r="S14" s="28"/>
      <c r="T14" s="18">
        <f t="shared" si="5"/>
        <v>247.40110000000004</v>
      </c>
      <c r="U14" s="26">
        <f>SUM('Plant Measurements'!P20)</f>
        <v>72.761770279999979</v>
      </c>
      <c r="V14" s="28"/>
      <c r="W14" s="18">
        <f t="shared" si="6"/>
        <v>291.04708111999992</v>
      </c>
      <c r="X14" s="25">
        <f t="shared" si="7"/>
        <v>538.44818111999996</v>
      </c>
      <c r="Y14" s="29"/>
      <c r="Z14" s="23">
        <f t="shared" si="8"/>
        <v>0</v>
      </c>
      <c r="AA14" s="23">
        <f t="shared" si="9"/>
        <v>538.44818111999996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2265.1037488678371</v>
      </c>
    </row>
    <row r="15" spans="1:34">
      <c r="A15" s="24" t="s">
        <v>19</v>
      </c>
      <c r="B15" s="25">
        <v>21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/>
      <c r="J15" s="28"/>
      <c r="K15" s="18">
        <f t="shared" si="2"/>
        <v>0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Measurements'!P21:P33)</f>
        <v>208.931635</v>
      </c>
      <c r="S15" s="28"/>
      <c r="T15" s="18">
        <f t="shared" si="5"/>
        <v>835.72654</v>
      </c>
      <c r="U15" s="26"/>
      <c r="V15" s="28"/>
      <c r="W15" s="18">
        <f t="shared" si="6"/>
        <v>0</v>
      </c>
      <c r="X15" s="25">
        <f t="shared" si="7"/>
        <v>835.72654</v>
      </c>
      <c r="Y15" s="29"/>
      <c r="Z15" s="23">
        <f t="shared" si="8"/>
        <v>0</v>
      </c>
      <c r="AA15" s="23">
        <f t="shared" si="9"/>
        <v>835.72654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3515.6722320888775</v>
      </c>
    </row>
    <row r="16" spans="1:34">
      <c r="A16" s="24" t="s">
        <v>19</v>
      </c>
      <c r="B16" s="25">
        <v>20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/>
      <c r="J16" s="28"/>
      <c r="K16" s="18">
        <f t="shared" si="2"/>
        <v>0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>
        <f>SUM('Plant Measurements'!P34:P47)</f>
        <v>268.51810400000011</v>
      </c>
      <c r="S16" s="28"/>
      <c r="T16" s="18">
        <f t="shared" si="5"/>
        <v>1074.0724160000004</v>
      </c>
      <c r="U16" s="26"/>
      <c r="V16" s="28"/>
      <c r="W16" s="18">
        <f t="shared" si="6"/>
        <v>0</v>
      </c>
      <c r="X16" s="25">
        <f t="shared" si="7"/>
        <v>1074.0724160000004</v>
      </c>
      <c r="Y16" s="29"/>
      <c r="Z16" s="23">
        <f t="shared" si="8"/>
        <v>0</v>
      </c>
      <c r="AA16" s="23">
        <f t="shared" si="9"/>
        <v>1074.0724160000004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4518.3279307891971</v>
      </c>
    </row>
    <row r="17" spans="1:34">
      <c r="A17" s="30" t="s">
        <v>19</v>
      </c>
      <c r="B17" s="31">
        <v>7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/>
      <c r="S17" s="34"/>
      <c r="T17" s="18">
        <f t="shared" si="5"/>
        <v>0</v>
      </c>
      <c r="U17" s="32"/>
      <c r="V17" s="34"/>
      <c r="W17" s="18">
        <f t="shared" si="6"/>
        <v>0</v>
      </c>
      <c r="X17" s="31">
        <f t="shared" si="7"/>
        <v>0</v>
      </c>
      <c r="Y17" s="35"/>
      <c r="Z17" s="23">
        <f t="shared" si="8"/>
        <v>0</v>
      </c>
      <c r="AA17" s="23">
        <f t="shared" si="9"/>
        <v>0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>
        <f t="shared" si="14"/>
        <v>21033.62801</v>
      </c>
      <c r="AG17">
        <f t="shared" si="15"/>
        <v>4206.7256020000004</v>
      </c>
      <c r="AH17">
        <f t="shared" si="16"/>
        <v>0</v>
      </c>
    </row>
    <row r="18" spans="1:34">
      <c r="A18" s="17" t="s">
        <v>65</v>
      </c>
      <c r="B18" s="18">
        <v>45</v>
      </c>
      <c r="C18" s="19"/>
      <c r="D18" s="20"/>
      <c r="E18" s="18">
        <f t="shared" si="0"/>
        <v>0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Measurements'!P50:P60)</f>
        <v>674.71182700000008</v>
      </c>
      <c r="S18" s="21"/>
      <c r="T18" s="18">
        <f t="shared" si="5"/>
        <v>2698.8473080000003</v>
      </c>
      <c r="U18" s="19"/>
      <c r="V18" s="21"/>
      <c r="W18" s="18">
        <f t="shared" si="6"/>
        <v>0</v>
      </c>
      <c r="X18" s="18">
        <f t="shared" si="7"/>
        <v>2698.8473080000003</v>
      </c>
      <c r="Y18" s="22">
        <f>AVERAGE(X18:X22)</f>
        <v>857.88451967240019</v>
      </c>
      <c r="Z18" s="23">
        <f t="shared" si="8"/>
        <v>0</v>
      </c>
      <c r="AA18" s="23">
        <f t="shared" si="9"/>
        <v>2698.8473080000003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11353.310066452383</v>
      </c>
    </row>
    <row r="19" spans="1:34">
      <c r="A19" s="24" t="s">
        <v>65</v>
      </c>
      <c r="B19" s="38">
        <v>26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>
        <f>SUM('Plant Measurements'!P61:P73)</f>
        <v>302.72712100000012</v>
      </c>
      <c r="S19" s="28"/>
      <c r="T19" s="18">
        <f t="shared" si="5"/>
        <v>1210.9084840000005</v>
      </c>
      <c r="U19" s="26"/>
      <c r="V19" s="28"/>
      <c r="W19" s="18">
        <f t="shared" si="6"/>
        <v>0</v>
      </c>
      <c r="X19" s="25">
        <f t="shared" si="7"/>
        <v>1210.9084840000005</v>
      </c>
      <c r="Y19" s="29"/>
      <c r="Z19" s="23">
        <f t="shared" si="8"/>
        <v>0</v>
      </c>
      <c r="AA19" s="23">
        <f t="shared" si="9"/>
        <v>1210.9084840000005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5093.9597213218103</v>
      </c>
    </row>
    <row r="20" spans="1:34">
      <c r="A20" s="24" t="s">
        <v>65</v>
      </c>
      <c r="B20" s="25">
        <v>24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/>
      <c r="J20" s="28"/>
      <c r="K20" s="18">
        <f t="shared" si="2"/>
        <v>0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Measurements'!S74:S78)</f>
        <v>72.990759582999999</v>
      </c>
      <c r="S20" s="28"/>
      <c r="T20" s="18">
        <f t="shared" si="5"/>
        <v>291.963038332</v>
      </c>
      <c r="U20" s="26"/>
      <c r="V20" s="28"/>
      <c r="W20" s="18">
        <f t="shared" si="6"/>
        <v>0</v>
      </c>
      <c r="X20" s="25">
        <f t="shared" si="7"/>
        <v>291.963038332</v>
      </c>
      <c r="Y20" s="29"/>
      <c r="Z20" s="23">
        <f t="shared" si="8"/>
        <v>0</v>
      </c>
      <c r="AA20" s="23">
        <f t="shared" si="9"/>
        <v>291.963038332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1228.2083881889318</v>
      </c>
    </row>
    <row r="21" spans="1:34">
      <c r="A21" s="24" t="s">
        <v>65</v>
      </c>
      <c r="B21" s="25">
        <v>19</v>
      </c>
      <c r="C21" s="26"/>
      <c r="D21" s="27"/>
      <c r="E21" s="18">
        <f t="shared" si="0"/>
        <v>0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Measurements'!S79:S81)</f>
        <v>21.925942007499998</v>
      </c>
      <c r="S21" s="28"/>
      <c r="T21" s="18">
        <f t="shared" si="5"/>
        <v>87.703768029999992</v>
      </c>
      <c r="U21" s="26"/>
      <c r="V21" s="28"/>
      <c r="W21" s="18">
        <f t="shared" si="6"/>
        <v>0</v>
      </c>
      <c r="X21" s="25">
        <f t="shared" si="7"/>
        <v>87.703768029999992</v>
      </c>
      <c r="Y21" s="29"/>
      <c r="Z21" s="23">
        <f t="shared" si="8"/>
        <v>0</v>
      </c>
      <c r="AA21" s="23">
        <f t="shared" si="9"/>
        <v>87.703768029999992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368.94568636367012</v>
      </c>
    </row>
    <row r="22" spans="1:34">
      <c r="A22" s="30" t="s">
        <v>65</v>
      </c>
      <c r="B22" s="25">
        <v>9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/>
      <c r="J22" s="34"/>
      <c r="K22" s="18">
        <f t="shared" si="2"/>
        <v>0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/>
      <c r="S22" s="34"/>
      <c r="T22" s="18">
        <f t="shared" si="5"/>
        <v>0</v>
      </c>
      <c r="U22" s="32"/>
      <c r="V22" s="34"/>
      <c r="W22" s="18">
        <f t="shared" si="6"/>
        <v>0</v>
      </c>
      <c r="X22" s="31">
        <f t="shared" si="7"/>
        <v>0</v>
      </c>
      <c r="Y22" s="35"/>
      <c r="Z22" s="23">
        <f t="shared" si="8"/>
        <v>0</v>
      </c>
      <c r="AA22" s="23">
        <f t="shared" si="9"/>
        <v>0</v>
      </c>
      <c r="AB22" t="str">
        <f t="shared" si="10"/>
        <v xml:space="preserve"> </v>
      </c>
      <c r="AC22" t="str">
        <f t="shared" si="11"/>
        <v xml:space="preserve"> </v>
      </c>
      <c r="AD22" t="str">
        <f t="shared" si="12"/>
        <v xml:space="preserve"> </v>
      </c>
      <c r="AE22" t="str">
        <f t="shared" si="13"/>
        <v xml:space="preserve"> </v>
      </c>
      <c r="AF22">
        <f t="shared" si="14"/>
        <v>21033.62801</v>
      </c>
      <c r="AG22">
        <f t="shared" si="15"/>
        <v>4206.7256020000004</v>
      </c>
      <c r="AH22">
        <f t="shared" si="16"/>
        <v>0</v>
      </c>
    </row>
    <row r="23" spans="1:34">
      <c r="A23" s="17" t="s">
        <v>25</v>
      </c>
      <c r="B23" s="18">
        <v>42</v>
      </c>
      <c r="C23" s="19"/>
      <c r="D23" s="20"/>
      <c r="E23" s="18">
        <f t="shared" si="0"/>
        <v>0</v>
      </c>
      <c r="F23" s="19"/>
      <c r="G23" s="21"/>
      <c r="H23" s="25">
        <f t="shared" si="17"/>
        <v>0</v>
      </c>
      <c r="I23" s="19"/>
      <c r="J23" s="21"/>
      <c r="K23" s="18">
        <f t="shared" si="2"/>
        <v>0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Measurements'!O130:O131,'Plant Measurements'!O133:O138)</f>
        <v>167.32384300000004</v>
      </c>
      <c r="S23" s="21"/>
      <c r="T23" s="18">
        <f t="shared" si="5"/>
        <v>669.29537200000016</v>
      </c>
      <c r="U23" s="19">
        <f>SUM('Plant Measurements'!O132)</f>
        <v>74.29892300000003</v>
      </c>
      <c r="V23" s="21"/>
      <c r="W23" s="18">
        <f t="shared" si="6"/>
        <v>297.19569200000012</v>
      </c>
      <c r="X23" s="18">
        <f t="shared" si="7"/>
        <v>966.49106400000028</v>
      </c>
      <c r="Y23" s="22">
        <f>AVERAGE(X23:X27)</f>
        <v>778.59978182400005</v>
      </c>
      <c r="Z23" s="23">
        <f t="shared" si="8"/>
        <v>0</v>
      </c>
      <c r="AA23" s="23">
        <f t="shared" si="9"/>
        <v>966.49106400000028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21033.62801</v>
      </c>
      <c r="AG23">
        <f t="shared" si="15"/>
        <v>4206.7256020000004</v>
      </c>
      <c r="AH23">
        <f t="shared" si="16"/>
        <v>4065.7627030330223</v>
      </c>
    </row>
    <row r="24" spans="1:34">
      <c r="A24" s="24" t="s">
        <v>25</v>
      </c>
      <c r="B24" s="25">
        <v>33</v>
      </c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/>
      <c r="J24" s="28"/>
      <c r="K24" s="18">
        <f t="shared" si="2"/>
        <v>0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>
        <f>SUM('Plant Measurements'!O139:O146)</f>
        <v>91.82973400000003</v>
      </c>
      <c r="S24" s="28"/>
      <c r="T24" s="18">
        <f t="shared" si="5"/>
        <v>367.31893600000012</v>
      </c>
      <c r="U24" s="26"/>
      <c r="V24" s="28"/>
      <c r="W24" s="18">
        <f t="shared" si="6"/>
        <v>0</v>
      </c>
      <c r="X24" s="25">
        <f t="shared" si="7"/>
        <v>367.31893600000012</v>
      </c>
      <c r="Y24" s="29"/>
      <c r="Z24" s="23">
        <f t="shared" si="8"/>
        <v>0</v>
      </c>
      <c r="AA24" s="23">
        <f t="shared" si="9"/>
        <v>367.31893600000012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1545.2099721706002</v>
      </c>
    </row>
    <row r="25" spans="1:34">
      <c r="A25" s="24" t="s">
        <v>25</v>
      </c>
      <c r="B25" s="25">
        <v>31</v>
      </c>
      <c r="C25" s="26"/>
      <c r="D25" s="27"/>
      <c r="E25" s="18">
        <f t="shared" si="0"/>
        <v>0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>
        <f>SUM('Plant Measurements'!P147:P161)</f>
        <v>579.84775628</v>
      </c>
      <c r="S25" s="28"/>
      <c r="T25" s="18">
        <f t="shared" si="5"/>
        <v>2319.39102512</v>
      </c>
      <c r="U25" s="26"/>
      <c r="V25" s="28"/>
      <c r="W25" s="18">
        <f t="shared" si="6"/>
        <v>0</v>
      </c>
      <c r="X25" s="25">
        <f t="shared" si="7"/>
        <v>2319.39102512</v>
      </c>
      <c r="Y25" s="29"/>
      <c r="Z25" s="23">
        <f t="shared" si="8"/>
        <v>0</v>
      </c>
      <c r="AA25" s="23">
        <f t="shared" si="9"/>
        <v>2319.39102512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9757.0416064213314</v>
      </c>
    </row>
    <row r="26" spans="1:34">
      <c r="A26" s="24" t="s">
        <v>25</v>
      </c>
      <c r="B26" s="25">
        <v>18</v>
      </c>
      <c r="C26" s="26"/>
      <c r="D26" s="27"/>
      <c r="E26" s="18">
        <f t="shared" si="0"/>
        <v>0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>
        <f>SUM('Plant Measurements'!P162:P169)</f>
        <v>59.949471000000017</v>
      </c>
      <c r="S26" s="28"/>
      <c r="T26" s="18">
        <f t="shared" si="5"/>
        <v>239.79788400000007</v>
      </c>
      <c r="U26" s="26"/>
      <c r="V26" s="28"/>
      <c r="W26" s="18">
        <f t="shared" si="6"/>
        <v>0</v>
      </c>
      <c r="X26" s="25">
        <f t="shared" si="7"/>
        <v>239.79788400000007</v>
      </c>
      <c r="Y26" s="29"/>
      <c r="Z26" s="23">
        <f t="shared" si="8"/>
        <v>0</v>
      </c>
      <c r="AA26" s="23">
        <f t="shared" si="9"/>
        <v>239.79788400000007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1008.7638979282265</v>
      </c>
    </row>
    <row r="27" spans="1:34">
      <c r="A27" s="30" t="s">
        <v>25</v>
      </c>
      <c r="B27" s="31">
        <v>12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/>
      <c r="J27" s="34"/>
      <c r="K27" s="18">
        <f t="shared" si="2"/>
        <v>0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/>
      <c r="S27" s="34"/>
      <c r="T27" s="18">
        <f t="shared" si="5"/>
        <v>0</v>
      </c>
      <c r="U27" s="32"/>
      <c r="V27" s="34"/>
      <c r="W27" s="18">
        <f t="shared" si="6"/>
        <v>0</v>
      </c>
      <c r="X27" s="31">
        <f t="shared" si="7"/>
        <v>0</v>
      </c>
      <c r="Y27" s="35"/>
      <c r="Z27" s="23">
        <f t="shared" si="8"/>
        <v>0</v>
      </c>
      <c r="AA27" s="23">
        <f t="shared" si="9"/>
        <v>0</v>
      </c>
      <c r="AB27" t="str">
        <f t="shared" si="10"/>
        <v xml:space="preserve"> </v>
      </c>
      <c r="AC27" t="str">
        <f t="shared" si="11"/>
        <v xml:space="preserve"> </v>
      </c>
      <c r="AD27" t="str">
        <f t="shared" si="12"/>
        <v xml:space="preserve"> </v>
      </c>
      <c r="AE27" t="str">
        <f t="shared" si="13"/>
        <v xml:space="preserve"> </v>
      </c>
      <c r="AF27">
        <f t="shared" si="14"/>
        <v>21033.62801</v>
      </c>
      <c r="AG27">
        <f t="shared" si="15"/>
        <v>4206.7256020000004</v>
      </c>
      <c r="AH27">
        <f t="shared" si="16"/>
        <v>0</v>
      </c>
    </row>
    <row r="28" spans="1:34">
      <c r="A28" s="17" t="s">
        <v>29</v>
      </c>
      <c r="B28" s="37">
        <v>32</v>
      </c>
      <c r="C28" s="19"/>
      <c r="D28" s="20"/>
      <c r="E28" s="18">
        <f t="shared" si="0"/>
        <v>0</v>
      </c>
      <c r="F28" s="19"/>
      <c r="G28" s="21"/>
      <c r="H28" s="25">
        <f t="shared" si="17"/>
        <v>0</v>
      </c>
      <c r="I28" s="19"/>
      <c r="J28" s="21"/>
      <c r="K28" s="18">
        <f t="shared" si="2"/>
        <v>0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>
        <f>SUM('Plant Measurements'!P214:P219)</f>
        <v>464.90793600000012</v>
      </c>
      <c r="S28" s="21"/>
      <c r="T28" s="18">
        <f t="shared" si="5"/>
        <v>1859.6317440000005</v>
      </c>
      <c r="U28" s="19"/>
      <c r="V28" s="21"/>
      <c r="W28" s="18">
        <f t="shared" si="6"/>
        <v>0</v>
      </c>
      <c r="X28" s="18">
        <f t="shared" si="7"/>
        <v>1859.6317440000005</v>
      </c>
      <c r="Y28" s="22">
        <f>AVERAGE(X28:X32)</f>
        <v>1329.3436873972737</v>
      </c>
      <c r="Z28" s="23">
        <f t="shared" si="8"/>
        <v>0</v>
      </c>
      <c r="AA28" s="23">
        <f t="shared" si="9"/>
        <v>1859.6317440000005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21033.62801</v>
      </c>
      <c r="AG28">
        <f t="shared" si="15"/>
        <v>4206.7256020000004</v>
      </c>
      <c r="AH28">
        <f t="shared" si="16"/>
        <v>7822.9604677767129</v>
      </c>
    </row>
    <row r="29" spans="1:34">
      <c r="A29" s="24" t="s">
        <v>29</v>
      </c>
      <c r="B29" s="25">
        <v>28</v>
      </c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>
        <f>SUM('Plant Measurements'!P220:P234)</f>
        <v>554.09671400000013</v>
      </c>
      <c r="S29" s="28"/>
      <c r="T29" s="18">
        <f t="shared" si="5"/>
        <v>2216.3868560000005</v>
      </c>
      <c r="U29" s="26"/>
      <c r="V29" s="28"/>
      <c r="W29" s="18">
        <f t="shared" si="6"/>
        <v>0</v>
      </c>
      <c r="X29" s="25">
        <f t="shared" si="7"/>
        <v>2216.3868560000005</v>
      </c>
      <c r="Y29" s="29"/>
      <c r="Z29" s="23">
        <f t="shared" si="8"/>
        <v>0</v>
      </c>
      <c r="AA29" s="23">
        <f t="shared" si="9"/>
        <v>2216.3868560000005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9323.7313310714908</v>
      </c>
    </row>
    <row r="30" spans="1:34">
      <c r="A30" s="24" t="s">
        <v>29</v>
      </c>
      <c r="B30" s="38">
        <v>10</v>
      </c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>
        <f>SUM('Plant Measurements'!P235:P263)</f>
        <v>264.09222537954889</v>
      </c>
      <c r="J30" s="28"/>
      <c r="K30" s="18">
        <f t="shared" si="2"/>
        <v>1056.3689015181956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/>
      <c r="S30" s="28"/>
      <c r="T30" s="18">
        <f t="shared" si="5"/>
        <v>0</v>
      </c>
      <c r="U30" s="26"/>
      <c r="V30" s="28"/>
      <c r="W30" s="18">
        <f t="shared" si="6"/>
        <v>0</v>
      </c>
      <c r="X30" s="25">
        <f t="shared" si="7"/>
        <v>1056.3689015181956</v>
      </c>
      <c r="Y30" s="29"/>
      <c r="Z30" s="23">
        <f t="shared" si="8"/>
        <v>0</v>
      </c>
      <c r="AA30" s="23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1</v>
      </c>
      <c r="AE30">
        <f t="shared" si="13"/>
        <v>0</v>
      </c>
      <c r="AF30">
        <f t="shared" si="14"/>
        <v>21033.62801</v>
      </c>
      <c r="AG30">
        <f t="shared" si="15"/>
        <v>4206.7256020000004</v>
      </c>
      <c r="AH30">
        <f t="shared" si="16"/>
        <v>4443.8541031732102</v>
      </c>
    </row>
    <row r="31" spans="1:34">
      <c r="A31" s="24" t="s">
        <v>29</v>
      </c>
      <c r="B31" s="25">
        <v>8</v>
      </c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>
        <f>SUM('Plant Measurements'!P264:P327)</f>
        <v>346.86694386704301</v>
      </c>
      <c r="J31" s="28"/>
      <c r="K31" s="18">
        <f t="shared" si="2"/>
        <v>1387.467775468172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/>
      <c r="S31" s="28"/>
      <c r="T31" s="18">
        <f t="shared" si="5"/>
        <v>0</v>
      </c>
      <c r="U31" s="26"/>
      <c r="V31" s="28"/>
      <c r="W31" s="18">
        <f t="shared" si="6"/>
        <v>0</v>
      </c>
      <c r="X31" s="25">
        <f t="shared" si="7"/>
        <v>1387.467775468172</v>
      </c>
      <c r="Y31" s="29"/>
      <c r="Z31" s="23">
        <f t="shared" si="8"/>
        <v>0</v>
      </c>
      <c r="AA31" s="23">
        <f t="shared" si="9"/>
        <v>0</v>
      </c>
      <c r="AB31">
        <f t="shared" si="10"/>
        <v>0</v>
      </c>
      <c r="AC31">
        <f t="shared" si="11"/>
        <v>0</v>
      </c>
      <c r="AD31">
        <f t="shared" si="12"/>
        <v>1</v>
      </c>
      <c r="AE31">
        <f t="shared" si="13"/>
        <v>0</v>
      </c>
      <c r="AF31">
        <f t="shared" si="14"/>
        <v>21033.62801</v>
      </c>
      <c r="AG31">
        <f t="shared" si="15"/>
        <v>4206.7256020000004</v>
      </c>
      <c r="AH31">
        <f t="shared" si="16"/>
        <v>5836.6962130119473</v>
      </c>
    </row>
    <row r="32" spans="1:34">
      <c r="A32" s="30" t="s">
        <v>29</v>
      </c>
      <c r="B32" s="25">
        <v>5</v>
      </c>
      <c r="C32" s="32"/>
      <c r="D32" s="33"/>
      <c r="E32" s="18">
        <f t="shared" si="0"/>
        <v>0</v>
      </c>
      <c r="F32" s="32"/>
      <c r="G32" s="34"/>
      <c r="H32" s="25">
        <f t="shared" si="17"/>
        <v>0</v>
      </c>
      <c r="I32" s="32">
        <f>SUM('Plant Measurements'!P333:P335)</f>
        <v>7.7478830000000007</v>
      </c>
      <c r="J32" s="34"/>
      <c r="K32" s="18">
        <f t="shared" si="2"/>
        <v>30.991532000000003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>
        <f>SUM('Plant Measurements'!P336)</f>
        <v>23.967907000000004</v>
      </c>
      <c r="S32" s="34"/>
      <c r="T32" s="18">
        <f t="shared" si="5"/>
        <v>95.871628000000015</v>
      </c>
      <c r="U32" s="32"/>
      <c r="V32" s="34"/>
      <c r="W32" s="18">
        <f t="shared" si="6"/>
        <v>0</v>
      </c>
      <c r="X32" s="31">
        <f t="shared" si="7"/>
        <v>126.86316000000002</v>
      </c>
      <c r="Y32" s="35"/>
      <c r="Z32" s="23">
        <f t="shared" si="8"/>
        <v>0</v>
      </c>
      <c r="AA32" s="23">
        <f t="shared" si="9"/>
        <v>95.871628000000015</v>
      </c>
      <c r="AB32">
        <f t="shared" si="10"/>
        <v>0</v>
      </c>
      <c r="AC32">
        <f t="shared" si="11"/>
        <v>0</v>
      </c>
      <c r="AD32">
        <f t="shared" si="12"/>
        <v>0.2442910297993523</v>
      </c>
      <c r="AE32">
        <f t="shared" si="13"/>
        <v>0.75570897020064765</v>
      </c>
      <c r="AF32">
        <f t="shared" si="14"/>
        <v>21033.62801</v>
      </c>
      <c r="AG32">
        <f t="shared" si="15"/>
        <v>4206.7256020000004</v>
      </c>
      <c r="AH32">
        <f t="shared" si="16"/>
        <v>533.67850312262249</v>
      </c>
    </row>
    <row r="33" spans="1:34">
      <c r="A33" s="17" t="s">
        <v>31</v>
      </c>
      <c r="B33" s="18">
        <v>38</v>
      </c>
      <c r="C33" s="19"/>
      <c r="D33" s="39"/>
      <c r="E33" s="18">
        <f t="shared" si="0"/>
        <v>0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Measurements'!P455:P463)</f>
        <v>382.94749131999998</v>
      </c>
      <c r="S33" s="21"/>
      <c r="T33" s="18">
        <f t="shared" si="5"/>
        <v>1531.7899652799999</v>
      </c>
      <c r="U33" s="19"/>
      <c r="V33" s="21"/>
      <c r="W33" s="18">
        <f t="shared" si="6"/>
        <v>0</v>
      </c>
      <c r="X33" s="18">
        <f t="shared" si="7"/>
        <v>1531.7899652799999</v>
      </c>
      <c r="Y33" s="22">
        <f>AVERAGE(X33:X37)</f>
        <v>969.27336116078845</v>
      </c>
      <c r="Z33" s="23">
        <f t="shared" si="8"/>
        <v>0</v>
      </c>
      <c r="AA33" s="23">
        <f t="shared" si="9"/>
        <v>1531.7899652799999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6443.8200638300677</v>
      </c>
    </row>
    <row r="34" spans="1:34">
      <c r="A34" s="24" t="s">
        <v>31</v>
      </c>
      <c r="B34" s="25">
        <v>35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>
        <f>SUM('Plant Measurements'!P464:P466,'Plant Measurements'!P469:P474)</f>
        <v>112.63003599999999</v>
      </c>
      <c r="S34" s="28"/>
      <c r="T34" s="18">
        <f t="shared" si="5"/>
        <v>450.52014399999996</v>
      </c>
      <c r="U34" s="26">
        <f>SUM('Plant Measurements'!P467,'Plant Measurements'!P468)</f>
        <v>307.22255983000008</v>
      </c>
      <c r="V34" s="28"/>
      <c r="W34" s="18">
        <f t="shared" si="6"/>
        <v>1228.8902393200003</v>
      </c>
      <c r="X34" s="25">
        <f t="shared" si="7"/>
        <v>1679.4103833200002</v>
      </c>
      <c r="Y34" s="29"/>
      <c r="Z34" s="23">
        <f t="shared" si="8"/>
        <v>0</v>
      </c>
      <c r="AA34" s="23">
        <f t="shared" si="9"/>
        <v>1679.4103833200002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7064.8186557768786</v>
      </c>
    </row>
    <row r="35" spans="1:34">
      <c r="A35" s="24" t="s">
        <v>31</v>
      </c>
      <c r="B35" s="25">
        <v>28</v>
      </c>
      <c r="C35" s="26"/>
      <c r="D35" s="27"/>
      <c r="E35" s="18">
        <f t="shared" si="0"/>
        <v>0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>
        <f>SUM('Plant Measurements'!P476:P482,'Plant Measurements'!P484:P485)</f>
        <v>119.84076700000006</v>
      </c>
      <c r="S35" s="28"/>
      <c r="T35" s="18">
        <f t="shared" si="5"/>
        <v>479.36306800000023</v>
      </c>
      <c r="U35" s="26">
        <f>SUM('Plant Measurements'!P475)</f>
        <v>122.16225528000004</v>
      </c>
      <c r="V35" s="28"/>
      <c r="W35" s="18">
        <f t="shared" si="6"/>
        <v>488.64902112000016</v>
      </c>
      <c r="X35" s="25">
        <f t="shared" si="7"/>
        <v>968.01208912000038</v>
      </c>
      <c r="Y35" s="29"/>
      <c r="Z35" s="23">
        <f t="shared" si="8"/>
        <v>0</v>
      </c>
      <c r="AA35" s="23">
        <f t="shared" si="9"/>
        <v>968.01208912000038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4072.1612383466118</v>
      </c>
    </row>
    <row r="36" spans="1:34">
      <c r="A36" s="24" t="s">
        <v>31</v>
      </c>
      <c r="B36" s="25">
        <v>10</v>
      </c>
      <c r="C36" s="26">
        <f>SUM('Plant Measurements'!P486:P515)</f>
        <v>41.73334124250534</v>
      </c>
      <c r="D36" s="27"/>
      <c r="E36" s="18">
        <f t="shared" si="0"/>
        <v>166.93336497002136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/>
      <c r="S36" s="28"/>
      <c r="T36" s="18">
        <f t="shared" si="5"/>
        <v>0</v>
      </c>
      <c r="U36" s="26"/>
      <c r="V36" s="28"/>
      <c r="W36" s="18">
        <f t="shared" si="6"/>
        <v>0</v>
      </c>
      <c r="X36" s="25">
        <f t="shared" si="7"/>
        <v>166.93336497002136</v>
      </c>
      <c r="Y36" s="29"/>
      <c r="Z36" s="23">
        <f t="shared" si="8"/>
        <v>166.93336497002136</v>
      </c>
      <c r="AA36" s="23">
        <f t="shared" si="9"/>
        <v>0</v>
      </c>
      <c r="AB36">
        <f t="shared" si="10"/>
        <v>1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21033.62801</v>
      </c>
      <c r="AG36">
        <f t="shared" si="15"/>
        <v>4206.7256020000004</v>
      </c>
      <c r="AH36">
        <f t="shared" si="16"/>
        <v>702.24286024739888</v>
      </c>
    </row>
    <row r="37" spans="1:34">
      <c r="A37" s="30" t="s">
        <v>31</v>
      </c>
      <c r="B37" s="31">
        <v>3</v>
      </c>
      <c r="C37" s="32">
        <f>SUM('Plant Measurements'!P516:P524,'Plant Measurements'!P526:P544,'Plant Measurements'!P546:P553)</f>
        <v>109.86657077848005</v>
      </c>
      <c r="D37" s="33"/>
      <c r="E37" s="18">
        <f t="shared" si="0"/>
        <v>439.46628311392021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>
        <f>SUM('Plant Measurements'!P525,'Plant Measurements'!P545)</f>
        <v>15.188679999999998</v>
      </c>
      <c r="S37" s="34"/>
      <c r="T37" s="18">
        <f t="shared" si="5"/>
        <v>60.754719999999992</v>
      </c>
      <c r="U37" s="32"/>
      <c r="V37" s="34"/>
      <c r="W37" s="18">
        <f t="shared" si="6"/>
        <v>0</v>
      </c>
      <c r="X37" s="31">
        <f t="shared" si="7"/>
        <v>500.22100311392023</v>
      </c>
      <c r="Y37" s="35"/>
      <c r="Z37" s="23">
        <f t="shared" si="8"/>
        <v>439.46628311392021</v>
      </c>
      <c r="AA37" s="23">
        <f t="shared" si="9"/>
        <v>60.754719999999992</v>
      </c>
      <c r="AB37">
        <f t="shared" si="10"/>
        <v>0.87854424420047039</v>
      </c>
      <c r="AC37">
        <f t="shared" si="11"/>
        <v>0</v>
      </c>
      <c r="AD37">
        <f t="shared" si="12"/>
        <v>0</v>
      </c>
      <c r="AE37">
        <f t="shared" si="13"/>
        <v>0.12145575579952952</v>
      </c>
      <c r="AF37">
        <f t="shared" si="14"/>
        <v>21033.62801</v>
      </c>
      <c r="AG37">
        <f t="shared" si="15"/>
        <v>4206.7256020000004</v>
      </c>
      <c r="AH37">
        <f t="shared" si="16"/>
        <v>2104.2925004574504</v>
      </c>
    </row>
    <row r="38" spans="1:34">
      <c r="A38" s="17" t="s">
        <v>32</v>
      </c>
      <c r="B38" s="18">
        <v>50</v>
      </c>
      <c r="C38" s="19"/>
      <c r="D38" s="20"/>
      <c r="E38" s="18">
        <f t="shared" si="0"/>
        <v>0</v>
      </c>
      <c r="F38" s="19"/>
      <c r="G38" s="21"/>
      <c r="H38" s="25">
        <f t="shared" si="17"/>
        <v>0</v>
      </c>
      <c r="I38" s="19"/>
      <c r="J38" s="21"/>
      <c r="K38" s="18">
        <f t="shared" si="2"/>
        <v>0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>
        <f>SUM('Plant Measurements'!P554:P556)</f>
        <v>138.12344600000003</v>
      </c>
      <c r="S38" s="21"/>
      <c r="T38" s="18">
        <f t="shared" si="5"/>
        <v>552.49378400000012</v>
      </c>
      <c r="U38" s="19"/>
      <c r="V38" s="21"/>
      <c r="W38" s="18">
        <f t="shared" si="6"/>
        <v>0</v>
      </c>
      <c r="X38" s="18">
        <f t="shared" si="7"/>
        <v>552.49378400000012</v>
      </c>
      <c r="Y38" s="22">
        <f>AVERAGE(X38:X42)</f>
        <v>474.35437600000012</v>
      </c>
      <c r="Z38" s="23">
        <f t="shared" si="8"/>
        <v>0</v>
      </c>
      <c r="AA38" s="23">
        <f t="shared" si="9"/>
        <v>552.49378400000012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2324.1897460986584</v>
      </c>
    </row>
    <row r="39" spans="1:34">
      <c r="A39" s="24" t="s">
        <v>32</v>
      </c>
      <c r="B39" s="25">
        <v>34</v>
      </c>
      <c r="C39" s="26"/>
      <c r="D39" s="27"/>
      <c r="E39" s="18">
        <f t="shared" si="0"/>
        <v>0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>
        <f>SUM('Plant Measurements'!P557:P564)</f>
        <v>93.701713000000012</v>
      </c>
      <c r="S39" s="28"/>
      <c r="T39" s="18">
        <f t="shared" si="5"/>
        <v>374.80685200000005</v>
      </c>
      <c r="U39" s="26"/>
      <c r="V39" s="28"/>
      <c r="W39" s="18">
        <f t="shared" si="6"/>
        <v>0</v>
      </c>
      <c r="X39" s="25">
        <f t="shared" si="7"/>
        <v>374.80685200000005</v>
      </c>
      <c r="Y39" s="29"/>
      <c r="Z39" s="23">
        <f t="shared" si="8"/>
        <v>0</v>
      </c>
      <c r="AA39" s="23">
        <f t="shared" si="9"/>
        <v>374.80685200000005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21033.62801</v>
      </c>
      <c r="AG39">
        <f t="shared" si="15"/>
        <v>4206.7256020000004</v>
      </c>
      <c r="AH39">
        <f t="shared" si="16"/>
        <v>1576.7095801134253</v>
      </c>
    </row>
    <row r="40" spans="1:34">
      <c r="A40" s="24" t="s">
        <v>32</v>
      </c>
      <c r="B40" s="25">
        <v>27</v>
      </c>
      <c r="C40" s="26">
        <f>SUM('Plant Measurements'!P565:P591,'Plant Measurements'!P593:P617,'Plant Measurements'!P619:P621)</f>
        <v>182.78630500000003</v>
      </c>
      <c r="D40" s="27"/>
      <c r="E40" s="18">
        <f t="shared" si="0"/>
        <v>731.14522000000011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Measurements'!P592,'Plant Measurements'!P618)</f>
        <v>38.409310000000005</v>
      </c>
      <c r="S40" s="28"/>
      <c r="T40" s="18">
        <f t="shared" si="5"/>
        <v>153.63724000000002</v>
      </c>
      <c r="U40" s="26"/>
      <c r="V40" s="28"/>
      <c r="W40" s="18">
        <f t="shared" si="6"/>
        <v>0</v>
      </c>
      <c r="X40" s="25">
        <f t="shared" si="7"/>
        <v>884.78246000000013</v>
      </c>
      <c r="Y40" s="29"/>
      <c r="Z40" s="23">
        <f t="shared" si="8"/>
        <v>731.14522000000011</v>
      </c>
      <c r="AA40" s="23">
        <f t="shared" si="9"/>
        <v>153.63724000000002</v>
      </c>
      <c r="AB40">
        <f t="shared" si="10"/>
        <v>0.82635591578069933</v>
      </c>
      <c r="AC40">
        <f t="shared" si="11"/>
        <v>0</v>
      </c>
      <c r="AD40">
        <f t="shared" si="12"/>
        <v>0</v>
      </c>
      <c r="AE40">
        <f t="shared" si="13"/>
        <v>0.17364408421930064</v>
      </c>
      <c r="AF40">
        <f t="shared" si="14"/>
        <v>21033.62801</v>
      </c>
      <c r="AG40">
        <f t="shared" si="15"/>
        <v>4206.7256020000004</v>
      </c>
      <c r="AH40">
        <f t="shared" si="16"/>
        <v>3722.0370266825416</v>
      </c>
    </row>
    <row r="41" spans="1:34">
      <c r="A41" s="24" t="s">
        <v>32</v>
      </c>
      <c r="B41" s="25">
        <v>11</v>
      </c>
      <c r="C41" s="26"/>
      <c r="D41" s="27"/>
      <c r="E41" s="18">
        <f t="shared" si="0"/>
        <v>0</v>
      </c>
      <c r="F41" s="26"/>
      <c r="G41" s="28"/>
      <c r="H41" s="25">
        <f t="shared" si="17"/>
        <v>0</v>
      </c>
      <c r="I41" s="26"/>
      <c r="J41" s="28"/>
      <c r="K41" s="18">
        <f t="shared" si="2"/>
        <v>0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>
        <f>SUM('Plant Measurements'!P622:P629)</f>
        <v>137.18297900000005</v>
      </c>
      <c r="S41" s="28"/>
      <c r="T41" s="18">
        <f t="shared" si="5"/>
        <v>548.73191600000018</v>
      </c>
      <c r="U41" s="26"/>
      <c r="V41" s="28"/>
      <c r="W41" s="18">
        <f t="shared" si="6"/>
        <v>0</v>
      </c>
      <c r="X41" s="25">
        <f t="shared" si="7"/>
        <v>548.73191600000018</v>
      </c>
      <c r="Y41" s="29"/>
      <c r="Z41" s="23">
        <f t="shared" si="8"/>
        <v>0</v>
      </c>
      <c r="AA41" s="23">
        <f t="shared" si="9"/>
        <v>548.73191600000018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2308.3645996717146</v>
      </c>
    </row>
    <row r="42" spans="1:34">
      <c r="A42" s="30" t="s">
        <v>32</v>
      </c>
      <c r="B42" s="31">
        <v>6</v>
      </c>
      <c r="C42" s="32"/>
      <c r="D42" s="33"/>
      <c r="E42" s="18">
        <f>C42*4</f>
        <v>0</v>
      </c>
      <c r="F42" s="32"/>
      <c r="G42" s="34"/>
      <c r="H42" s="25">
        <f t="shared" si="17"/>
        <v>0</v>
      </c>
      <c r="I42" s="32">
        <f>SUM('Plant Measurements'!P630:P647)</f>
        <v>2.7392170000000009</v>
      </c>
      <c r="J42" s="34"/>
      <c r="K42" s="18">
        <f t="shared" si="2"/>
        <v>10.956868000000004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/>
      <c r="S42" s="34"/>
      <c r="T42" s="18">
        <f t="shared" si="5"/>
        <v>0</v>
      </c>
      <c r="U42" s="32"/>
      <c r="V42" s="34"/>
      <c r="W42" s="18">
        <f t="shared" si="6"/>
        <v>0</v>
      </c>
      <c r="X42" s="31">
        <f t="shared" si="7"/>
        <v>10.956868000000004</v>
      </c>
      <c r="Y42" s="35"/>
      <c r="Z42" s="23">
        <f t="shared" si="8"/>
        <v>0</v>
      </c>
      <c r="AA42" s="23">
        <f t="shared" si="9"/>
        <v>0</v>
      </c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0</v>
      </c>
      <c r="AF42">
        <f t="shared" si="14"/>
        <v>21033.62801</v>
      </c>
      <c r="AG42">
        <f t="shared" si="15"/>
        <v>4206.7256020000004</v>
      </c>
      <c r="AH42">
        <f t="shared" si="16"/>
        <v>46.092537133334552</v>
      </c>
    </row>
    <row r="43" spans="1:34">
      <c r="A43" s="17" t="s">
        <v>66</v>
      </c>
      <c r="B43" s="18">
        <v>35</v>
      </c>
      <c r="C43" s="19"/>
      <c r="D43" s="40"/>
      <c r="E43" s="18">
        <f>C43*4</f>
        <v>0</v>
      </c>
      <c r="F43" s="19"/>
      <c r="G43" s="21"/>
      <c r="H43" s="25">
        <f t="shared" ref="H43:H52" si="18">F43*4</f>
        <v>0</v>
      </c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>
        <f>SUM('Plant Measurements'!P343:P360,'Plant Measurements'!P362:P364,'Plant Measurements'!P366,'Plant Measurements'!P369)</f>
        <v>1065.9770260000003</v>
      </c>
      <c r="S43" s="21"/>
      <c r="T43" s="18">
        <f t="shared" si="5"/>
        <v>4263.908104000001</v>
      </c>
      <c r="U43" s="19"/>
      <c r="V43" s="20"/>
      <c r="W43" s="18">
        <f t="shared" si="6"/>
        <v>0</v>
      </c>
      <c r="X43" s="18">
        <f t="shared" si="7"/>
        <v>4263.908104000001</v>
      </c>
      <c r="Y43" s="22">
        <f>AVERAGE(X43:X47)</f>
        <v>1962.7548466043522</v>
      </c>
      <c r="Z43" s="23">
        <f t="shared" si="8"/>
        <v>0</v>
      </c>
      <c r="AA43" s="23">
        <f t="shared" si="9"/>
        <v>4263.908104000001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17937.091385672084</v>
      </c>
    </row>
    <row r="44" spans="1:34">
      <c r="A44" s="24" t="s">
        <v>66</v>
      </c>
      <c r="B44" s="25">
        <v>34</v>
      </c>
      <c r="C44" s="26"/>
      <c r="D44" s="27"/>
      <c r="E44" s="18">
        <f>C44*4</f>
        <v>0</v>
      </c>
      <c r="F44" s="26"/>
      <c r="G44" s="28"/>
      <c r="H44" s="25">
        <f t="shared" si="18"/>
        <v>0</v>
      </c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Measurements'!P337:P342)</f>
        <v>383.90849800000001</v>
      </c>
      <c r="S44" s="28"/>
      <c r="T44" s="18">
        <f t="shared" si="5"/>
        <v>1535.633992</v>
      </c>
      <c r="U44" s="26">
        <f>SUM('Plant Measurements'!P361,'Plant Measurements'!P365,'Plant Measurements'!P367,'Plant Measurements'!P368)</f>
        <v>213.53599632999999</v>
      </c>
      <c r="V44" s="28"/>
      <c r="W44" s="18">
        <f t="shared" si="6"/>
        <v>854.14398531999996</v>
      </c>
      <c r="X44" s="25">
        <f t="shared" si="7"/>
        <v>2389.77797732</v>
      </c>
      <c r="Y44" s="29"/>
      <c r="Z44" s="23">
        <f t="shared" si="8"/>
        <v>0</v>
      </c>
      <c r="AA44" s="23">
        <f t="shared" si="9"/>
        <v>2389.77797732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10053.14020028782</v>
      </c>
    </row>
    <row r="45" spans="1:34">
      <c r="A45" s="24" t="s">
        <v>66</v>
      </c>
      <c r="B45" s="25">
        <v>33</v>
      </c>
      <c r="C45" s="26"/>
      <c r="D45" s="27"/>
      <c r="E45" s="18">
        <f>C45*4</f>
        <v>0</v>
      </c>
      <c r="F45" s="26"/>
      <c r="G45" s="28"/>
      <c r="H45" s="25">
        <f t="shared" si="18"/>
        <v>0</v>
      </c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>
        <f>SUM('Plant Measurements'!P370:P378)</f>
        <v>206.42670500000011</v>
      </c>
      <c r="S45" s="28"/>
      <c r="T45" s="18">
        <f t="shared" si="5"/>
        <v>825.70682000000045</v>
      </c>
      <c r="U45" s="26"/>
      <c r="V45" s="28"/>
      <c r="W45" s="18">
        <f t="shared" si="6"/>
        <v>0</v>
      </c>
      <c r="X45" s="25">
        <f t="shared" si="7"/>
        <v>825.70682000000045</v>
      </c>
      <c r="Y45" s="29"/>
      <c r="Z45" s="23">
        <f t="shared" si="8"/>
        <v>0</v>
      </c>
      <c r="AA45" s="23">
        <f t="shared" si="9"/>
        <v>825.70682000000045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3473.5220194400081</v>
      </c>
    </row>
    <row r="46" spans="1:34">
      <c r="A46" s="24" t="s">
        <v>66</v>
      </c>
      <c r="B46" s="25">
        <v>27</v>
      </c>
      <c r="C46" s="26">
        <f>SUM('Plant Measurements'!P379:P445)</f>
        <v>375.70200092543985</v>
      </c>
      <c r="D46" s="27"/>
      <c r="E46" s="18">
        <f>C46*4</f>
        <v>1502.8080037017594</v>
      </c>
      <c r="F46" s="26"/>
      <c r="G46" s="28"/>
      <c r="H46" s="25">
        <f t="shared" si="18"/>
        <v>0</v>
      </c>
      <c r="I46" s="26"/>
      <c r="J46" s="28"/>
      <c r="K46" s="18">
        <f t="shared" si="2"/>
        <v>0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/>
      <c r="S46" s="28"/>
      <c r="T46" s="18">
        <f t="shared" si="5"/>
        <v>0</v>
      </c>
      <c r="U46" s="26"/>
      <c r="V46" s="28"/>
      <c r="W46" s="18">
        <f t="shared" si="6"/>
        <v>0</v>
      </c>
      <c r="X46" s="25">
        <f t="shared" si="7"/>
        <v>1502.8080037017594</v>
      </c>
      <c r="Y46" s="29"/>
      <c r="Z46" s="23">
        <f t="shared" si="8"/>
        <v>1502.8080037017594</v>
      </c>
      <c r="AA46" s="23">
        <f t="shared" si="9"/>
        <v>0</v>
      </c>
      <c r="AB46">
        <f t="shared" si="10"/>
        <v>1</v>
      </c>
      <c r="AC46">
        <f t="shared" si="11"/>
        <v>0</v>
      </c>
      <c r="AD46">
        <f t="shared" si="12"/>
        <v>0</v>
      </c>
      <c r="AE46">
        <f t="shared" si="13"/>
        <v>0</v>
      </c>
      <c r="AF46">
        <f t="shared" si="14"/>
        <v>21033.62801</v>
      </c>
      <c r="AG46">
        <f t="shared" si="15"/>
        <v>4206.7256020000004</v>
      </c>
      <c r="AH46">
        <f t="shared" si="16"/>
        <v>6321.9009040627025</v>
      </c>
    </row>
    <row r="47" spans="1:34">
      <c r="A47" s="30" t="s">
        <v>66</v>
      </c>
      <c r="B47" s="31">
        <v>10</v>
      </c>
      <c r="C47" s="32"/>
      <c r="D47" s="33"/>
      <c r="E47" s="18">
        <f t="shared" si="0"/>
        <v>0</v>
      </c>
      <c r="F47" s="32"/>
      <c r="G47" s="34"/>
      <c r="H47" s="25">
        <f t="shared" si="18"/>
        <v>0</v>
      </c>
      <c r="I47" s="32"/>
      <c r="J47" s="34"/>
      <c r="K47" s="18">
        <f t="shared" si="2"/>
        <v>0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>
        <f>SUM('Plant Measurements'!P446:P454)</f>
        <v>207.89333200000004</v>
      </c>
      <c r="S47" s="34"/>
      <c r="T47" s="18">
        <f t="shared" si="5"/>
        <v>831.57332800000017</v>
      </c>
      <c r="U47" s="32"/>
      <c r="V47" s="34"/>
      <c r="W47" s="18">
        <f t="shared" si="6"/>
        <v>0</v>
      </c>
      <c r="X47" s="31">
        <f t="shared" si="7"/>
        <v>831.57332800000017</v>
      </c>
      <c r="Y47" s="35"/>
      <c r="Z47" s="23">
        <f t="shared" si="8"/>
        <v>0</v>
      </c>
      <c r="AA47" s="23">
        <f t="shared" si="9"/>
        <v>831.57332800000017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3498.2008088379448</v>
      </c>
    </row>
    <row r="48" spans="1:34">
      <c r="A48" s="17" t="s">
        <v>33</v>
      </c>
      <c r="B48" s="18">
        <v>47</v>
      </c>
      <c r="C48" s="19"/>
      <c r="D48" s="20"/>
      <c r="E48" s="18">
        <f t="shared" si="0"/>
        <v>0</v>
      </c>
      <c r="F48" s="19"/>
      <c r="G48" s="21"/>
      <c r="H48" s="25">
        <f t="shared" si="18"/>
        <v>0</v>
      </c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Measurements'!P648:P653)</f>
        <v>50.453306000000012</v>
      </c>
      <c r="S48" s="21"/>
      <c r="T48" s="18">
        <f t="shared" si="5"/>
        <v>201.81322400000005</v>
      </c>
      <c r="U48" s="19"/>
      <c r="V48" s="21"/>
      <c r="W48" s="18">
        <f t="shared" si="6"/>
        <v>0</v>
      </c>
      <c r="X48" s="18">
        <f t="shared" si="7"/>
        <v>201.81322400000005</v>
      </c>
      <c r="Y48" s="22">
        <f>AVERAGE(X48:X52)</f>
        <v>553.67010362400003</v>
      </c>
      <c r="Z48" s="23">
        <f>E48+Q48</f>
        <v>0</v>
      </c>
      <c r="AA48" s="23">
        <f t="shared" si="9"/>
        <v>201.81322400000005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848.97285622296113</v>
      </c>
    </row>
    <row r="49" spans="1:34">
      <c r="A49" s="24" t="s">
        <v>33</v>
      </c>
      <c r="B49" s="25">
        <v>41</v>
      </c>
      <c r="C49" s="26"/>
      <c r="D49" s="27"/>
      <c r="E49" s="18">
        <f t="shared" si="0"/>
        <v>0</v>
      </c>
      <c r="F49" s="26"/>
      <c r="G49" s="28"/>
      <c r="H49" s="25">
        <f t="shared" si="18"/>
        <v>0</v>
      </c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Measurements'!P654:P656)</f>
        <v>42.293375000000012</v>
      </c>
      <c r="S49" s="28"/>
      <c r="T49" s="18">
        <f t="shared" si="5"/>
        <v>169.17350000000005</v>
      </c>
      <c r="U49" s="26"/>
      <c r="V49" s="28"/>
      <c r="W49" s="18">
        <f t="shared" si="6"/>
        <v>0</v>
      </c>
      <c r="X49" s="25">
        <f t="shared" si="7"/>
        <v>169.17350000000005</v>
      </c>
      <c r="Y49" s="29"/>
      <c r="Z49" s="23">
        <f t="shared" si="8"/>
        <v>0</v>
      </c>
      <c r="AA49" s="23">
        <f t="shared" si="9"/>
        <v>169.17350000000005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711.66649362994735</v>
      </c>
    </row>
    <row r="50" spans="1:34">
      <c r="A50" s="24" t="s">
        <v>33</v>
      </c>
      <c r="B50" s="25">
        <v>29</v>
      </c>
      <c r="C50" s="26"/>
      <c r="D50" s="27"/>
      <c r="E50" s="18">
        <f t="shared" si="0"/>
        <v>0</v>
      </c>
      <c r="F50" s="26"/>
      <c r="G50" s="28"/>
      <c r="H50" s="25">
        <f t="shared" si="18"/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/>
      <c r="S50" s="28"/>
      <c r="T50" s="18">
        <f t="shared" si="5"/>
        <v>0</v>
      </c>
      <c r="U50" s="26"/>
      <c r="V50" s="28"/>
      <c r="W50" s="18">
        <f t="shared" si="6"/>
        <v>0</v>
      </c>
      <c r="X50" s="25">
        <f t="shared" si="7"/>
        <v>0</v>
      </c>
      <c r="Y50" s="29"/>
      <c r="Z50" s="23">
        <f t="shared" si="8"/>
        <v>0</v>
      </c>
      <c r="AA50" s="23">
        <f t="shared" si="9"/>
        <v>0</v>
      </c>
      <c r="AB50" t="str">
        <f t="shared" si="10"/>
        <v xml:space="preserve"> </v>
      </c>
      <c r="AC50" t="str">
        <f t="shared" si="11"/>
        <v xml:space="preserve"> </v>
      </c>
      <c r="AD50" t="str">
        <f t="shared" si="12"/>
        <v xml:space="preserve"> </v>
      </c>
      <c r="AE50" t="str">
        <f t="shared" si="13"/>
        <v xml:space="preserve"> </v>
      </c>
      <c r="AF50">
        <f t="shared" si="14"/>
        <v>21033.62801</v>
      </c>
      <c r="AG50">
        <f t="shared" si="15"/>
        <v>4206.7256020000004</v>
      </c>
      <c r="AH50">
        <f t="shared" si="16"/>
        <v>0</v>
      </c>
    </row>
    <row r="51" spans="1:34">
      <c r="A51" s="24" t="s">
        <v>33</v>
      </c>
      <c r="B51" s="25">
        <v>27</v>
      </c>
      <c r="C51" s="26"/>
      <c r="D51" s="27"/>
      <c r="E51" s="18">
        <f t="shared" si="0"/>
        <v>0</v>
      </c>
      <c r="F51" s="26"/>
      <c r="G51" s="28"/>
      <c r="H51" s="25">
        <f t="shared" si="18"/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>
        <f>SUM('Plant Measurements'!P660,'Plant Measurements'!P658)</f>
        <v>2.2733069999999991</v>
      </c>
      <c r="S51" s="28"/>
      <c r="T51" s="18">
        <f t="shared" si="5"/>
        <v>9.0932279999999963</v>
      </c>
      <c r="U51" s="26">
        <f>SUM('Plant Measurements'!P657,'Plant Measurements'!P659,'Plant Measurements'!P661)</f>
        <v>255.71298052999998</v>
      </c>
      <c r="V51" s="28"/>
      <c r="W51" s="18">
        <f t="shared" si="6"/>
        <v>1022.8519221199999</v>
      </c>
      <c r="X51" s="25">
        <f t="shared" si="7"/>
        <v>1031.9451501199999</v>
      </c>
      <c r="Y51" s="29"/>
      <c r="Z51" s="23">
        <f t="shared" si="8"/>
        <v>0</v>
      </c>
      <c r="AA51" s="23">
        <f t="shared" si="9"/>
        <v>1031.9451501199999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4341.1100828695371</v>
      </c>
    </row>
    <row r="52" spans="1:34">
      <c r="A52" s="30" t="s">
        <v>33</v>
      </c>
      <c r="B52" s="31">
        <v>25</v>
      </c>
      <c r="C52" s="32"/>
      <c r="D52" s="33"/>
      <c r="E52" s="18">
        <f t="shared" si="0"/>
        <v>0</v>
      </c>
      <c r="F52" s="32"/>
      <c r="G52" s="34"/>
      <c r="H52" s="25">
        <f t="shared" si="18"/>
        <v>0</v>
      </c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>
        <f>SUM('Plant Measurements'!P663:P665)</f>
        <v>341.35466100000008</v>
      </c>
      <c r="S52" s="34"/>
      <c r="T52" s="18">
        <f t="shared" si="5"/>
        <v>1365.4186440000003</v>
      </c>
      <c r="U52" s="32"/>
      <c r="V52" s="34"/>
      <c r="W52" s="18">
        <f t="shared" si="6"/>
        <v>0</v>
      </c>
      <c r="X52" s="31">
        <f t="shared" si="7"/>
        <v>1365.4186440000003</v>
      </c>
      <c r="Y52" s="35"/>
      <c r="Z52" s="23">
        <f t="shared" si="8"/>
        <v>0</v>
      </c>
      <c r="AA52" s="23">
        <f t="shared" si="9"/>
        <v>1365.4186440000003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5743.9415671629258</v>
      </c>
    </row>
    <row r="53" spans="1:34">
      <c r="Y53" t="s">
        <v>67</v>
      </c>
      <c r="AB53">
        <f>AVERAGE(AB3:AB52)</f>
        <v>0.11076087684572479</v>
      </c>
      <c r="AC53">
        <f t="shared" ref="AC53:AE53" si="19">AVERAGE(AC3:AC52)</f>
        <v>0</v>
      </c>
      <c r="AD53">
        <f t="shared" si="19"/>
        <v>7.3516211850313623E-2</v>
      </c>
      <c r="AE53">
        <f t="shared" si="19"/>
        <v>0.81572291130396168</v>
      </c>
      <c r="AG53" t="s">
        <v>68</v>
      </c>
      <c r="AH53">
        <f>SUM(AH3:AH52)</f>
        <v>196222.86256576632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ASU GIOS</cp:lastModifiedBy>
  <dcterms:created xsi:type="dcterms:W3CDTF">2015-06-18T17:11:46Z</dcterms:created>
  <dcterms:modified xsi:type="dcterms:W3CDTF">2016-07-08T16:07:31Z</dcterms:modified>
</cp:coreProperties>
</file>