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52" i="1" l="1"/>
  <c r="O552" i="1"/>
  <c r="P552" i="1"/>
  <c r="J553" i="1"/>
  <c r="O553" i="1"/>
  <c r="P553" i="1"/>
  <c r="J554" i="1"/>
  <c r="O554" i="1"/>
  <c r="P554" i="1"/>
  <c r="J555" i="1"/>
  <c r="O555" i="1"/>
  <c r="P555" i="1"/>
  <c r="J556" i="1"/>
  <c r="O556" i="1"/>
  <c r="P556" i="1"/>
  <c r="J557" i="1"/>
  <c r="O557" i="1"/>
  <c r="P557" i="1"/>
  <c r="J558" i="1"/>
  <c r="O558" i="1"/>
  <c r="P558" i="1"/>
  <c r="J559" i="1"/>
  <c r="O559" i="1"/>
  <c r="P559" i="1"/>
  <c r="J560" i="1"/>
  <c r="O560" i="1"/>
  <c r="P560" i="1"/>
  <c r="R52" i="2"/>
  <c r="J550" i="1"/>
  <c r="O550" i="1"/>
  <c r="P550" i="1"/>
  <c r="J551" i="1"/>
  <c r="O551" i="1"/>
  <c r="P551" i="1"/>
  <c r="U52" i="2"/>
  <c r="J534" i="1"/>
  <c r="O534" i="1"/>
  <c r="P534" i="1"/>
  <c r="J535" i="1"/>
  <c r="O535" i="1"/>
  <c r="P535" i="1"/>
  <c r="J536" i="1"/>
  <c r="O536" i="1"/>
  <c r="P536" i="1"/>
  <c r="J537" i="1"/>
  <c r="O537" i="1"/>
  <c r="P537" i="1"/>
  <c r="J538" i="1"/>
  <c r="O538" i="1"/>
  <c r="P538" i="1"/>
  <c r="J539" i="1"/>
  <c r="O539" i="1"/>
  <c r="P539" i="1"/>
  <c r="J540" i="1"/>
  <c r="O540" i="1"/>
  <c r="P540" i="1"/>
  <c r="J541" i="1"/>
  <c r="O541" i="1"/>
  <c r="P541" i="1"/>
  <c r="J542" i="1"/>
  <c r="O542" i="1"/>
  <c r="P542" i="1"/>
  <c r="J543" i="1"/>
  <c r="O543" i="1"/>
  <c r="P543" i="1"/>
  <c r="J544" i="1"/>
  <c r="O544" i="1"/>
  <c r="P544" i="1"/>
  <c r="J545" i="1"/>
  <c r="O545" i="1"/>
  <c r="P545" i="1"/>
  <c r="J546" i="1"/>
  <c r="O546" i="1"/>
  <c r="P546" i="1"/>
  <c r="J547" i="1"/>
  <c r="O547" i="1"/>
  <c r="P547" i="1"/>
  <c r="J548" i="1"/>
  <c r="O548" i="1"/>
  <c r="P548" i="1"/>
  <c r="R50" i="2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U50" i="2"/>
  <c r="J513" i="1"/>
  <c r="O513" i="1"/>
  <c r="P513" i="1"/>
  <c r="J514" i="1"/>
  <c r="O514" i="1"/>
  <c r="P514" i="1"/>
  <c r="J515" i="1"/>
  <c r="O515" i="1"/>
  <c r="P515" i="1"/>
  <c r="J516" i="1"/>
  <c r="O516" i="1"/>
  <c r="P516" i="1"/>
  <c r="J517" i="1"/>
  <c r="O517" i="1"/>
  <c r="P517" i="1"/>
  <c r="J518" i="1"/>
  <c r="O518" i="1"/>
  <c r="P518" i="1"/>
  <c r="J519" i="1"/>
  <c r="O519" i="1"/>
  <c r="P519" i="1"/>
  <c r="J520" i="1"/>
  <c r="O520" i="1"/>
  <c r="P520" i="1"/>
  <c r="J521" i="1"/>
  <c r="O521" i="1"/>
  <c r="P521" i="1"/>
  <c r="R49" i="2"/>
  <c r="O502" i="1"/>
  <c r="P502" i="1"/>
  <c r="U48" i="2"/>
  <c r="J503" i="1"/>
  <c r="O503" i="1"/>
  <c r="P503" i="1"/>
  <c r="J504" i="1"/>
  <c r="O504" i="1"/>
  <c r="P504" i="1"/>
  <c r="J505" i="1"/>
  <c r="O505" i="1"/>
  <c r="P505" i="1"/>
  <c r="J506" i="1"/>
  <c r="O506" i="1"/>
  <c r="P506" i="1"/>
  <c r="J507" i="1"/>
  <c r="O507" i="1"/>
  <c r="P507" i="1"/>
  <c r="J508" i="1"/>
  <c r="O508" i="1"/>
  <c r="P508" i="1"/>
  <c r="J509" i="1"/>
  <c r="O509" i="1"/>
  <c r="P509" i="1"/>
  <c r="J510" i="1"/>
  <c r="O510" i="1"/>
  <c r="P510" i="1"/>
  <c r="J511" i="1"/>
  <c r="O511" i="1"/>
  <c r="P511" i="1"/>
  <c r="J512" i="1"/>
  <c r="O512" i="1"/>
  <c r="P512" i="1"/>
  <c r="R48" i="2"/>
  <c r="J499" i="1"/>
  <c r="O499" i="1"/>
  <c r="P499" i="1"/>
  <c r="U47" i="2"/>
  <c r="J500" i="1"/>
  <c r="O500" i="1"/>
  <c r="P500" i="1"/>
  <c r="J501" i="1"/>
  <c r="O501" i="1"/>
  <c r="P501" i="1"/>
  <c r="R47" i="2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I47" i="2"/>
  <c r="J465" i="1"/>
  <c r="O465" i="1"/>
  <c r="P465" i="1"/>
  <c r="J466" i="1"/>
  <c r="O466" i="1"/>
  <c r="P466" i="1"/>
  <c r="J467" i="1"/>
  <c r="O467" i="1"/>
  <c r="P467" i="1"/>
  <c r="J468" i="1"/>
  <c r="O468" i="1"/>
  <c r="P468" i="1"/>
  <c r="J469" i="1"/>
  <c r="O469" i="1"/>
  <c r="P469" i="1"/>
  <c r="R46" i="2"/>
  <c r="O461" i="1"/>
  <c r="P461" i="1"/>
  <c r="O462" i="1"/>
  <c r="P462" i="1"/>
  <c r="O463" i="1"/>
  <c r="P463" i="1"/>
  <c r="O464" i="1"/>
  <c r="P464" i="1"/>
  <c r="U46" i="2"/>
  <c r="J460" i="1"/>
  <c r="O460" i="1"/>
  <c r="P460" i="1"/>
  <c r="R45" i="2"/>
  <c r="O455" i="1"/>
  <c r="P455" i="1"/>
  <c r="O456" i="1"/>
  <c r="P456" i="1"/>
  <c r="O457" i="1"/>
  <c r="P457" i="1"/>
  <c r="O458" i="1"/>
  <c r="P458" i="1"/>
  <c r="O459" i="1"/>
  <c r="P459" i="1"/>
  <c r="U45" i="2"/>
  <c r="O447" i="1"/>
  <c r="P447" i="1"/>
  <c r="J448" i="1"/>
  <c r="O448" i="1"/>
  <c r="P448" i="1"/>
  <c r="J449" i="1"/>
  <c r="O449" i="1"/>
  <c r="P449" i="1"/>
  <c r="J450" i="1"/>
  <c r="O450" i="1"/>
  <c r="P450" i="1"/>
  <c r="J451" i="1"/>
  <c r="O451" i="1"/>
  <c r="P451" i="1"/>
  <c r="J452" i="1"/>
  <c r="O452" i="1"/>
  <c r="P452" i="1"/>
  <c r="O453" i="1"/>
  <c r="P453" i="1"/>
  <c r="J454" i="1"/>
  <c r="O454" i="1"/>
  <c r="P454" i="1"/>
  <c r="R44" i="2"/>
  <c r="O441" i="1"/>
  <c r="P441" i="1"/>
  <c r="O442" i="1"/>
  <c r="P442" i="1"/>
  <c r="O443" i="1"/>
  <c r="P443" i="1"/>
  <c r="O444" i="1"/>
  <c r="P444" i="1"/>
  <c r="O445" i="1"/>
  <c r="P445" i="1"/>
  <c r="O446" i="1"/>
  <c r="P446" i="1"/>
  <c r="U44" i="2"/>
  <c r="J432" i="1"/>
  <c r="O432" i="1"/>
  <c r="P432" i="1"/>
  <c r="J433" i="1"/>
  <c r="O433" i="1"/>
  <c r="P433" i="1"/>
  <c r="J434" i="1"/>
  <c r="O434" i="1"/>
  <c r="P434" i="1"/>
  <c r="J435" i="1"/>
  <c r="O435" i="1"/>
  <c r="P435" i="1"/>
  <c r="J436" i="1"/>
  <c r="O436" i="1"/>
  <c r="P436" i="1"/>
  <c r="O437" i="1"/>
  <c r="P437" i="1"/>
  <c r="O438" i="1"/>
  <c r="P438" i="1"/>
  <c r="O439" i="1"/>
  <c r="P439" i="1"/>
  <c r="J440" i="1"/>
  <c r="O440" i="1"/>
  <c r="P440" i="1"/>
  <c r="U43" i="2"/>
  <c r="J426" i="1"/>
  <c r="O426" i="1"/>
  <c r="P426" i="1"/>
  <c r="J427" i="1"/>
  <c r="O427" i="1"/>
  <c r="P427" i="1"/>
  <c r="J428" i="1"/>
  <c r="O428" i="1"/>
  <c r="P428" i="1"/>
  <c r="J429" i="1"/>
  <c r="O429" i="1"/>
  <c r="P429" i="1"/>
  <c r="J430" i="1"/>
  <c r="O430" i="1"/>
  <c r="P430" i="1"/>
  <c r="R41" i="2"/>
  <c r="O424" i="1"/>
  <c r="P424" i="1"/>
  <c r="O425" i="1"/>
  <c r="P425" i="1"/>
  <c r="U41" i="2"/>
  <c r="O416" i="1"/>
  <c r="P416" i="1"/>
  <c r="O417" i="1"/>
  <c r="P417" i="1"/>
  <c r="O418" i="1"/>
  <c r="P418" i="1"/>
  <c r="O419" i="1"/>
  <c r="P419" i="1"/>
  <c r="O420" i="1"/>
  <c r="P420" i="1"/>
  <c r="U40" i="2"/>
  <c r="J421" i="1"/>
  <c r="O421" i="1"/>
  <c r="P421" i="1"/>
  <c r="J422" i="1"/>
  <c r="O422" i="1"/>
  <c r="P422" i="1"/>
  <c r="J423" i="1"/>
  <c r="O423" i="1"/>
  <c r="P423" i="1"/>
  <c r="R40" i="2"/>
  <c r="Q40" i="2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C40" i="2"/>
  <c r="J392" i="1"/>
  <c r="O392" i="1"/>
  <c r="P392" i="1"/>
  <c r="J393" i="1"/>
  <c r="O393" i="1"/>
  <c r="P393" i="1"/>
  <c r="J394" i="1"/>
  <c r="O394" i="1"/>
  <c r="P394" i="1"/>
  <c r="J395" i="1"/>
  <c r="O395" i="1"/>
  <c r="P395" i="1"/>
  <c r="J396" i="1"/>
  <c r="O396" i="1"/>
  <c r="P396" i="1"/>
  <c r="J397" i="1"/>
  <c r="O397" i="1"/>
  <c r="P397" i="1"/>
  <c r="J398" i="1"/>
  <c r="O398" i="1"/>
  <c r="P398" i="1"/>
  <c r="R38" i="2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I38" i="2"/>
  <c r="O382" i="1"/>
  <c r="P382" i="1"/>
  <c r="O383" i="1"/>
  <c r="P383" i="1"/>
  <c r="O384" i="1"/>
  <c r="P384" i="1"/>
  <c r="C38" i="2"/>
  <c r="J373" i="1"/>
  <c r="O373" i="1"/>
  <c r="P373" i="1"/>
  <c r="J374" i="1"/>
  <c r="O374" i="1"/>
  <c r="P374" i="1"/>
  <c r="J375" i="1"/>
  <c r="O375" i="1"/>
  <c r="P375" i="1"/>
  <c r="J376" i="1"/>
  <c r="O376" i="1"/>
  <c r="P376" i="1"/>
  <c r="J377" i="1"/>
  <c r="O377" i="1"/>
  <c r="P377" i="1"/>
  <c r="J378" i="1"/>
  <c r="O378" i="1"/>
  <c r="P378" i="1"/>
  <c r="J379" i="1"/>
  <c r="O379" i="1"/>
  <c r="P379" i="1"/>
  <c r="J380" i="1"/>
  <c r="O380" i="1"/>
  <c r="P380" i="1"/>
  <c r="R36" i="2"/>
  <c r="O371" i="1"/>
  <c r="P371" i="1"/>
  <c r="O372" i="1"/>
  <c r="P372" i="1"/>
  <c r="U36" i="2"/>
  <c r="J365" i="1"/>
  <c r="O365" i="1"/>
  <c r="P365" i="1"/>
  <c r="J366" i="1"/>
  <c r="O366" i="1"/>
  <c r="P366" i="1"/>
  <c r="J367" i="1"/>
  <c r="O367" i="1"/>
  <c r="P367" i="1"/>
  <c r="J368" i="1"/>
  <c r="O368" i="1"/>
  <c r="P368" i="1"/>
  <c r="J369" i="1"/>
  <c r="O369" i="1"/>
  <c r="P369" i="1"/>
  <c r="J370" i="1"/>
  <c r="O370" i="1"/>
  <c r="P370" i="1"/>
  <c r="R35" i="2"/>
  <c r="O354" i="1"/>
  <c r="P354" i="1"/>
  <c r="O355" i="1"/>
  <c r="P355" i="1"/>
  <c r="O356" i="1"/>
  <c r="P356" i="1"/>
  <c r="O357" i="1"/>
  <c r="P357" i="1"/>
  <c r="O358" i="1"/>
  <c r="P358" i="1"/>
  <c r="U34" i="2"/>
  <c r="J359" i="1"/>
  <c r="O359" i="1"/>
  <c r="P359" i="1"/>
  <c r="J360" i="1"/>
  <c r="O360" i="1"/>
  <c r="P360" i="1"/>
  <c r="J361" i="1"/>
  <c r="O361" i="1"/>
  <c r="P361" i="1"/>
  <c r="O362" i="1"/>
  <c r="P362" i="1"/>
  <c r="J363" i="1"/>
  <c r="O363" i="1"/>
  <c r="P363" i="1"/>
  <c r="J364" i="1"/>
  <c r="O364" i="1"/>
  <c r="P364" i="1"/>
  <c r="R34" i="2"/>
  <c r="J344" i="1"/>
  <c r="O344" i="1"/>
  <c r="P344" i="1"/>
  <c r="J345" i="1"/>
  <c r="O345" i="1"/>
  <c r="P345" i="1"/>
  <c r="J346" i="1"/>
  <c r="O346" i="1"/>
  <c r="P346" i="1"/>
  <c r="J347" i="1"/>
  <c r="O347" i="1"/>
  <c r="P347" i="1"/>
  <c r="J348" i="1"/>
  <c r="O348" i="1"/>
  <c r="P348" i="1"/>
  <c r="J349" i="1"/>
  <c r="O349" i="1"/>
  <c r="P349" i="1"/>
  <c r="J350" i="1"/>
  <c r="O350" i="1"/>
  <c r="P350" i="1"/>
  <c r="J351" i="1"/>
  <c r="O351" i="1"/>
  <c r="P351" i="1"/>
  <c r="J352" i="1"/>
  <c r="O352" i="1"/>
  <c r="P352" i="1"/>
  <c r="J353" i="1"/>
  <c r="O353" i="1"/>
  <c r="P353" i="1"/>
  <c r="R33" i="2"/>
  <c r="J342" i="1"/>
  <c r="O342" i="1"/>
  <c r="P342" i="1"/>
  <c r="O343" i="1"/>
  <c r="P343" i="1"/>
  <c r="U33" i="2"/>
  <c r="J336" i="1"/>
  <c r="O336" i="1"/>
  <c r="P336" i="1"/>
  <c r="O337" i="1"/>
  <c r="P337" i="1"/>
  <c r="U32" i="2"/>
  <c r="J338" i="1"/>
  <c r="O338" i="1"/>
  <c r="P338" i="1"/>
  <c r="J339" i="1"/>
  <c r="O339" i="1"/>
  <c r="P339" i="1"/>
  <c r="J340" i="1"/>
  <c r="O340" i="1"/>
  <c r="P340" i="1"/>
  <c r="J341" i="1"/>
  <c r="O341" i="1"/>
  <c r="P341" i="1"/>
  <c r="R32" i="2"/>
  <c r="O332" i="1"/>
  <c r="P332" i="1"/>
  <c r="O333" i="1"/>
  <c r="P333" i="1"/>
  <c r="O334" i="1"/>
  <c r="P334" i="1"/>
  <c r="O335" i="1"/>
  <c r="P335" i="1"/>
  <c r="C32" i="2"/>
  <c r="J326" i="1"/>
  <c r="O326" i="1"/>
  <c r="P326" i="1"/>
  <c r="J327" i="1"/>
  <c r="O327" i="1"/>
  <c r="P327" i="1"/>
  <c r="J328" i="1"/>
  <c r="O328" i="1"/>
  <c r="P328" i="1"/>
  <c r="J329" i="1"/>
  <c r="O329" i="1"/>
  <c r="P329" i="1"/>
  <c r="J330" i="1"/>
  <c r="O330" i="1"/>
  <c r="P330" i="1"/>
  <c r="J331" i="1"/>
  <c r="O331" i="1"/>
  <c r="P331" i="1"/>
  <c r="R31" i="2"/>
  <c r="J323" i="1"/>
  <c r="O323" i="1"/>
  <c r="P323" i="1"/>
  <c r="J324" i="1"/>
  <c r="O324" i="1"/>
  <c r="P324" i="1"/>
  <c r="J325" i="1"/>
  <c r="O325" i="1"/>
  <c r="P325" i="1"/>
  <c r="R30" i="2"/>
  <c r="J312" i="1"/>
  <c r="O312" i="1"/>
  <c r="P312" i="1"/>
  <c r="J313" i="1"/>
  <c r="O313" i="1"/>
  <c r="P313" i="1"/>
  <c r="J314" i="1"/>
  <c r="O314" i="1"/>
  <c r="P314" i="1"/>
  <c r="O315" i="1"/>
  <c r="P315" i="1"/>
  <c r="J316" i="1"/>
  <c r="O316" i="1"/>
  <c r="P316" i="1"/>
  <c r="J317" i="1"/>
  <c r="O317" i="1"/>
  <c r="P317" i="1"/>
  <c r="J318" i="1"/>
  <c r="O318" i="1"/>
  <c r="P318" i="1"/>
  <c r="J319" i="1"/>
  <c r="O319" i="1"/>
  <c r="P319" i="1"/>
  <c r="J320" i="1"/>
  <c r="O320" i="1"/>
  <c r="P320" i="1"/>
  <c r="J321" i="1"/>
  <c r="O321" i="1"/>
  <c r="P321" i="1"/>
  <c r="O322" i="1"/>
  <c r="P322" i="1"/>
  <c r="U30" i="2"/>
  <c r="J303" i="1"/>
  <c r="O303" i="1"/>
  <c r="P303" i="1"/>
  <c r="J304" i="1"/>
  <c r="O304" i="1"/>
  <c r="P304" i="1"/>
  <c r="J305" i="1"/>
  <c r="O305" i="1"/>
  <c r="P305" i="1"/>
  <c r="J306" i="1"/>
  <c r="O306" i="1"/>
  <c r="P306" i="1"/>
  <c r="J307" i="1"/>
  <c r="O307" i="1"/>
  <c r="P307" i="1"/>
  <c r="J308" i="1"/>
  <c r="O308" i="1"/>
  <c r="P308" i="1"/>
  <c r="J309" i="1"/>
  <c r="O309" i="1"/>
  <c r="P309" i="1"/>
  <c r="J310" i="1"/>
  <c r="O310" i="1"/>
  <c r="P310" i="1"/>
  <c r="J311" i="1"/>
  <c r="O311" i="1"/>
  <c r="P311" i="1"/>
  <c r="U29" i="2"/>
  <c r="J298" i="1"/>
  <c r="O298" i="1"/>
  <c r="P298" i="1"/>
  <c r="J299" i="1"/>
  <c r="O299" i="1"/>
  <c r="P299" i="1"/>
  <c r="J300" i="1"/>
  <c r="O300" i="1"/>
  <c r="P300" i="1"/>
  <c r="J301" i="1"/>
  <c r="O301" i="1"/>
  <c r="P301" i="1"/>
  <c r="J302" i="1"/>
  <c r="O302" i="1"/>
  <c r="P302" i="1"/>
  <c r="R28" i="2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I27" i="2"/>
  <c r="J273" i="1"/>
  <c r="O273" i="1"/>
  <c r="P273" i="1"/>
  <c r="J274" i="1"/>
  <c r="O274" i="1"/>
  <c r="P274" i="1"/>
  <c r="J275" i="1"/>
  <c r="O275" i="1"/>
  <c r="P275" i="1"/>
  <c r="U26" i="2"/>
  <c r="J276" i="1"/>
  <c r="O276" i="1"/>
  <c r="P276" i="1"/>
  <c r="J277" i="1"/>
  <c r="O277" i="1"/>
  <c r="P277" i="1"/>
  <c r="J278" i="1"/>
  <c r="O278" i="1"/>
  <c r="P278" i="1"/>
  <c r="J279" i="1"/>
  <c r="O279" i="1"/>
  <c r="P279" i="1"/>
  <c r="J280" i="1"/>
  <c r="O280" i="1"/>
  <c r="P280" i="1"/>
  <c r="J281" i="1"/>
  <c r="O281" i="1"/>
  <c r="P281" i="1"/>
  <c r="R26" i="2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C26" i="2"/>
  <c r="J251" i="1"/>
  <c r="O251" i="1"/>
  <c r="P251" i="1"/>
  <c r="J252" i="1"/>
  <c r="O252" i="1"/>
  <c r="P252" i="1"/>
  <c r="J253" i="1"/>
  <c r="O253" i="1"/>
  <c r="P253" i="1"/>
  <c r="J254" i="1"/>
  <c r="O254" i="1"/>
  <c r="P254" i="1"/>
  <c r="J255" i="1"/>
  <c r="O255" i="1"/>
  <c r="P255" i="1"/>
  <c r="R25" i="2"/>
  <c r="J240" i="1"/>
  <c r="O240" i="1"/>
  <c r="P240" i="1"/>
  <c r="J241" i="1"/>
  <c r="O241" i="1"/>
  <c r="P241" i="1"/>
  <c r="J242" i="1"/>
  <c r="O242" i="1"/>
  <c r="P242" i="1"/>
  <c r="J243" i="1"/>
  <c r="O243" i="1"/>
  <c r="P243" i="1"/>
  <c r="J244" i="1"/>
  <c r="O244" i="1"/>
  <c r="P244" i="1"/>
  <c r="J245" i="1"/>
  <c r="O245" i="1"/>
  <c r="P245" i="1"/>
  <c r="J246" i="1"/>
  <c r="O246" i="1"/>
  <c r="P246" i="1"/>
  <c r="J247" i="1"/>
  <c r="O247" i="1"/>
  <c r="P247" i="1"/>
  <c r="J248" i="1"/>
  <c r="O248" i="1"/>
  <c r="P248" i="1"/>
  <c r="O249" i="1"/>
  <c r="P249" i="1"/>
  <c r="O250" i="1"/>
  <c r="P250" i="1"/>
  <c r="U24" i="2"/>
  <c r="O230" i="1"/>
  <c r="P230" i="1"/>
  <c r="O231" i="1"/>
  <c r="P231" i="1"/>
  <c r="I23" i="2"/>
  <c r="J232" i="1"/>
  <c r="O232" i="1"/>
  <c r="P232" i="1"/>
  <c r="J233" i="1"/>
  <c r="O233" i="1"/>
  <c r="P233" i="1"/>
  <c r="J234" i="1"/>
  <c r="O234" i="1"/>
  <c r="P234" i="1"/>
  <c r="J235" i="1"/>
  <c r="O235" i="1"/>
  <c r="P235" i="1"/>
  <c r="J236" i="1"/>
  <c r="O236" i="1"/>
  <c r="P236" i="1"/>
  <c r="J237" i="1"/>
  <c r="O237" i="1"/>
  <c r="P237" i="1"/>
  <c r="J238" i="1"/>
  <c r="O238" i="1"/>
  <c r="P238" i="1"/>
  <c r="O239" i="1"/>
  <c r="P239" i="1"/>
  <c r="R23" i="2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C12" i="2"/>
  <c r="J120" i="1"/>
  <c r="O120" i="1"/>
  <c r="P120" i="1"/>
  <c r="J121" i="1"/>
  <c r="O121" i="1"/>
  <c r="P121" i="1"/>
  <c r="J122" i="1"/>
  <c r="O122" i="1"/>
  <c r="P122" i="1"/>
  <c r="J123" i="1"/>
  <c r="O123" i="1"/>
  <c r="P123" i="1"/>
  <c r="J124" i="1"/>
  <c r="O124" i="1"/>
  <c r="P124" i="1"/>
  <c r="J125" i="1"/>
  <c r="O125" i="1"/>
  <c r="P125" i="1"/>
  <c r="R11" i="2"/>
  <c r="J109" i="1"/>
  <c r="O109" i="1"/>
  <c r="P109" i="1"/>
  <c r="J110" i="1"/>
  <c r="O110" i="1"/>
  <c r="P110" i="1"/>
  <c r="J111" i="1"/>
  <c r="O111" i="1"/>
  <c r="P111" i="1"/>
  <c r="J112" i="1"/>
  <c r="O112" i="1"/>
  <c r="P112" i="1"/>
  <c r="J113" i="1"/>
  <c r="O113" i="1"/>
  <c r="P113" i="1"/>
  <c r="J114" i="1"/>
  <c r="O114" i="1"/>
  <c r="P114" i="1"/>
  <c r="J115" i="1"/>
  <c r="O115" i="1"/>
  <c r="P115" i="1"/>
  <c r="J116" i="1"/>
  <c r="O116" i="1"/>
  <c r="P116" i="1"/>
  <c r="J117" i="1"/>
  <c r="O117" i="1"/>
  <c r="P117" i="1"/>
  <c r="J118" i="1"/>
  <c r="O118" i="1"/>
  <c r="P118" i="1"/>
  <c r="J119" i="1"/>
  <c r="O119" i="1"/>
  <c r="P119" i="1"/>
  <c r="R10" i="2"/>
  <c r="O102" i="1"/>
  <c r="P102" i="1"/>
  <c r="J103" i="1"/>
  <c r="O103" i="1"/>
  <c r="P103" i="1"/>
  <c r="J104" i="1"/>
  <c r="O104" i="1"/>
  <c r="P104" i="1"/>
  <c r="J105" i="1"/>
  <c r="O105" i="1"/>
  <c r="P105" i="1"/>
  <c r="O106" i="1"/>
  <c r="P106" i="1"/>
  <c r="O107" i="1"/>
  <c r="P107" i="1"/>
  <c r="O108" i="1"/>
  <c r="P108" i="1"/>
  <c r="U10" i="2"/>
  <c r="O100" i="1"/>
  <c r="P100" i="1"/>
  <c r="O101" i="1"/>
  <c r="P101" i="1"/>
  <c r="C10" i="2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J97" i="1"/>
  <c r="O97" i="1"/>
  <c r="P97" i="1"/>
  <c r="J98" i="1"/>
  <c r="O98" i="1"/>
  <c r="P98" i="1"/>
  <c r="J99" i="1"/>
  <c r="O99" i="1"/>
  <c r="P99" i="1"/>
  <c r="C9" i="2"/>
  <c r="J77" i="1"/>
  <c r="O77" i="1"/>
  <c r="P77" i="1"/>
  <c r="J78" i="1"/>
  <c r="O78" i="1"/>
  <c r="P78" i="1"/>
  <c r="J79" i="1"/>
  <c r="O79" i="1"/>
  <c r="P79" i="1"/>
  <c r="J80" i="1"/>
  <c r="O80" i="1"/>
  <c r="P80" i="1"/>
  <c r="J81" i="1"/>
  <c r="O81" i="1"/>
  <c r="P81" i="1"/>
  <c r="J82" i="1"/>
  <c r="O82" i="1"/>
  <c r="P82" i="1"/>
  <c r="J83" i="1"/>
  <c r="O83" i="1"/>
  <c r="P83" i="1"/>
  <c r="J84" i="1"/>
  <c r="O84" i="1"/>
  <c r="P84" i="1"/>
  <c r="R8" i="2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I8" i="2"/>
  <c r="J63" i="1"/>
  <c r="O63" i="1"/>
  <c r="P63" i="1"/>
  <c r="J64" i="1"/>
  <c r="O64" i="1"/>
  <c r="P64" i="1"/>
  <c r="J65" i="1"/>
  <c r="O65" i="1"/>
  <c r="P65" i="1"/>
  <c r="R7" i="2"/>
  <c r="O55" i="1"/>
  <c r="P55" i="1"/>
  <c r="O56" i="1"/>
  <c r="P56" i="1"/>
  <c r="O57" i="1"/>
  <c r="P57" i="1"/>
  <c r="O58" i="1"/>
  <c r="P58" i="1"/>
  <c r="O59" i="1"/>
  <c r="P59" i="1"/>
  <c r="O60" i="1"/>
  <c r="P60" i="1"/>
  <c r="J61" i="1"/>
  <c r="O61" i="1"/>
  <c r="P61" i="1"/>
  <c r="O62" i="1"/>
  <c r="P62" i="1"/>
  <c r="U7" i="2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C7" i="2"/>
  <c r="J23" i="1"/>
  <c r="O23" i="1"/>
  <c r="P23" i="1"/>
  <c r="J24" i="1"/>
  <c r="O24" i="1"/>
  <c r="P24" i="1"/>
  <c r="O25" i="1"/>
  <c r="P25" i="1"/>
  <c r="J26" i="1"/>
  <c r="O26" i="1"/>
  <c r="P26" i="1"/>
  <c r="J27" i="1"/>
  <c r="O27" i="1"/>
  <c r="P27" i="1"/>
  <c r="J28" i="1"/>
  <c r="O28" i="1"/>
  <c r="P28" i="1"/>
  <c r="J29" i="1"/>
  <c r="O29" i="1"/>
  <c r="P29" i="1"/>
  <c r="J30" i="1"/>
  <c r="O30" i="1"/>
  <c r="P30" i="1"/>
  <c r="R5" i="2"/>
  <c r="J31" i="1"/>
  <c r="O31" i="1"/>
  <c r="P31" i="1"/>
  <c r="J32" i="1"/>
  <c r="O32" i="1"/>
  <c r="P32" i="1"/>
  <c r="J33" i="1"/>
  <c r="O33" i="1"/>
  <c r="P33" i="1"/>
  <c r="J34" i="1"/>
  <c r="O34" i="1"/>
  <c r="P34" i="1"/>
  <c r="J35" i="1"/>
  <c r="O35" i="1"/>
  <c r="P35" i="1"/>
  <c r="J36" i="1"/>
  <c r="O36" i="1"/>
  <c r="P36" i="1"/>
  <c r="J37" i="1"/>
  <c r="O37" i="1"/>
  <c r="P37" i="1"/>
  <c r="J38" i="1"/>
  <c r="O38" i="1"/>
  <c r="P38" i="1"/>
  <c r="J39" i="1"/>
  <c r="O39" i="1"/>
  <c r="P39" i="1"/>
  <c r="J40" i="1"/>
  <c r="O40" i="1"/>
  <c r="P40" i="1"/>
  <c r="J41" i="1"/>
  <c r="O41" i="1"/>
  <c r="P41" i="1"/>
  <c r="J42" i="1"/>
  <c r="O42" i="1"/>
  <c r="P42" i="1"/>
  <c r="R6" i="2"/>
  <c r="O22" i="1"/>
  <c r="P22" i="1"/>
  <c r="U5" i="2"/>
  <c r="J11" i="1"/>
  <c r="O11" i="1"/>
  <c r="P11" i="1"/>
  <c r="J12" i="1"/>
  <c r="O12" i="1"/>
  <c r="P12" i="1"/>
  <c r="J13" i="1"/>
  <c r="O13" i="1"/>
  <c r="P13" i="1"/>
  <c r="J14" i="1"/>
  <c r="O14" i="1"/>
  <c r="P14" i="1"/>
  <c r="J15" i="1"/>
  <c r="O15" i="1"/>
  <c r="P15" i="1"/>
  <c r="J16" i="1"/>
  <c r="O16" i="1"/>
  <c r="P16" i="1"/>
  <c r="J17" i="1"/>
  <c r="O17" i="1"/>
  <c r="P17" i="1"/>
  <c r="J18" i="1"/>
  <c r="O18" i="1"/>
  <c r="P18" i="1"/>
  <c r="J19" i="1"/>
  <c r="O19" i="1"/>
  <c r="P19" i="1"/>
  <c r="J20" i="1"/>
  <c r="O20" i="1"/>
  <c r="P20" i="1"/>
  <c r="J21" i="1"/>
  <c r="O21" i="1"/>
  <c r="P21" i="1"/>
  <c r="R4" i="2"/>
  <c r="O9" i="1"/>
  <c r="P9" i="1"/>
  <c r="O10" i="1"/>
  <c r="P10" i="1"/>
  <c r="U4" i="2"/>
  <c r="J4" i="1"/>
  <c r="O4" i="1"/>
  <c r="P4" i="1"/>
  <c r="J5" i="1"/>
  <c r="O5" i="1"/>
  <c r="P5" i="1"/>
  <c r="J6" i="1"/>
  <c r="O6" i="1"/>
  <c r="P6" i="1"/>
  <c r="J7" i="1"/>
  <c r="O7" i="1"/>
  <c r="P7" i="1"/>
  <c r="J8" i="1"/>
  <c r="O8" i="1"/>
  <c r="P8" i="1"/>
  <c r="R3" i="2"/>
  <c r="O217" i="1"/>
  <c r="P217" i="1"/>
  <c r="O218" i="1"/>
  <c r="P218" i="1"/>
  <c r="J219" i="1"/>
  <c r="O219" i="1"/>
  <c r="P219" i="1"/>
  <c r="J220" i="1"/>
  <c r="O220" i="1"/>
  <c r="P220" i="1"/>
  <c r="U22" i="2"/>
  <c r="J221" i="1"/>
  <c r="O221" i="1"/>
  <c r="P221" i="1"/>
  <c r="J222" i="1"/>
  <c r="O222" i="1"/>
  <c r="P222" i="1"/>
  <c r="J223" i="1"/>
  <c r="O223" i="1"/>
  <c r="P223" i="1"/>
  <c r="J224" i="1"/>
  <c r="O224" i="1"/>
  <c r="P224" i="1"/>
  <c r="J225" i="1"/>
  <c r="O225" i="1"/>
  <c r="P225" i="1"/>
  <c r="J226" i="1"/>
  <c r="O226" i="1"/>
  <c r="P226" i="1"/>
  <c r="J227" i="1"/>
  <c r="O227" i="1"/>
  <c r="P227" i="1"/>
  <c r="J228" i="1"/>
  <c r="O228" i="1"/>
  <c r="P228" i="1"/>
  <c r="J229" i="1"/>
  <c r="O229" i="1"/>
  <c r="P229" i="1"/>
  <c r="R22" i="2"/>
  <c r="J211" i="1"/>
  <c r="O211" i="1"/>
  <c r="P211" i="1"/>
  <c r="J212" i="1"/>
  <c r="O212" i="1"/>
  <c r="P212" i="1"/>
  <c r="J213" i="1"/>
  <c r="O213" i="1"/>
  <c r="P213" i="1"/>
  <c r="J214" i="1"/>
  <c r="O214" i="1"/>
  <c r="P214" i="1"/>
  <c r="J215" i="1"/>
  <c r="O215" i="1"/>
  <c r="P215" i="1"/>
  <c r="J216" i="1"/>
  <c r="O216" i="1"/>
  <c r="P216" i="1"/>
  <c r="R21" i="2"/>
  <c r="J207" i="1"/>
  <c r="O207" i="1"/>
  <c r="P207" i="1"/>
  <c r="J208" i="1"/>
  <c r="O208" i="1"/>
  <c r="P208" i="1"/>
  <c r="J209" i="1"/>
  <c r="O209" i="1"/>
  <c r="P209" i="1"/>
  <c r="J210" i="1"/>
  <c r="O210" i="1"/>
  <c r="P210" i="1"/>
  <c r="R20" i="2"/>
  <c r="J200" i="1"/>
  <c r="O200" i="1"/>
  <c r="P200" i="1"/>
  <c r="J201" i="1"/>
  <c r="O201" i="1"/>
  <c r="P201" i="1"/>
  <c r="J202" i="1"/>
  <c r="O202" i="1"/>
  <c r="P202" i="1"/>
  <c r="J203" i="1"/>
  <c r="O203" i="1"/>
  <c r="P203" i="1"/>
  <c r="J204" i="1"/>
  <c r="O204" i="1"/>
  <c r="P204" i="1"/>
  <c r="J205" i="1"/>
  <c r="O205" i="1"/>
  <c r="P205" i="1"/>
  <c r="R18" i="2"/>
  <c r="J157" i="1"/>
  <c r="O157" i="1"/>
  <c r="P157" i="1"/>
  <c r="J158" i="1"/>
  <c r="O158" i="1"/>
  <c r="P158" i="1"/>
  <c r="J159" i="1"/>
  <c r="O159" i="1"/>
  <c r="P159" i="1"/>
  <c r="J160" i="1"/>
  <c r="O160" i="1"/>
  <c r="P160" i="1"/>
  <c r="J161" i="1"/>
  <c r="O161" i="1"/>
  <c r="P161" i="1"/>
  <c r="R14" i="2"/>
  <c r="J162" i="1"/>
  <c r="O162" i="1"/>
  <c r="P162" i="1"/>
  <c r="J163" i="1"/>
  <c r="O163" i="1"/>
  <c r="P163" i="1"/>
  <c r="J164" i="1"/>
  <c r="O164" i="1"/>
  <c r="P164" i="1"/>
  <c r="J165" i="1"/>
  <c r="O165" i="1"/>
  <c r="P165" i="1"/>
  <c r="J166" i="1"/>
  <c r="O166" i="1"/>
  <c r="P166" i="1"/>
  <c r="J167" i="1"/>
  <c r="O167" i="1"/>
  <c r="P167" i="1"/>
  <c r="J168" i="1"/>
  <c r="O168" i="1"/>
  <c r="P168" i="1"/>
  <c r="J169" i="1"/>
  <c r="O169" i="1"/>
  <c r="P169" i="1"/>
  <c r="J170" i="1"/>
  <c r="O170" i="1"/>
  <c r="P170" i="1"/>
  <c r="J171" i="1"/>
  <c r="O171" i="1"/>
  <c r="P171" i="1"/>
  <c r="J172" i="1"/>
  <c r="O172" i="1"/>
  <c r="P172" i="1"/>
  <c r="R15" i="2"/>
  <c r="J173" i="1"/>
  <c r="O173" i="1"/>
  <c r="P173" i="1"/>
  <c r="O174" i="1"/>
  <c r="P174" i="1"/>
  <c r="O175" i="1"/>
  <c r="P175" i="1"/>
  <c r="O176" i="1"/>
  <c r="P176" i="1"/>
  <c r="J177" i="1"/>
  <c r="O177" i="1"/>
  <c r="P177" i="1"/>
  <c r="O178" i="1"/>
  <c r="P178" i="1"/>
  <c r="J179" i="1"/>
  <c r="O179" i="1"/>
  <c r="P179" i="1"/>
  <c r="O180" i="1"/>
  <c r="P180" i="1"/>
  <c r="J181" i="1"/>
  <c r="O181" i="1"/>
  <c r="P181" i="1"/>
  <c r="J182" i="1"/>
  <c r="O182" i="1"/>
  <c r="P182" i="1"/>
  <c r="J183" i="1"/>
  <c r="O183" i="1"/>
  <c r="P183" i="1"/>
  <c r="O184" i="1"/>
  <c r="P184" i="1"/>
  <c r="O185" i="1"/>
  <c r="P185" i="1"/>
  <c r="J186" i="1"/>
  <c r="O186" i="1"/>
  <c r="P186" i="1"/>
  <c r="J187" i="1"/>
  <c r="O187" i="1"/>
  <c r="P187" i="1"/>
  <c r="O188" i="1"/>
  <c r="P188" i="1"/>
  <c r="J189" i="1"/>
  <c r="O189" i="1"/>
  <c r="P189" i="1"/>
  <c r="O190" i="1"/>
  <c r="P190" i="1"/>
  <c r="O191" i="1"/>
  <c r="P191" i="1"/>
  <c r="O192" i="1"/>
  <c r="P192" i="1"/>
  <c r="O193" i="1"/>
  <c r="P193" i="1"/>
  <c r="J194" i="1"/>
  <c r="O194" i="1"/>
  <c r="P194" i="1"/>
  <c r="O195" i="1"/>
  <c r="P195" i="1"/>
  <c r="J196" i="1"/>
  <c r="O196" i="1"/>
  <c r="P196" i="1"/>
  <c r="J197" i="1"/>
  <c r="O197" i="1"/>
  <c r="P197" i="1"/>
  <c r="J198" i="1"/>
  <c r="O198" i="1"/>
  <c r="P198" i="1"/>
  <c r="U16" i="2"/>
  <c r="J145" i="1"/>
  <c r="O145" i="1"/>
  <c r="P145" i="1"/>
  <c r="J146" i="1"/>
  <c r="O146" i="1"/>
  <c r="P146" i="1"/>
  <c r="J147" i="1"/>
  <c r="O147" i="1"/>
  <c r="P147" i="1"/>
  <c r="J148" i="1"/>
  <c r="O148" i="1"/>
  <c r="P148" i="1"/>
  <c r="J149" i="1"/>
  <c r="O149" i="1"/>
  <c r="P149" i="1"/>
  <c r="J150" i="1"/>
  <c r="O150" i="1"/>
  <c r="P150" i="1"/>
  <c r="J151" i="1"/>
  <c r="O151" i="1"/>
  <c r="P151" i="1"/>
  <c r="J152" i="1"/>
  <c r="O152" i="1"/>
  <c r="P152" i="1"/>
  <c r="J153" i="1"/>
  <c r="O153" i="1"/>
  <c r="P153" i="1"/>
  <c r="J154" i="1"/>
  <c r="O154" i="1"/>
  <c r="P154" i="1"/>
  <c r="J155" i="1"/>
  <c r="O155" i="1"/>
  <c r="P155" i="1"/>
  <c r="J156" i="1"/>
  <c r="O156" i="1"/>
  <c r="P156" i="1"/>
  <c r="R13" i="2"/>
  <c r="S100" i="1"/>
  <c r="S116" i="1"/>
  <c r="S115" i="1"/>
  <c r="S114" i="1"/>
  <c r="S106" i="1"/>
  <c r="S105" i="1"/>
  <c r="S104" i="1"/>
  <c r="S103" i="1"/>
  <c r="S102" i="1"/>
  <c r="S113" i="1"/>
  <c r="S112" i="1"/>
  <c r="S111" i="1"/>
  <c r="S110" i="1"/>
  <c r="S109" i="1"/>
  <c r="S96" i="1"/>
  <c r="S95" i="1"/>
  <c r="S94" i="1"/>
  <c r="S93" i="1"/>
  <c r="S92" i="1"/>
  <c r="S99" i="1"/>
  <c r="S98" i="1"/>
  <c r="S97" i="1"/>
  <c r="S91" i="1"/>
  <c r="S90" i="1"/>
  <c r="S89" i="1"/>
  <c r="S88" i="1"/>
  <c r="S87" i="1"/>
  <c r="S86" i="1"/>
  <c r="S85" i="1"/>
  <c r="S581" i="1"/>
  <c r="O581" i="1"/>
  <c r="S580" i="1"/>
  <c r="O580" i="1"/>
  <c r="S579" i="1"/>
  <c r="O579" i="1"/>
  <c r="S578" i="1"/>
  <c r="O578" i="1"/>
  <c r="S577" i="1"/>
  <c r="O577" i="1"/>
  <c r="S576" i="1"/>
  <c r="O576" i="1"/>
  <c r="S588" i="1"/>
  <c r="O588" i="1"/>
  <c r="S587" i="1"/>
  <c r="O587" i="1"/>
  <c r="S586" i="1"/>
  <c r="O586" i="1"/>
  <c r="S585" i="1"/>
  <c r="O585" i="1"/>
  <c r="S584" i="1"/>
  <c r="O584" i="1"/>
  <c r="S583" i="1"/>
  <c r="O583" i="1"/>
  <c r="S582" i="1"/>
  <c r="O582" i="1"/>
  <c r="S594" i="1"/>
  <c r="O594" i="1"/>
  <c r="S593" i="1"/>
  <c r="O593" i="1"/>
  <c r="S592" i="1"/>
  <c r="O592" i="1"/>
  <c r="S591" i="1"/>
  <c r="O591" i="1"/>
  <c r="S590" i="1"/>
  <c r="O590" i="1"/>
  <c r="S589" i="1"/>
  <c r="O589" i="1"/>
  <c r="S326" i="1"/>
  <c r="S302" i="1"/>
  <c r="S301" i="1"/>
  <c r="S300" i="1"/>
  <c r="S299" i="1"/>
  <c r="S298" i="1"/>
  <c r="S119" i="1"/>
  <c r="S108" i="1"/>
  <c r="S118" i="1"/>
  <c r="S117" i="1"/>
  <c r="S107" i="1"/>
  <c r="S101" i="1"/>
  <c r="S560" i="1"/>
  <c r="S559" i="1"/>
  <c r="S558" i="1"/>
  <c r="S557" i="1"/>
  <c r="S556" i="1"/>
  <c r="S555" i="1"/>
  <c r="S554" i="1"/>
  <c r="S553" i="1"/>
  <c r="S552" i="1"/>
  <c r="S551" i="1"/>
  <c r="S537" i="1"/>
  <c r="S536" i="1"/>
  <c r="S535" i="1"/>
  <c r="S534" i="1"/>
  <c r="S521" i="1"/>
  <c r="S520" i="1"/>
  <c r="S519" i="1"/>
  <c r="S518" i="1"/>
  <c r="S538" i="1"/>
  <c r="S517" i="1"/>
  <c r="S515" i="1"/>
  <c r="S510" i="1"/>
  <c r="S514" i="1"/>
  <c r="S513" i="1"/>
  <c r="S509" i="1"/>
  <c r="S508" i="1"/>
  <c r="S507" i="1"/>
  <c r="S506" i="1"/>
  <c r="S512" i="1"/>
  <c r="S502" i="1"/>
  <c r="S516" i="1"/>
  <c r="S511" i="1"/>
  <c r="S505" i="1"/>
  <c r="S419" i="1"/>
  <c r="S413" i="1"/>
  <c r="S412" i="1"/>
  <c r="S418" i="1"/>
  <c r="S411" i="1"/>
  <c r="S410" i="1"/>
  <c r="S409" i="1"/>
  <c r="S408" i="1"/>
  <c r="S417" i="1"/>
  <c r="S405" i="1"/>
  <c r="S404" i="1"/>
  <c r="S403" i="1"/>
  <c r="S416" i="1"/>
  <c r="S402" i="1"/>
  <c r="S401" i="1"/>
  <c r="S422" i="1"/>
  <c r="S549" i="1"/>
  <c r="O549" i="1"/>
  <c r="P549" i="1"/>
  <c r="S533" i="1"/>
  <c r="S532" i="1"/>
  <c r="S548" i="1"/>
  <c r="S524" i="1"/>
  <c r="S547" i="1"/>
  <c r="S543" i="1"/>
  <c r="S542" i="1"/>
  <c r="S523" i="1"/>
  <c r="S541" i="1"/>
  <c r="S522" i="1"/>
  <c r="O399" i="1"/>
  <c r="O572" i="1"/>
  <c r="O566" i="1"/>
  <c r="O574" i="1"/>
  <c r="O569" i="1"/>
  <c r="O570" i="1"/>
  <c r="O571" i="1"/>
  <c r="O575" i="1"/>
  <c r="O561" i="1"/>
  <c r="O562" i="1"/>
  <c r="O563" i="1"/>
  <c r="O564" i="1"/>
  <c r="O565" i="1"/>
  <c r="O573" i="1"/>
  <c r="O567" i="1"/>
  <c r="O568" i="1"/>
  <c r="P399" i="1"/>
  <c r="O431" i="1"/>
  <c r="P431" i="1"/>
  <c r="O381" i="1"/>
  <c r="P381" i="1"/>
  <c r="O206" i="1"/>
  <c r="P206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573" i="1"/>
  <c r="S572" i="1"/>
  <c r="S575" i="1"/>
  <c r="S574" i="1"/>
  <c r="S571" i="1"/>
  <c r="S570" i="1"/>
  <c r="S569" i="1"/>
  <c r="S568" i="1"/>
  <c r="S562" i="1"/>
  <c r="S567" i="1"/>
  <c r="S561" i="1"/>
  <c r="S498" i="1"/>
  <c r="S497" i="1"/>
  <c r="S566" i="1"/>
  <c r="S565" i="1"/>
  <c r="S496" i="1"/>
  <c r="S495" i="1"/>
  <c r="S564" i="1"/>
  <c r="S563" i="1"/>
  <c r="S527" i="1"/>
  <c r="S526" i="1"/>
  <c r="S525" i="1"/>
  <c r="S550" i="1"/>
  <c r="S540" i="1"/>
  <c r="S539" i="1"/>
  <c r="S546" i="1"/>
  <c r="S531" i="1"/>
  <c r="S545" i="1"/>
  <c r="S544" i="1"/>
  <c r="S530" i="1"/>
  <c r="S529" i="1"/>
  <c r="S528" i="1"/>
  <c r="S504" i="1"/>
  <c r="S424" i="1"/>
  <c r="S420" i="1"/>
  <c r="S503" i="1"/>
  <c r="S415" i="1"/>
  <c r="S431" i="1"/>
  <c r="S425" i="1"/>
  <c r="S430" i="1"/>
  <c r="S414" i="1"/>
  <c r="S429" i="1"/>
  <c r="S428" i="1"/>
  <c r="S427" i="1"/>
  <c r="S426" i="1"/>
  <c r="S407" i="1"/>
  <c r="S406" i="1"/>
  <c r="S423" i="1"/>
  <c r="S400" i="1"/>
  <c r="S421" i="1"/>
  <c r="S399" i="1"/>
  <c r="S398" i="1"/>
  <c r="S384" i="1"/>
  <c r="S383" i="1"/>
  <c r="S397" i="1"/>
  <c r="S396" i="1"/>
  <c r="S395" i="1"/>
  <c r="S382" i="1"/>
  <c r="S391" i="1"/>
  <c r="S452" i="1"/>
  <c r="S451" i="1"/>
  <c r="S444" i="1"/>
  <c r="S450" i="1"/>
  <c r="S443" i="1"/>
  <c r="S449" i="1"/>
  <c r="S448" i="1"/>
  <c r="S441" i="1"/>
  <c r="S447" i="1"/>
  <c r="S325" i="1"/>
  <c r="S324" i="1"/>
  <c r="S442" i="1"/>
  <c r="S323" i="1"/>
  <c r="S341" i="1"/>
  <c r="S337" i="1"/>
  <c r="S331" i="1"/>
  <c r="S330" i="1"/>
  <c r="S329" i="1"/>
  <c r="S328" i="1"/>
  <c r="S327" i="1"/>
  <c r="S494" i="1"/>
  <c r="S493" i="1"/>
  <c r="S492" i="1"/>
  <c r="S491" i="1"/>
  <c r="S490" i="1"/>
  <c r="S501" i="1"/>
  <c r="S500" i="1"/>
  <c r="S464" i="1"/>
  <c r="S469" i="1"/>
  <c r="S468" i="1"/>
  <c r="S463" i="1"/>
  <c r="S462" i="1"/>
  <c r="S467" i="1"/>
  <c r="S466" i="1"/>
  <c r="S465" i="1"/>
  <c r="S461" i="1"/>
  <c r="S446" i="1"/>
  <c r="S454" i="1"/>
  <c r="S453" i="1"/>
  <c r="S445" i="1"/>
  <c r="S394" i="1"/>
  <c r="S390" i="1"/>
  <c r="S389" i="1"/>
  <c r="S388" i="1"/>
  <c r="S387" i="1"/>
  <c r="S393" i="1"/>
  <c r="S386" i="1"/>
  <c r="S392" i="1"/>
  <c r="S371" i="1"/>
  <c r="S385" i="1"/>
  <c r="S381" i="1"/>
  <c r="S380" i="1"/>
  <c r="S372" i="1"/>
  <c r="S379" i="1"/>
  <c r="S366" i="1"/>
  <c r="S378" i="1"/>
  <c r="S377" i="1"/>
  <c r="S376" i="1"/>
  <c r="S365" i="1"/>
  <c r="S375" i="1"/>
  <c r="S358" i="1"/>
  <c r="S374" i="1"/>
  <c r="S373" i="1"/>
  <c r="S364" i="1"/>
  <c r="S370" i="1"/>
  <c r="S369" i="1"/>
  <c r="S368" i="1"/>
  <c r="S367" i="1"/>
  <c r="S357" i="1"/>
  <c r="S356" i="1"/>
  <c r="S363" i="1"/>
  <c r="S355" i="1"/>
  <c r="S354" i="1"/>
  <c r="S362" i="1"/>
  <c r="S352" i="1"/>
  <c r="S361" i="1"/>
  <c r="S360" i="1"/>
  <c r="S359" i="1"/>
  <c r="S353" i="1"/>
  <c r="S351" i="1"/>
  <c r="S343" i="1"/>
  <c r="S350" i="1"/>
  <c r="S349" i="1"/>
  <c r="S348" i="1"/>
  <c r="S342" i="1"/>
  <c r="S347" i="1"/>
  <c r="S346" i="1"/>
  <c r="S345" i="1"/>
  <c r="S344" i="1"/>
  <c r="S499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59" i="1"/>
  <c r="S458" i="1"/>
  <c r="S457" i="1"/>
  <c r="S18" i="1"/>
  <c r="S19" i="1"/>
  <c r="S17" i="1"/>
  <c r="S16" i="1"/>
  <c r="S15" i="1"/>
  <c r="S10" i="1"/>
  <c r="S14" i="1"/>
  <c r="S9" i="1"/>
  <c r="S13" i="1"/>
  <c r="S12" i="1"/>
  <c r="S11" i="1"/>
  <c r="S8" i="1"/>
  <c r="S7" i="1"/>
  <c r="S6" i="1"/>
  <c r="S5" i="1"/>
  <c r="S4" i="1"/>
  <c r="S229" i="1"/>
  <c r="S220" i="1"/>
  <c r="S219" i="1"/>
  <c r="S218" i="1"/>
  <c r="S228" i="1"/>
  <c r="S227" i="1"/>
  <c r="S217" i="1"/>
  <c r="S226" i="1"/>
  <c r="S225" i="1"/>
  <c r="S224" i="1"/>
  <c r="S223" i="1"/>
  <c r="S222" i="1"/>
  <c r="S221" i="1"/>
  <c r="S216" i="1"/>
  <c r="S215" i="1"/>
  <c r="S214" i="1"/>
  <c r="S213" i="1"/>
  <c r="S212" i="1"/>
  <c r="S211" i="1"/>
  <c r="S210" i="1"/>
  <c r="S209" i="1"/>
  <c r="S208" i="1"/>
  <c r="S204" i="1"/>
  <c r="S203" i="1"/>
  <c r="S202" i="1"/>
  <c r="S201" i="1"/>
  <c r="S207" i="1"/>
  <c r="S200" i="1"/>
  <c r="S198" i="1"/>
  <c r="S197" i="1"/>
  <c r="S206" i="1"/>
  <c r="S205" i="1"/>
  <c r="S456" i="1"/>
  <c r="S436" i="1"/>
  <c r="S435" i="1"/>
  <c r="S434" i="1"/>
  <c r="S433" i="1"/>
  <c r="S432" i="1"/>
  <c r="S340" i="1"/>
  <c r="S339" i="1"/>
  <c r="S338" i="1"/>
  <c r="S335" i="1"/>
  <c r="S460" i="1"/>
  <c r="S440" i="1"/>
  <c r="S455" i="1"/>
  <c r="S334" i="1"/>
  <c r="S333" i="1"/>
  <c r="S332" i="1"/>
  <c r="S439" i="1"/>
  <c r="S336" i="1"/>
  <c r="S322" i="1"/>
  <c r="S321" i="1"/>
  <c r="S438" i="1"/>
  <c r="S320" i="1"/>
  <c r="S437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84" i="1"/>
  <c r="S83" i="1"/>
  <c r="S82" i="1"/>
  <c r="S81" i="1"/>
  <c r="S80" i="1"/>
  <c r="S76" i="1"/>
  <c r="S75" i="1"/>
  <c r="S74" i="1"/>
  <c r="S73" i="1"/>
  <c r="S72" i="1"/>
  <c r="S71" i="1"/>
  <c r="S70" i="1"/>
  <c r="S69" i="1"/>
  <c r="S68" i="1"/>
  <c r="S67" i="1"/>
  <c r="S79" i="1"/>
  <c r="S66" i="1"/>
  <c r="S78" i="1"/>
  <c r="S77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72" i="1"/>
  <c r="S271" i="1"/>
  <c r="S270" i="1"/>
  <c r="S281" i="1"/>
  <c r="S269" i="1"/>
  <c r="S268" i="1"/>
  <c r="S278" i="1"/>
  <c r="S267" i="1"/>
  <c r="S275" i="1"/>
  <c r="S280" i="1"/>
  <c r="S266" i="1"/>
  <c r="S279" i="1"/>
  <c r="S265" i="1"/>
  <c r="S264" i="1"/>
  <c r="S263" i="1"/>
  <c r="S277" i="1"/>
  <c r="S262" i="1"/>
  <c r="S261" i="1"/>
  <c r="S260" i="1"/>
  <c r="S259" i="1"/>
  <c r="S274" i="1"/>
  <c r="S257" i="1"/>
  <c r="S256" i="1"/>
  <c r="S273" i="1"/>
  <c r="S258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0" i="1"/>
  <c r="S175" i="1"/>
  <c r="S174" i="1"/>
  <c r="S169" i="1"/>
  <c r="S173" i="1"/>
  <c r="S168" i="1"/>
  <c r="S172" i="1"/>
  <c r="S171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67" i="1"/>
  <c r="S145" i="1"/>
  <c r="S149" i="1"/>
  <c r="S148" i="1"/>
  <c r="S147" i="1"/>
  <c r="S146" i="1"/>
  <c r="S27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2" i="1"/>
  <c r="S241" i="1"/>
  <c r="S240" i="1"/>
  <c r="S239" i="1"/>
  <c r="S243" i="1"/>
  <c r="S231" i="1"/>
  <c r="S238" i="1"/>
  <c r="S235" i="1"/>
  <c r="S234" i="1"/>
  <c r="S237" i="1"/>
  <c r="S233" i="1"/>
  <c r="S230" i="1"/>
  <c r="S236" i="1"/>
  <c r="S232" i="1"/>
  <c r="S65" i="1"/>
  <c r="S62" i="1"/>
  <c r="S61" i="1"/>
  <c r="S54" i="1"/>
  <c r="S53" i="1"/>
  <c r="S60" i="1"/>
  <c r="S59" i="1"/>
  <c r="S52" i="1"/>
  <c r="S58" i="1"/>
  <c r="S57" i="1"/>
  <c r="S51" i="1"/>
  <c r="S50" i="1"/>
  <c r="S49" i="1"/>
  <c r="S56" i="1"/>
  <c r="S64" i="1"/>
  <c r="S63" i="1"/>
  <c r="S48" i="1"/>
  <c r="S55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</calcChain>
</file>

<file path=xl/sharedStrings.xml><?xml version="1.0" encoding="utf-8"?>
<sst xmlns="http://schemas.openxmlformats.org/spreadsheetml/2006/main" count="1222" uniqueCount="79">
  <si>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</si>
  <si>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</si>
  <si>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</si>
  <si>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</si>
  <si>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</si>
  <si>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</si>
  <si>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</si>
  <si>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</si>
  <si>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</si>
  <si>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</si>
  <si>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</si>
  <si>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</si>
  <si>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</si>
  <si>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</si>
  <si>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</si>
  <si>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</si>
  <si>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</si>
  <si>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</si>
  <si>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</si>
  <si>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</si>
  <si>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</si>
  <si>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</si>
  <si>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</si>
  <si>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</si>
  <si>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</si>
  <si>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</si>
  <si>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</si>
  <si>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</si>
  <si>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</si>
  <si>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</si>
  <si>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</si>
  <si>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</si>
  <si>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</si>
  <si>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</si>
  <si>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</si>
  <si>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</si>
  <si>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</si>
  <si>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</si>
  <si>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</si>
  <si>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</si>
  <si>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</si>
  <si>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</si>
  <si>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</si>
  <si>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</si>
  <si>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</si>
  <si>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</si>
  <si>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</si>
  <si>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</si>
  <si>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</si>
  <si>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</si>
  <si>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</si>
  <si>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</si>
  <si>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</si>
  <si>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</si>
  <si>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</si>
  <si>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</si>
  <si>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</si>
  <si>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</si>
  <si>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</si>
  <si>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</si>
  <si>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</si>
  <si>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m1e</t>
  </si>
  <si>
    <t>m1w</t>
  </si>
  <si>
    <t>c1</t>
  </si>
  <si>
    <t>T. latifolia</t>
  </si>
  <si>
    <t>T. domingensis</t>
  </si>
  <si>
    <t>THATCHED</t>
  </si>
  <si>
    <t>S. acutus</t>
  </si>
  <si>
    <t>m2</t>
  </si>
  <si>
    <t>S. californicus</t>
  </si>
  <si>
    <t>c2</t>
  </si>
  <si>
    <t>m3</t>
  </si>
  <si>
    <t>m4s</t>
  </si>
  <si>
    <t>m4c</t>
  </si>
  <si>
    <t>Open Water</t>
  </si>
  <si>
    <t>m4n</t>
  </si>
  <si>
    <t>Thatched</t>
  </si>
  <si>
    <t>Open water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</si>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</sst>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6" fillId="2" borderId="1" xfId="533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9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5"/>
  <sheetViews>
    <sheetView tabSelected="1" topLeftCell="B4" zoomScale="125" zoomScaleNormal="125" zoomScalePageLayoutView="125" workbookViewId="0">
      <selection activeCell="P4" sqref="P4:P560"/>
    </sheetView>
  </sheetViews>
  <sheetFormatPr baseColWidth="10" defaultRowHeight="15" x14ac:dyDescent="0"/>
  <sheetData>
    <row r="1" spans="1:19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  <c r="Q1" s="1"/>
      <c r="R1" s="1"/>
    </row>
    <row r="2" spans="1:19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11"/>
      <c r="Q2" s="2"/>
      <c r="R2" s="2"/>
    </row>
    <row r="3" spans="1:19" ht="60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59</v>
      </c>
      <c r="Q3" s="5" t="s">
        <v>17</v>
      </c>
      <c r="R3" s="5" t="s">
        <v>18</v>
      </c>
      <c r="S3" s="5" t="s">
        <v>26</v>
      </c>
    </row>
    <row r="4" spans="1:19">
      <c r="A4" s="9">
        <v>42625</v>
      </c>
      <c r="B4" s="8" t="s">
        <v>63</v>
      </c>
      <c r="C4" s="8">
        <v>44</v>
      </c>
      <c r="D4" s="8" t="s">
        <v>64</v>
      </c>
      <c r="F4" s="8">
        <v>2.57</v>
      </c>
      <c r="G4" s="8"/>
      <c r="J4">
        <f>84+129+179+186+218</f>
        <v>796</v>
      </c>
      <c r="K4">
        <v>5</v>
      </c>
      <c r="L4">
        <v>218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6.8827890000000025</v>
      </c>
      <c r="P4">
        <f t="shared" ref="P4:P35" si="0">IF(O4&lt;0," ",O4)</f>
        <v>6.8827890000000025</v>
      </c>
      <c r="S4">
        <f t="shared" ref="S4:S35" si="1">3.14159*((F4/2)^2)</f>
        <v>5.1874719477499989</v>
      </c>
    </row>
    <row r="5" spans="1:19">
      <c r="A5" s="9">
        <v>42625</v>
      </c>
      <c r="B5" s="8" t="s">
        <v>63</v>
      </c>
      <c r="C5" s="8">
        <v>44</v>
      </c>
      <c r="D5" s="8" t="s">
        <v>64</v>
      </c>
      <c r="F5" s="8">
        <v>3.96</v>
      </c>
      <c r="J5">
        <f>129+165+192+237+237+255+268+272</f>
        <v>1755</v>
      </c>
      <c r="K5">
        <v>8</v>
      </c>
      <c r="L5">
        <v>272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59.459545000000027</v>
      </c>
      <c r="P5">
        <f t="shared" si="0"/>
        <v>59.459545000000027</v>
      </c>
      <c r="S5">
        <f t="shared" si="1"/>
        <v>12.316289436</v>
      </c>
    </row>
    <row r="6" spans="1:19">
      <c r="A6" s="9">
        <v>42625</v>
      </c>
      <c r="B6" s="8" t="s">
        <v>63</v>
      </c>
      <c r="C6" s="8">
        <v>44</v>
      </c>
      <c r="D6" s="8" t="s">
        <v>64</v>
      </c>
      <c r="F6" s="8">
        <v>2.72</v>
      </c>
      <c r="G6" s="8"/>
      <c r="J6">
        <f>95+157+160+209+249+258</f>
        <v>1128</v>
      </c>
      <c r="K6">
        <v>6</v>
      </c>
      <c r="L6">
        <v>258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18.937295999999996</v>
      </c>
      <c r="P6">
        <f t="shared" si="0"/>
        <v>18.937295999999996</v>
      </c>
      <c r="S6">
        <f t="shared" si="1"/>
        <v>5.8106848640000006</v>
      </c>
    </row>
    <row r="7" spans="1:19">
      <c r="A7" s="9">
        <v>42625</v>
      </c>
      <c r="B7" s="8" t="s">
        <v>63</v>
      </c>
      <c r="C7" s="8">
        <v>44</v>
      </c>
      <c r="D7" s="8" t="s">
        <v>64</v>
      </c>
      <c r="F7" s="8">
        <v>4.34</v>
      </c>
      <c r="G7" s="8"/>
      <c r="J7">
        <f>183+192+225+255+293+322+322</f>
        <v>1792</v>
      </c>
      <c r="K7">
        <v>7</v>
      </c>
      <c r="L7">
        <v>322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54.888583000000004</v>
      </c>
      <c r="P7">
        <f t="shared" si="0"/>
        <v>54.888583000000004</v>
      </c>
      <c r="S7">
        <f t="shared" si="1"/>
        <v>14.793433150999999</v>
      </c>
    </row>
    <row r="8" spans="1:19">
      <c r="A8" s="9">
        <v>42625</v>
      </c>
      <c r="B8" s="8" t="s">
        <v>63</v>
      </c>
      <c r="C8" s="8">
        <v>44</v>
      </c>
      <c r="D8" s="8" t="s">
        <v>64</v>
      </c>
      <c r="F8" s="8">
        <v>1.87</v>
      </c>
      <c r="G8" s="8"/>
      <c r="J8">
        <f>73+111+115+145</f>
        <v>444</v>
      </c>
      <c r="K8">
        <v>2</v>
      </c>
      <c r="L8">
        <v>145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16.938973000000004</v>
      </c>
      <c r="P8">
        <f t="shared" si="0"/>
        <v>16.938973000000004</v>
      </c>
      <c r="S8">
        <f t="shared" si="1"/>
        <v>2.7464565177500004</v>
      </c>
    </row>
    <row r="9" spans="1:19">
      <c r="A9" s="9">
        <v>42625</v>
      </c>
      <c r="B9" s="8" t="s">
        <v>63</v>
      </c>
      <c r="C9" s="8">
        <v>35</v>
      </c>
      <c r="D9" s="8" t="s">
        <v>65</v>
      </c>
      <c r="E9">
        <v>228</v>
      </c>
      <c r="F9" s="8">
        <v>1.98</v>
      </c>
      <c r="G9" s="8"/>
      <c r="H9">
        <v>23</v>
      </c>
      <c r="I9" s="8">
        <v>2.46</v>
      </c>
      <c r="J9" s="8"/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73.622987539999997</v>
      </c>
      <c r="P9">
        <f t="shared" si="0"/>
        <v>73.622987539999997</v>
      </c>
      <c r="S9">
        <f t="shared" si="1"/>
        <v>3.079072359</v>
      </c>
    </row>
    <row r="10" spans="1:19">
      <c r="A10" s="9">
        <v>42625</v>
      </c>
      <c r="B10" s="8" t="s">
        <v>63</v>
      </c>
      <c r="C10" s="8">
        <v>35</v>
      </c>
      <c r="D10" s="8" t="s">
        <v>65</v>
      </c>
      <c r="E10">
        <v>219</v>
      </c>
      <c r="F10" s="8">
        <v>2.4500000000000002</v>
      </c>
      <c r="G10" s="8"/>
      <c r="H10">
        <v>18</v>
      </c>
      <c r="I10" s="8">
        <v>2.34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73.193463769999994</v>
      </c>
      <c r="P10">
        <f t="shared" si="0"/>
        <v>73.193463769999994</v>
      </c>
      <c r="S10">
        <f t="shared" si="1"/>
        <v>4.7143484937500011</v>
      </c>
    </row>
    <row r="11" spans="1:19">
      <c r="A11" s="9">
        <v>42625</v>
      </c>
      <c r="B11" s="8" t="s">
        <v>63</v>
      </c>
      <c r="C11" s="8">
        <v>35</v>
      </c>
      <c r="D11" s="8" t="s">
        <v>64</v>
      </c>
      <c r="F11" s="8">
        <v>1.58</v>
      </c>
      <c r="J11">
        <f>164+183+188</f>
        <v>535</v>
      </c>
      <c r="K11">
        <v>3</v>
      </c>
      <c r="L11">
        <v>188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5.4947900000000018</v>
      </c>
      <c r="P11">
        <f t="shared" si="0"/>
        <v>5.4947900000000018</v>
      </c>
      <c r="S11">
        <f t="shared" si="1"/>
        <v>1.9606663190000002</v>
      </c>
    </row>
    <row r="12" spans="1:19">
      <c r="A12" s="9">
        <v>42625</v>
      </c>
      <c r="B12" s="8" t="s">
        <v>63</v>
      </c>
      <c r="C12" s="8">
        <v>35</v>
      </c>
      <c r="D12" s="8" t="s">
        <v>64</v>
      </c>
      <c r="F12" s="8">
        <v>1.24</v>
      </c>
      <c r="G12" s="8"/>
      <c r="J12">
        <f>145+179+194</f>
        <v>518</v>
      </c>
      <c r="K12">
        <v>3</v>
      </c>
      <c r="L12">
        <v>194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2.0934850000000012</v>
      </c>
      <c r="P12">
        <f t="shared" si="0"/>
        <v>2.0934850000000012</v>
      </c>
      <c r="S12">
        <f t="shared" si="1"/>
        <v>1.207627196</v>
      </c>
    </row>
    <row r="13" spans="1:19">
      <c r="A13" s="9">
        <v>42625</v>
      </c>
      <c r="B13" s="8" t="s">
        <v>63</v>
      </c>
      <c r="C13" s="8">
        <v>35</v>
      </c>
      <c r="D13" s="8" t="s">
        <v>64</v>
      </c>
      <c r="F13" s="8">
        <v>0.83</v>
      </c>
      <c r="G13" s="8"/>
      <c r="J13">
        <f>43+72+74</f>
        <v>189</v>
      </c>
      <c r="K13">
        <v>3</v>
      </c>
      <c r="L13">
        <v>74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7.3974899999999977</v>
      </c>
      <c r="P13">
        <f t="shared" si="0"/>
        <v>7.3974899999999977</v>
      </c>
      <c r="S13">
        <f t="shared" si="1"/>
        <v>0.54106033774999995</v>
      </c>
    </row>
    <row r="14" spans="1:19">
      <c r="A14" s="9">
        <v>42625</v>
      </c>
      <c r="B14" s="8" t="s">
        <v>63</v>
      </c>
      <c r="C14" s="8">
        <v>35</v>
      </c>
      <c r="D14" s="8" t="s">
        <v>64</v>
      </c>
      <c r="F14" s="8">
        <v>1.52</v>
      </c>
      <c r="G14" s="8"/>
      <c r="J14" s="8">
        <f>118+157+169</f>
        <v>444</v>
      </c>
      <c r="K14">
        <v>3</v>
      </c>
      <c r="L14">
        <v>169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2.6867400000000004</v>
      </c>
      <c r="P14">
        <f t="shared" si="0"/>
        <v>2.6867400000000004</v>
      </c>
      <c r="S14">
        <f t="shared" si="1"/>
        <v>1.8145823839999999</v>
      </c>
    </row>
    <row r="15" spans="1:19">
      <c r="A15" s="9">
        <v>42625</v>
      </c>
      <c r="B15" s="8" t="s">
        <v>63</v>
      </c>
      <c r="C15" s="8">
        <v>35</v>
      </c>
      <c r="D15" s="8" t="s">
        <v>64</v>
      </c>
      <c r="F15" s="8">
        <v>2.5</v>
      </c>
      <c r="G15" s="8"/>
      <c r="J15">
        <f>59+67+114+129+172+173</f>
        <v>714</v>
      </c>
      <c r="K15">
        <v>6</v>
      </c>
      <c r="L15">
        <v>173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5.7285510000000102</v>
      </c>
      <c r="P15">
        <f t="shared" si="0"/>
        <v>5.7285510000000102</v>
      </c>
      <c r="S15">
        <f t="shared" si="1"/>
        <v>4.9087343749999999</v>
      </c>
    </row>
    <row r="16" spans="1:19">
      <c r="A16" s="9">
        <v>42625</v>
      </c>
      <c r="B16" s="8" t="s">
        <v>63</v>
      </c>
      <c r="C16" s="8">
        <v>35</v>
      </c>
      <c r="D16" s="8" t="s">
        <v>64</v>
      </c>
      <c r="F16" s="8">
        <v>1.25</v>
      </c>
      <c r="G16" s="8"/>
      <c r="J16">
        <f>143+161+177+179</f>
        <v>660</v>
      </c>
      <c r="K16">
        <v>4</v>
      </c>
      <c r="L16">
        <v>179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12.903016999999998</v>
      </c>
      <c r="P16">
        <f t="shared" si="0"/>
        <v>12.903016999999998</v>
      </c>
      <c r="S16">
        <f t="shared" si="1"/>
        <v>1.22718359375</v>
      </c>
    </row>
    <row r="17" spans="1:19">
      <c r="A17" s="9">
        <v>42625</v>
      </c>
      <c r="B17" s="8" t="s">
        <v>63</v>
      </c>
      <c r="C17" s="8">
        <v>35</v>
      </c>
      <c r="D17" s="8" t="s">
        <v>64</v>
      </c>
      <c r="F17" s="8">
        <v>1.83</v>
      </c>
      <c r="G17" s="8"/>
      <c r="J17">
        <f>188+215+216</f>
        <v>619</v>
      </c>
      <c r="K17">
        <v>3</v>
      </c>
      <c r="L17">
        <v>216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4.9353500000000068</v>
      </c>
      <c r="P17">
        <f t="shared" si="0"/>
        <v>4.9353500000000068</v>
      </c>
      <c r="S17">
        <f t="shared" si="1"/>
        <v>2.6302176877500001</v>
      </c>
    </row>
    <row r="18" spans="1:19">
      <c r="A18" s="9">
        <v>42625</v>
      </c>
      <c r="B18" s="8" t="s">
        <v>63</v>
      </c>
      <c r="C18" s="8">
        <v>35</v>
      </c>
      <c r="D18" s="8" t="s">
        <v>64</v>
      </c>
      <c r="F18" s="8">
        <v>1.67</v>
      </c>
      <c r="G18" s="8"/>
      <c r="J18">
        <f>74+124+147+161+168</f>
        <v>674</v>
      </c>
      <c r="K18">
        <v>5</v>
      </c>
      <c r="L18">
        <v>168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10.506929000000007</v>
      </c>
      <c r="P18">
        <f t="shared" si="0"/>
        <v>10.506929000000007</v>
      </c>
      <c r="S18">
        <f t="shared" si="1"/>
        <v>2.1903950877499998</v>
      </c>
    </row>
    <row r="19" spans="1:19">
      <c r="A19" s="9">
        <v>42625</v>
      </c>
      <c r="B19" s="8" t="s">
        <v>63</v>
      </c>
      <c r="C19" s="8">
        <v>35</v>
      </c>
      <c r="D19" s="8" t="s">
        <v>64</v>
      </c>
      <c r="F19" s="8">
        <v>1.8</v>
      </c>
      <c r="J19">
        <f>133+148+167+186+188</f>
        <v>822</v>
      </c>
      <c r="K19">
        <v>5</v>
      </c>
      <c r="L19">
        <v>188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18.357768999999998</v>
      </c>
      <c r="P19">
        <f t="shared" si="0"/>
        <v>18.357768999999998</v>
      </c>
      <c r="S19">
        <f t="shared" si="1"/>
        <v>2.5446879</v>
      </c>
    </row>
    <row r="20" spans="1:19">
      <c r="A20" s="9">
        <v>42625</v>
      </c>
      <c r="B20" s="8" t="s">
        <v>63</v>
      </c>
      <c r="C20" s="8">
        <v>35</v>
      </c>
      <c r="D20" s="8" t="s">
        <v>64</v>
      </c>
      <c r="F20" s="8">
        <v>1.23</v>
      </c>
      <c r="J20">
        <f>158+171+179</f>
        <v>508</v>
      </c>
      <c r="K20">
        <v>3</v>
      </c>
      <c r="L20">
        <v>179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5.6746100000000013</v>
      </c>
      <c r="P20">
        <f t="shared" si="0"/>
        <v>5.6746100000000013</v>
      </c>
      <c r="S20">
        <f t="shared" si="1"/>
        <v>1.1882278777499999</v>
      </c>
    </row>
    <row r="21" spans="1:19">
      <c r="A21" s="9">
        <v>42625</v>
      </c>
      <c r="B21" s="8" t="s">
        <v>63</v>
      </c>
      <c r="C21" s="8">
        <v>35</v>
      </c>
      <c r="D21" s="8" t="s">
        <v>64</v>
      </c>
      <c r="F21" s="8">
        <v>0.99</v>
      </c>
      <c r="J21">
        <f>135+149+155</f>
        <v>439</v>
      </c>
      <c r="K21">
        <v>3</v>
      </c>
      <c r="L21">
        <v>155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6.4353949999999998</v>
      </c>
      <c r="P21">
        <f t="shared" si="0"/>
        <v>6.4353949999999998</v>
      </c>
      <c r="S21">
        <f t="shared" si="1"/>
        <v>0.76976808975</v>
      </c>
    </row>
    <row r="22" spans="1:19">
      <c r="A22" s="9">
        <v>42625</v>
      </c>
      <c r="B22" s="8" t="s">
        <v>63</v>
      </c>
      <c r="C22">
        <v>32</v>
      </c>
      <c r="D22" t="s">
        <v>65</v>
      </c>
      <c r="E22">
        <v>262</v>
      </c>
      <c r="F22" s="8">
        <v>3.14</v>
      </c>
      <c r="H22">
        <v>24</v>
      </c>
      <c r="I22">
        <v>2.34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105.13329929999998</v>
      </c>
      <c r="P22">
        <f t="shared" si="0"/>
        <v>105.13329929999998</v>
      </c>
      <c r="S22">
        <f t="shared" si="1"/>
        <v>7.7437051910000001</v>
      </c>
    </row>
    <row r="23" spans="1:19">
      <c r="A23" s="9">
        <v>42625</v>
      </c>
      <c r="B23" s="8" t="s">
        <v>63</v>
      </c>
      <c r="C23" s="8">
        <v>32</v>
      </c>
      <c r="D23" t="s">
        <v>64</v>
      </c>
      <c r="F23" s="8">
        <v>2.62</v>
      </c>
      <c r="J23">
        <f>138+141+168</f>
        <v>447</v>
      </c>
      <c r="K23">
        <v>3</v>
      </c>
      <c r="L23">
        <v>168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3.2692499999999995</v>
      </c>
      <c r="P23">
        <f t="shared" si="0"/>
        <v>3.2692499999999995</v>
      </c>
      <c r="S23">
        <f t="shared" si="1"/>
        <v>5.3912825990000002</v>
      </c>
    </row>
    <row r="24" spans="1:19">
      <c r="A24" s="9">
        <v>42625</v>
      </c>
      <c r="B24" s="8" t="s">
        <v>63</v>
      </c>
      <c r="C24" s="8">
        <v>32</v>
      </c>
      <c r="D24" s="8" t="s">
        <v>64</v>
      </c>
      <c r="F24" s="8">
        <v>2.33</v>
      </c>
      <c r="J24">
        <f>175+211+232</f>
        <v>618</v>
      </c>
      <c r="K24">
        <v>3</v>
      </c>
      <c r="L24">
        <v>232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2.1674999999994782E-2</v>
      </c>
      <c r="P24">
        <f t="shared" si="0"/>
        <v>2.1674999999994782E-2</v>
      </c>
      <c r="S24">
        <f t="shared" si="1"/>
        <v>4.2638444877500001</v>
      </c>
    </row>
    <row r="25" spans="1:19">
      <c r="A25" s="9">
        <v>42625</v>
      </c>
      <c r="B25" s="8" t="s">
        <v>63</v>
      </c>
      <c r="C25" s="8">
        <v>32</v>
      </c>
      <c r="D25" s="8" t="s">
        <v>64</v>
      </c>
      <c r="F25" s="8">
        <v>0.86</v>
      </c>
      <c r="J25">
        <v>260</v>
      </c>
      <c r="K25">
        <v>1</v>
      </c>
      <c r="L25">
        <v>260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-27.932769</v>
      </c>
      <c r="P25" t="str">
        <f t="shared" si="0"/>
        <v xml:space="preserve"> </v>
      </c>
      <c r="S25">
        <f t="shared" si="1"/>
        <v>0.58087999099999987</v>
      </c>
    </row>
    <row r="26" spans="1:19">
      <c r="A26" s="9">
        <v>42625</v>
      </c>
      <c r="B26" s="8" t="s">
        <v>63</v>
      </c>
      <c r="C26" s="8">
        <v>32</v>
      </c>
      <c r="D26" s="8" t="s">
        <v>64</v>
      </c>
      <c r="F26" s="8">
        <v>0.39</v>
      </c>
      <c r="J26">
        <f>23+36+47</f>
        <v>106</v>
      </c>
      <c r="K26">
        <v>3</v>
      </c>
      <c r="L26">
        <v>47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7.7494399999999999</v>
      </c>
      <c r="P26">
        <f t="shared" si="0"/>
        <v>7.7494399999999999</v>
      </c>
      <c r="S26">
        <f t="shared" si="1"/>
        <v>0.11945895975000001</v>
      </c>
    </row>
    <row r="27" spans="1:19">
      <c r="A27" s="9">
        <v>42625</v>
      </c>
      <c r="B27" s="8" t="s">
        <v>63</v>
      </c>
      <c r="C27" s="8">
        <v>32</v>
      </c>
      <c r="D27" s="8" t="s">
        <v>64</v>
      </c>
      <c r="F27" s="8">
        <v>0.78</v>
      </c>
      <c r="J27">
        <f>41+60+77</f>
        <v>178</v>
      </c>
      <c r="K27">
        <v>3</v>
      </c>
      <c r="L27">
        <v>77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5.4624500000000005</v>
      </c>
      <c r="P27">
        <f t="shared" si="0"/>
        <v>5.4624500000000005</v>
      </c>
      <c r="S27">
        <f t="shared" si="1"/>
        <v>0.47783583900000004</v>
      </c>
    </row>
    <row r="28" spans="1:19">
      <c r="A28" s="9">
        <v>42625</v>
      </c>
      <c r="B28" s="8" t="s">
        <v>63</v>
      </c>
      <c r="C28" s="8">
        <v>32</v>
      </c>
      <c r="D28" s="8" t="s">
        <v>64</v>
      </c>
      <c r="F28" s="8">
        <v>0.9</v>
      </c>
      <c r="J28">
        <f>68+84</f>
        <v>152</v>
      </c>
      <c r="K28">
        <v>2</v>
      </c>
      <c r="L28">
        <v>84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7.9384580000000007</v>
      </c>
      <c r="P28">
        <f t="shared" si="0"/>
        <v>7.9384580000000007</v>
      </c>
      <c r="S28">
        <f t="shared" si="1"/>
        <v>0.636171975</v>
      </c>
    </row>
    <row r="29" spans="1:19">
      <c r="A29" s="9">
        <v>42625</v>
      </c>
      <c r="B29" s="8" t="s">
        <v>63</v>
      </c>
      <c r="C29" s="8">
        <v>32</v>
      </c>
      <c r="D29" s="8" t="s">
        <v>64</v>
      </c>
      <c r="F29" s="8">
        <v>0.33</v>
      </c>
      <c r="J29">
        <f>22+38+46</f>
        <v>106</v>
      </c>
      <c r="K29">
        <v>3</v>
      </c>
      <c r="L29">
        <v>46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8.0506849999999979</v>
      </c>
      <c r="P29">
        <f t="shared" si="0"/>
        <v>8.0506849999999979</v>
      </c>
      <c r="S29">
        <f t="shared" si="1"/>
        <v>8.5529787750000003E-2</v>
      </c>
    </row>
    <row r="30" spans="1:19">
      <c r="A30" s="9">
        <v>42625</v>
      </c>
      <c r="B30" s="8" t="s">
        <v>63</v>
      </c>
      <c r="C30" s="8">
        <v>32</v>
      </c>
      <c r="D30" s="8" t="s">
        <v>64</v>
      </c>
      <c r="F30" s="8">
        <v>0.56999999999999995</v>
      </c>
      <c r="J30">
        <f>17+24+30</f>
        <v>71</v>
      </c>
      <c r="K30">
        <v>3</v>
      </c>
      <c r="L30">
        <v>30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9.5891799999999989</v>
      </c>
      <c r="P30">
        <f t="shared" si="0"/>
        <v>9.5891799999999989</v>
      </c>
      <c r="S30">
        <f t="shared" si="1"/>
        <v>0.25517564774999996</v>
      </c>
    </row>
    <row r="31" spans="1:19">
      <c r="A31" s="9">
        <v>42625</v>
      </c>
      <c r="B31" s="8" t="s">
        <v>63</v>
      </c>
      <c r="C31" s="8">
        <v>29</v>
      </c>
      <c r="D31" s="8" t="s">
        <v>64</v>
      </c>
      <c r="F31" s="8">
        <v>2.94</v>
      </c>
      <c r="J31">
        <f>50+97+158+192+220+232</f>
        <v>949</v>
      </c>
      <c r="K31">
        <v>6</v>
      </c>
      <c r="L31">
        <v>232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9.9875209999999939</v>
      </c>
      <c r="P31">
        <f t="shared" si="0"/>
        <v>9.9875209999999939</v>
      </c>
      <c r="S31">
        <f t="shared" si="1"/>
        <v>6.7886618309999989</v>
      </c>
    </row>
    <row r="32" spans="1:19">
      <c r="A32" s="9">
        <v>42625</v>
      </c>
      <c r="B32" s="8" t="s">
        <v>63</v>
      </c>
      <c r="C32" s="8">
        <v>29</v>
      </c>
      <c r="D32" s="8" t="s">
        <v>64</v>
      </c>
      <c r="F32" s="8">
        <v>4.1500000000000004</v>
      </c>
      <c r="J32">
        <f>172+199+211</f>
        <v>582</v>
      </c>
      <c r="K32">
        <v>3</v>
      </c>
      <c r="L32">
        <v>211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2.9726399999999984</v>
      </c>
      <c r="P32">
        <f t="shared" si="0"/>
        <v>2.9726399999999984</v>
      </c>
      <c r="S32">
        <f t="shared" si="1"/>
        <v>13.526508443750002</v>
      </c>
    </row>
    <row r="33" spans="1:19">
      <c r="A33" s="9">
        <v>42625</v>
      </c>
      <c r="B33" s="8" t="s">
        <v>63</v>
      </c>
      <c r="C33" s="8">
        <v>29</v>
      </c>
      <c r="D33" s="8" t="s">
        <v>64</v>
      </c>
      <c r="F33" s="8">
        <v>1.1000000000000001</v>
      </c>
      <c r="J33">
        <f>74+92+103</f>
        <v>269</v>
      </c>
      <c r="K33">
        <v>3</v>
      </c>
      <c r="L33">
        <v>103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6.1617849999999983</v>
      </c>
      <c r="P33">
        <f t="shared" si="0"/>
        <v>6.1617849999999983</v>
      </c>
      <c r="S33">
        <f t="shared" si="1"/>
        <v>0.95033097500000008</v>
      </c>
    </row>
    <row r="34" spans="1:19">
      <c r="A34" s="9">
        <v>42625</v>
      </c>
      <c r="B34" s="8" t="s">
        <v>63</v>
      </c>
      <c r="C34" s="8">
        <v>29</v>
      </c>
      <c r="D34" s="8" t="s">
        <v>64</v>
      </c>
      <c r="F34" s="8">
        <v>2.16</v>
      </c>
      <c r="J34">
        <f>68+103+123+137</f>
        <v>431</v>
      </c>
      <c r="K34">
        <v>4</v>
      </c>
      <c r="L34">
        <v>137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4.0854120000000016</v>
      </c>
      <c r="P34">
        <f t="shared" si="0"/>
        <v>4.0854120000000016</v>
      </c>
      <c r="S34">
        <f t="shared" si="1"/>
        <v>3.6643505760000004</v>
      </c>
    </row>
    <row r="35" spans="1:19">
      <c r="A35" s="9">
        <v>42625</v>
      </c>
      <c r="B35" s="9" t="s">
        <v>63</v>
      </c>
      <c r="C35" s="8">
        <v>29</v>
      </c>
      <c r="D35" s="8" t="s">
        <v>64</v>
      </c>
      <c r="F35" s="8">
        <v>1.25</v>
      </c>
      <c r="J35">
        <f>50+101+106</f>
        <v>257</v>
      </c>
      <c r="K35">
        <v>3</v>
      </c>
      <c r="L35">
        <v>106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4.1329899999999995</v>
      </c>
      <c r="P35">
        <f t="shared" si="0"/>
        <v>4.1329899999999995</v>
      </c>
      <c r="S35">
        <f t="shared" si="1"/>
        <v>1.22718359375</v>
      </c>
    </row>
    <row r="36" spans="1:19">
      <c r="A36" s="9">
        <v>42625</v>
      </c>
      <c r="B36" s="9" t="s">
        <v>63</v>
      </c>
      <c r="C36" s="8">
        <v>29</v>
      </c>
      <c r="D36" s="8" t="s">
        <v>64</v>
      </c>
      <c r="F36" s="8">
        <v>1.02</v>
      </c>
      <c r="J36" s="8">
        <f>130</f>
        <v>130</v>
      </c>
      <c r="K36">
        <v>1</v>
      </c>
      <c r="L36">
        <v>130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-0.95906900000000661</v>
      </c>
      <c r="P36" t="str">
        <f t="shared" ref="P36:P67" si="2">IF(O36&lt;0," ",O36)</f>
        <v xml:space="preserve"> </v>
      </c>
      <c r="S36">
        <f t="shared" ref="S36:S67" si="3">3.14159*((F36/2)^2)</f>
        <v>0.817127559</v>
      </c>
    </row>
    <row r="37" spans="1:19">
      <c r="A37" s="9">
        <v>42625</v>
      </c>
      <c r="B37" s="9" t="s">
        <v>63</v>
      </c>
      <c r="C37" s="8">
        <v>29</v>
      </c>
      <c r="D37" s="8" t="s">
        <v>64</v>
      </c>
      <c r="F37" s="8">
        <v>3.71</v>
      </c>
      <c r="J37" s="8">
        <f>163+194+210+216+229+236+237+242</f>
        <v>1727</v>
      </c>
      <c r="K37">
        <v>8</v>
      </c>
      <c r="L37">
        <v>242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65.871755000000007</v>
      </c>
      <c r="P37">
        <f t="shared" si="2"/>
        <v>65.871755000000007</v>
      </c>
      <c r="S37">
        <f t="shared" si="3"/>
        <v>10.810289729749998</v>
      </c>
    </row>
    <row r="38" spans="1:19">
      <c r="A38" s="9">
        <v>42625</v>
      </c>
      <c r="B38" s="9" t="s">
        <v>63</v>
      </c>
      <c r="C38" s="8">
        <v>29</v>
      </c>
      <c r="D38" s="8" t="s">
        <v>64</v>
      </c>
      <c r="F38" s="8">
        <v>1.33</v>
      </c>
      <c r="J38" s="8">
        <f>48+100+58+101</f>
        <v>307</v>
      </c>
      <c r="K38">
        <v>4</v>
      </c>
      <c r="L38">
        <v>101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3.3046119999999988</v>
      </c>
      <c r="P38">
        <f t="shared" si="2"/>
        <v>3.3046119999999988</v>
      </c>
      <c r="S38">
        <f t="shared" si="3"/>
        <v>1.3892896377500001</v>
      </c>
    </row>
    <row r="39" spans="1:19">
      <c r="A39" s="9">
        <v>42625</v>
      </c>
      <c r="B39" s="9" t="s">
        <v>63</v>
      </c>
      <c r="C39" s="8">
        <v>29</v>
      </c>
      <c r="D39" s="8" t="s">
        <v>64</v>
      </c>
      <c r="F39" s="8">
        <v>3.33</v>
      </c>
      <c r="J39" s="8">
        <f>149+158+197+213+225+236</f>
        <v>1178</v>
      </c>
      <c r="K39">
        <v>6</v>
      </c>
      <c r="L39">
        <v>236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30.25243600000001</v>
      </c>
      <c r="P39">
        <f t="shared" si="2"/>
        <v>30.25243600000001</v>
      </c>
      <c r="S39">
        <f t="shared" si="3"/>
        <v>8.7091943377500005</v>
      </c>
    </row>
    <row r="40" spans="1:19">
      <c r="A40" s="9">
        <v>42625</v>
      </c>
      <c r="B40" s="9" t="s">
        <v>63</v>
      </c>
      <c r="C40" s="8">
        <v>29</v>
      </c>
      <c r="D40" s="8" t="s">
        <v>64</v>
      </c>
      <c r="F40" s="8">
        <v>1.56</v>
      </c>
      <c r="J40" s="8">
        <f>115+125+207</f>
        <v>447</v>
      </c>
      <c r="K40">
        <v>3</v>
      </c>
      <c r="L40">
        <v>207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-8.4793050000000036</v>
      </c>
      <c r="P40" t="str">
        <f t="shared" si="2"/>
        <v xml:space="preserve"> </v>
      </c>
      <c r="S40">
        <f t="shared" si="3"/>
        <v>1.9113433560000002</v>
      </c>
    </row>
    <row r="41" spans="1:19">
      <c r="A41" s="9">
        <v>42625</v>
      </c>
      <c r="B41" s="9" t="s">
        <v>63</v>
      </c>
      <c r="C41" s="8">
        <v>29</v>
      </c>
      <c r="D41" s="8" t="s">
        <v>64</v>
      </c>
      <c r="F41" s="8">
        <v>0.5</v>
      </c>
      <c r="J41" s="8">
        <f>30+30</f>
        <v>60</v>
      </c>
      <c r="K41">
        <v>2</v>
      </c>
      <c r="L41">
        <v>30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15.580227999999998</v>
      </c>
      <c r="P41">
        <f t="shared" si="2"/>
        <v>15.580227999999998</v>
      </c>
      <c r="S41">
        <f t="shared" si="3"/>
        <v>0.19634937499999999</v>
      </c>
    </row>
    <row r="42" spans="1:19">
      <c r="A42" s="9">
        <v>42625</v>
      </c>
      <c r="B42" s="9" t="s">
        <v>63</v>
      </c>
      <c r="C42" s="8">
        <v>29</v>
      </c>
      <c r="D42" s="8" t="s">
        <v>64</v>
      </c>
      <c r="F42" s="8">
        <v>3.56</v>
      </c>
      <c r="J42" s="8">
        <f>193+23+240+246+253</f>
        <v>955</v>
      </c>
      <c r="K42">
        <v>5</v>
      </c>
      <c r="L42">
        <v>253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11.246259000000009</v>
      </c>
      <c r="P42">
        <f t="shared" si="2"/>
        <v>11.246259000000009</v>
      </c>
      <c r="S42">
        <f t="shared" si="3"/>
        <v>9.9538137560000006</v>
      </c>
    </row>
    <row r="43" spans="1:19">
      <c r="A43" s="9">
        <v>42625</v>
      </c>
      <c r="B43" s="9" t="s">
        <v>63</v>
      </c>
      <c r="C43">
        <v>16</v>
      </c>
      <c r="D43" s="8" t="s">
        <v>67</v>
      </c>
      <c r="E43">
        <v>277</v>
      </c>
      <c r="F43" s="8">
        <v>1.29</v>
      </c>
      <c r="J43" s="8"/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14.828488</v>
      </c>
      <c r="P43">
        <f t="shared" si="2"/>
        <v>14.828488</v>
      </c>
      <c r="S43">
        <f t="shared" si="3"/>
        <v>1.3069799797500001</v>
      </c>
    </row>
    <row r="44" spans="1:19">
      <c r="A44" s="9">
        <v>42625</v>
      </c>
      <c r="B44" s="9" t="s">
        <v>63</v>
      </c>
      <c r="C44">
        <v>16</v>
      </c>
      <c r="D44" s="8" t="s">
        <v>67</v>
      </c>
      <c r="E44">
        <v>216</v>
      </c>
      <c r="F44" s="8">
        <v>2.0099999999999998</v>
      </c>
      <c r="J44" s="8"/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10.552083</v>
      </c>
      <c r="P44">
        <f t="shared" si="2"/>
        <v>10.552083</v>
      </c>
      <c r="S44">
        <f t="shared" si="3"/>
        <v>3.1730844397499989</v>
      </c>
    </row>
    <row r="45" spans="1:19">
      <c r="A45" s="9">
        <v>42625</v>
      </c>
      <c r="B45" s="9" t="s">
        <v>63</v>
      </c>
      <c r="C45">
        <v>16</v>
      </c>
      <c r="D45" s="8" t="s">
        <v>67</v>
      </c>
      <c r="E45">
        <v>184</v>
      </c>
      <c r="F45" s="8">
        <v>1.32</v>
      </c>
      <c r="J45" s="8"/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8.3087230000000005</v>
      </c>
      <c r="P45">
        <f t="shared" si="2"/>
        <v>8.3087230000000005</v>
      </c>
      <c r="S45">
        <f t="shared" si="3"/>
        <v>1.368476604</v>
      </c>
    </row>
    <row r="46" spans="1:19">
      <c r="A46" s="9">
        <v>42625</v>
      </c>
      <c r="B46" s="9" t="s">
        <v>63</v>
      </c>
      <c r="C46">
        <v>16</v>
      </c>
      <c r="D46" s="8" t="s">
        <v>67</v>
      </c>
      <c r="E46">
        <v>240</v>
      </c>
      <c r="F46" s="8">
        <v>1.79</v>
      </c>
      <c r="J46" s="8"/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12.234603</v>
      </c>
      <c r="P46">
        <f t="shared" si="2"/>
        <v>12.234603</v>
      </c>
      <c r="S46">
        <f t="shared" si="3"/>
        <v>2.51649212975</v>
      </c>
    </row>
    <row r="47" spans="1:19">
      <c r="A47" s="9">
        <v>42625</v>
      </c>
      <c r="B47" s="9" t="s">
        <v>63</v>
      </c>
      <c r="C47">
        <v>16</v>
      </c>
      <c r="D47" s="8" t="s">
        <v>67</v>
      </c>
      <c r="E47">
        <v>283</v>
      </c>
      <c r="F47" s="8">
        <v>1.4</v>
      </c>
      <c r="J47" s="8"/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15.249118000000003</v>
      </c>
      <c r="P47">
        <f t="shared" si="2"/>
        <v>15.249118000000003</v>
      </c>
      <c r="S47">
        <f t="shared" si="3"/>
        <v>1.5393790999999997</v>
      </c>
    </row>
    <row r="48" spans="1:19">
      <c r="A48" s="9">
        <v>42625</v>
      </c>
      <c r="B48" s="9" t="s">
        <v>63</v>
      </c>
      <c r="C48">
        <v>16</v>
      </c>
      <c r="D48" s="8" t="s">
        <v>67</v>
      </c>
      <c r="E48">
        <v>268</v>
      </c>
      <c r="F48" s="8">
        <v>1.62</v>
      </c>
      <c r="J48" s="8"/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14.197543</v>
      </c>
      <c r="P48">
        <f t="shared" si="2"/>
        <v>14.197543</v>
      </c>
      <c r="S48">
        <f t="shared" si="3"/>
        <v>2.0611971990000004</v>
      </c>
    </row>
    <row r="49" spans="1:19">
      <c r="A49" s="9">
        <v>42625</v>
      </c>
      <c r="B49" s="9" t="s">
        <v>63</v>
      </c>
      <c r="C49">
        <v>16</v>
      </c>
      <c r="D49" s="8" t="s">
        <v>67</v>
      </c>
      <c r="E49">
        <v>106</v>
      </c>
      <c r="F49" s="8">
        <v>0.66</v>
      </c>
      <c r="J49" s="8"/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2.8405330000000006</v>
      </c>
      <c r="P49">
        <f t="shared" si="2"/>
        <v>2.8405330000000006</v>
      </c>
      <c r="S49">
        <f t="shared" si="3"/>
        <v>0.34211915100000001</v>
      </c>
    </row>
    <row r="50" spans="1:19">
      <c r="A50" s="9">
        <v>42625</v>
      </c>
      <c r="B50" s="9" t="s">
        <v>63</v>
      </c>
      <c r="C50">
        <v>16</v>
      </c>
      <c r="D50" s="8" t="s">
        <v>67</v>
      </c>
      <c r="E50">
        <v>256</v>
      </c>
      <c r="F50" s="8">
        <v>1.34</v>
      </c>
      <c r="J50" s="8"/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13.356283000000001</v>
      </c>
      <c r="P50">
        <f t="shared" si="2"/>
        <v>13.356283000000001</v>
      </c>
      <c r="S50">
        <f t="shared" si="3"/>
        <v>1.4102597510000001</v>
      </c>
    </row>
    <row r="51" spans="1:19">
      <c r="A51" s="9">
        <v>42625</v>
      </c>
      <c r="B51" s="9" t="s">
        <v>63</v>
      </c>
      <c r="C51">
        <v>16</v>
      </c>
      <c r="D51" s="8" t="s">
        <v>67</v>
      </c>
      <c r="E51">
        <v>256</v>
      </c>
      <c r="F51" s="8">
        <v>1.08</v>
      </c>
      <c r="J51" s="8"/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13.356283000000001</v>
      </c>
      <c r="P51">
        <f t="shared" si="2"/>
        <v>13.356283000000001</v>
      </c>
      <c r="S51">
        <f t="shared" si="3"/>
        <v>0.91608764400000009</v>
      </c>
    </row>
    <row r="52" spans="1:19">
      <c r="A52" s="9">
        <v>42625</v>
      </c>
      <c r="B52" s="9" t="s">
        <v>63</v>
      </c>
      <c r="C52">
        <v>16</v>
      </c>
      <c r="D52" s="8" t="s">
        <v>67</v>
      </c>
      <c r="E52">
        <v>218</v>
      </c>
      <c r="F52" s="8">
        <v>1.29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10.692292999999999</v>
      </c>
      <c r="P52">
        <f t="shared" si="2"/>
        <v>10.692292999999999</v>
      </c>
      <c r="S52">
        <f t="shared" si="3"/>
        <v>1.3069799797500001</v>
      </c>
    </row>
    <row r="53" spans="1:19">
      <c r="A53" s="9">
        <v>42625</v>
      </c>
      <c r="B53" s="9" t="s">
        <v>63</v>
      </c>
      <c r="C53">
        <v>16</v>
      </c>
      <c r="D53" s="8" t="s">
        <v>67</v>
      </c>
      <c r="E53">
        <v>244</v>
      </c>
      <c r="F53" s="8">
        <v>1.3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12.515023000000003</v>
      </c>
      <c r="P53">
        <f t="shared" si="2"/>
        <v>12.515023000000003</v>
      </c>
      <c r="S53">
        <f t="shared" si="3"/>
        <v>1.3273217750000001</v>
      </c>
    </row>
    <row r="54" spans="1:19">
      <c r="A54" s="9">
        <v>42625</v>
      </c>
      <c r="B54" s="9" t="s">
        <v>63</v>
      </c>
      <c r="C54">
        <v>16</v>
      </c>
      <c r="D54" s="8" t="s">
        <v>67</v>
      </c>
      <c r="E54">
        <v>333</v>
      </c>
      <c r="F54" s="8">
        <v>1.35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18.754368000000003</v>
      </c>
      <c r="P54">
        <f t="shared" si="2"/>
        <v>18.754368000000003</v>
      </c>
      <c r="S54">
        <f t="shared" si="3"/>
        <v>1.4313869437500002</v>
      </c>
    </row>
    <row r="55" spans="1:19">
      <c r="A55" s="9">
        <v>42625</v>
      </c>
      <c r="B55" s="9" t="s">
        <v>63</v>
      </c>
      <c r="C55">
        <v>16</v>
      </c>
      <c r="D55" s="8" t="s">
        <v>65</v>
      </c>
      <c r="E55">
        <v>371</v>
      </c>
      <c r="F55" s="8">
        <v>2.9</v>
      </c>
      <c r="H55">
        <v>25</v>
      </c>
      <c r="I55">
        <v>2.2000000000000002</v>
      </c>
      <c r="J55" s="8"/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132.11719010000002</v>
      </c>
      <c r="P55">
        <f t="shared" si="2"/>
        <v>132.11719010000002</v>
      </c>
      <c r="S55">
        <f t="shared" si="3"/>
        <v>6.6051929749999996</v>
      </c>
    </row>
    <row r="56" spans="1:19">
      <c r="A56" s="9">
        <v>42625</v>
      </c>
      <c r="B56" s="9" t="s">
        <v>63</v>
      </c>
      <c r="C56">
        <v>16</v>
      </c>
      <c r="D56" s="8" t="s">
        <v>65</v>
      </c>
      <c r="E56">
        <v>272</v>
      </c>
      <c r="F56" s="8">
        <v>1.67</v>
      </c>
      <c r="H56">
        <v>25</v>
      </c>
      <c r="I56">
        <v>2.0499999999999998</v>
      </c>
      <c r="J56" s="8"/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75.717802190000015</v>
      </c>
      <c r="P56">
        <f t="shared" si="2"/>
        <v>75.717802190000015</v>
      </c>
      <c r="S56">
        <f t="shared" si="3"/>
        <v>2.1903950877499998</v>
      </c>
    </row>
    <row r="57" spans="1:19">
      <c r="A57" s="9">
        <v>42625</v>
      </c>
      <c r="B57" s="9" t="s">
        <v>63</v>
      </c>
      <c r="C57">
        <v>16</v>
      </c>
      <c r="D57" s="8" t="s">
        <v>65</v>
      </c>
      <c r="E57">
        <v>282</v>
      </c>
      <c r="F57" s="8">
        <v>1.86</v>
      </c>
      <c r="H57">
        <v>20</v>
      </c>
      <c r="I57">
        <v>1.96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76.192701700000015</v>
      </c>
      <c r="P57">
        <f t="shared" si="2"/>
        <v>76.192701700000015</v>
      </c>
      <c r="S57">
        <f t="shared" si="3"/>
        <v>2.7171611910000002</v>
      </c>
    </row>
    <row r="58" spans="1:19">
      <c r="A58" s="9">
        <v>42625</v>
      </c>
      <c r="B58" s="9" t="s">
        <v>63</v>
      </c>
      <c r="C58">
        <v>16</v>
      </c>
      <c r="D58" s="8" t="s">
        <v>65</v>
      </c>
      <c r="E58">
        <v>312</v>
      </c>
      <c r="F58" s="8">
        <v>2.52</v>
      </c>
      <c r="H58">
        <v>26</v>
      </c>
      <c r="I58">
        <v>2.15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106.92451764</v>
      </c>
      <c r="P58">
        <f t="shared" si="2"/>
        <v>106.92451764</v>
      </c>
      <c r="S58">
        <f t="shared" si="3"/>
        <v>4.9875882840000001</v>
      </c>
    </row>
    <row r="59" spans="1:19">
      <c r="A59" s="9">
        <v>42625</v>
      </c>
      <c r="B59" s="9" t="s">
        <v>63</v>
      </c>
      <c r="C59">
        <v>16</v>
      </c>
      <c r="D59" s="8" t="s">
        <v>65</v>
      </c>
      <c r="E59">
        <v>291</v>
      </c>
      <c r="F59" s="8">
        <v>2.82</v>
      </c>
      <c r="H59">
        <v>27</v>
      </c>
      <c r="I59">
        <v>2.1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106.37829634000002</v>
      </c>
      <c r="P59">
        <f t="shared" si="2"/>
        <v>106.37829634000002</v>
      </c>
      <c r="S59">
        <f t="shared" si="3"/>
        <v>6.2457950789999988</v>
      </c>
    </row>
    <row r="60" spans="1:19">
      <c r="A60" s="9">
        <v>42625</v>
      </c>
      <c r="B60" s="9" t="s">
        <v>63</v>
      </c>
      <c r="C60">
        <v>16</v>
      </c>
      <c r="D60" s="8" t="s">
        <v>65</v>
      </c>
      <c r="E60">
        <v>275</v>
      </c>
      <c r="F60" s="8">
        <v>2.38</v>
      </c>
      <c r="H60">
        <v>24</v>
      </c>
      <c r="I60">
        <v>2.15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91.123535460000028</v>
      </c>
      <c r="P60">
        <f t="shared" si="2"/>
        <v>91.123535460000028</v>
      </c>
      <c r="S60">
        <f t="shared" si="3"/>
        <v>4.4488055989999999</v>
      </c>
    </row>
    <row r="61" spans="1:19">
      <c r="A61" s="9">
        <v>42625</v>
      </c>
      <c r="B61" s="9" t="s">
        <v>63</v>
      </c>
      <c r="C61">
        <v>16</v>
      </c>
      <c r="D61" s="8" t="s">
        <v>65</v>
      </c>
      <c r="F61" s="8">
        <v>0.94</v>
      </c>
      <c r="J61">
        <f>126+187</f>
        <v>313</v>
      </c>
      <c r="K61">
        <v>2</v>
      </c>
      <c r="L61">
        <v>187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-7.9952219999999983</v>
      </c>
      <c r="P61" t="str">
        <f t="shared" si="2"/>
        <v xml:space="preserve"> </v>
      </c>
      <c r="S61">
        <f t="shared" si="3"/>
        <v>0.69397723099999997</v>
      </c>
    </row>
    <row r="62" spans="1:19">
      <c r="A62" s="9">
        <v>42625</v>
      </c>
      <c r="B62" s="9" t="s">
        <v>63</v>
      </c>
      <c r="C62">
        <v>16</v>
      </c>
      <c r="D62" s="8" t="s">
        <v>65</v>
      </c>
      <c r="E62">
        <v>284</v>
      </c>
      <c r="F62" s="8">
        <v>2.54</v>
      </c>
      <c r="H62">
        <v>26</v>
      </c>
      <c r="I62">
        <v>2.34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102.12138589999998</v>
      </c>
      <c r="P62">
        <f t="shared" si="2"/>
        <v>102.12138589999998</v>
      </c>
      <c r="S62">
        <f t="shared" si="3"/>
        <v>5.0670705109999998</v>
      </c>
    </row>
    <row r="63" spans="1:19">
      <c r="A63" s="9">
        <v>42625</v>
      </c>
      <c r="B63" s="9" t="s">
        <v>63</v>
      </c>
      <c r="C63">
        <v>16</v>
      </c>
      <c r="D63" s="8" t="s">
        <v>64</v>
      </c>
      <c r="F63" s="8">
        <v>2.2400000000000002</v>
      </c>
      <c r="J63" s="8">
        <f>91+141+161+185</f>
        <v>578</v>
      </c>
      <c r="K63">
        <v>4</v>
      </c>
      <c r="L63">
        <v>185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3.4076369999999976</v>
      </c>
      <c r="P63">
        <f t="shared" si="2"/>
        <v>3.4076369999999976</v>
      </c>
      <c r="S63">
        <f t="shared" si="3"/>
        <v>3.9408104960000006</v>
      </c>
    </row>
    <row r="64" spans="1:19">
      <c r="A64" s="9">
        <v>42625</v>
      </c>
      <c r="B64" s="9" t="s">
        <v>63</v>
      </c>
      <c r="C64">
        <v>16</v>
      </c>
      <c r="D64" s="8" t="s">
        <v>64</v>
      </c>
      <c r="F64" s="8">
        <v>1.82</v>
      </c>
      <c r="J64" s="8">
        <f>188+196+197</f>
        <v>581</v>
      </c>
      <c r="K64">
        <v>3</v>
      </c>
      <c r="L64">
        <v>197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7.0963150000000041</v>
      </c>
      <c r="P64">
        <f t="shared" si="2"/>
        <v>7.0963150000000041</v>
      </c>
      <c r="S64">
        <f t="shared" si="3"/>
        <v>2.6015506790000003</v>
      </c>
    </row>
    <row r="65" spans="1:19">
      <c r="A65" s="9">
        <v>42625</v>
      </c>
      <c r="B65" s="9" t="s">
        <v>63</v>
      </c>
      <c r="C65">
        <v>16</v>
      </c>
      <c r="D65" s="8" t="s">
        <v>64</v>
      </c>
      <c r="F65" s="8">
        <v>2.04</v>
      </c>
      <c r="J65">
        <f>203+242+272+276+290</f>
        <v>1283</v>
      </c>
      <c r="K65">
        <v>5</v>
      </c>
      <c r="L65">
        <v>290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30.851834000000018</v>
      </c>
      <c r="P65">
        <f t="shared" si="2"/>
        <v>30.851834000000018</v>
      </c>
      <c r="S65">
        <f t="shared" si="3"/>
        <v>3.268510236</v>
      </c>
    </row>
    <row r="66" spans="1:19">
      <c r="A66" s="9">
        <v>42639</v>
      </c>
      <c r="B66" s="8" t="s">
        <v>70</v>
      </c>
      <c r="C66" s="8">
        <v>46</v>
      </c>
      <c r="D66" s="8" t="s">
        <v>69</v>
      </c>
      <c r="E66">
        <v>244</v>
      </c>
      <c r="F66" s="8">
        <v>1.85</v>
      </c>
      <c r="G66" s="8"/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12.515023000000003</v>
      </c>
      <c r="P66">
        <f t="shared" si="2"/>
        <v>12.515023000000003</v>
      </c>
      <c r="S66">
        <f t="shared" si="3"/>
        <v>2.6880229437500001</v>
      </c>
    </row>
    <row r="67" spans="1:19">
      <c r="A67" s="9">
        <v>42639</v>
      </c>
      <c r="B67" s="8" t="s">
        <v>70</v>
      </c>
      <c r="C67" s="8">
        <v>46</v>
      </c>
      <c r="D67" s="8" t="s">
        <v>69</v>
      </c>
      <c r="E67">
        <v>177</v>
      </c>
      <c r="F67" s="8">
        <v>1.46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7.8179880000000006</v>
      </c>
      <c r="P67">
        <f t="shared" si="2"/>
        <v>7.8179880000000006</v>
      </c>
      <c r="S67">
        <f t="shared" si="3"/>
        <v>1.6741533109999998</v>
      </c>
    </row>
    <row r="68" spans="1:19">
      <c r="A68" s="9">
        <v>42639</v>
      </c>
      <c r="B68" s="8" t="s">
        <v>70</v>
      </c>
      <c r="C68" s="8">
        <v>46</v>
      </c>
      <c r="D68" s="8" t="s">
        <v>69</v>
      </c>
      <c r="E68">
        <v>249</v>
      </c>
      <c r="F68" s="8">
        <v>1.46</v>
      </c>
      <c r="G68" s="8"/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12.865548</v>
      </c>
      <c r="P68">
        <f t="shared" ref="P68:P99" si="4">IF(O68&lt;0," ",O68)</f>
        <v>12.865548</v>
      </c>
      <c r="S68">
        <f t="shared" ref="S68:S99" si="5">3.14159*((F68/2)^2)</f>
        <v>1.6741533109999998</v>
      </c>
    </row>
    <row r="69" spans="1:19">
      <c r="A69" s="9">
        <v>42639</v>
      </c>
      <c r="B69" s="8" t="s">
        <v>70</v>
      </c>
      <c r="C69" s="8">
        <v>46</v>
      </c>
      <c r="D69" s="8" t="s">
        <v>69</v>
      </c>
      <c r="E69">
        <v>115</v>
      </c>
      <c r="F69" s="8">
        <v>1.0900000000000001</v>
      </c>
      <c r="G69" s="8"/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3.4714780000000003</v>
      </c>
      <c r="P69">
        <f t="shared" si="4"/>
        <v>3.4714780000000003</v>
      </c>
      <c r="S69">
        <f t="shared" si="5"/>
        <v>0.93313076975000009</v>
      </c>
    </row>
    <row r="70" spans="1:19">
      <c r="A70" s="9">
        <v>42639</v>
      </c>
      <c r="B70" s="8" t="s">
        <v>70</v>
      </c>
      <c r="C70" s="8">
        <v>46</v>
      </c>
      <c r="D70" s="8" t="s">
        <v>69</v>
      </c>
      <c r="E70">
        <v>111</v>
      </c>
      <c r="F70" s="8">
        <v>1.41</v>
      </c>
      <c r="G70" s="8"/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3.191058</v>
      </c>
      <c r="P70">
        <f t="shared" si="4"/>
        <v>3.191058</v>
      </c>
      <c r="S70">
        <f t="shared" si="5"/>
        <v>1.5614487697499997</v>
      </c>
    </row>
    <row r="71" spans="1:19">
      <c r="A71" s="9">
        <v>42639</v>
      </c>
      <c r="B71" s="8" t="s">
        <v>70</v>
      </c>
      <c r="C71" s="8">
        <v>46</v>
      </c>
      <c r="D71" s="8" t="s">
        <v>69</v>
      </c>
      <c r="E71">
        <v>253</v>
      </c>
      <c r="F71" s="8">
        <v>1.87</v>
      </c>
      <c r="G71" s="8"/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13.145968</v>
      </c>
      <c r="P71">
        <f t="shared" si="4"/>
        <v>13.145968</v>
      </c>
      <c r="S71">
        <f t="shared" si="5"/>
        <v>2.7464565177500004</v>
      </c>
    </row>
    <row r="72" spans="1:19">
      <c r="A72" s="9">
        <v>42639</v>
      </c>
      <c r="B72" s="8" t="s">
        <v>70</v>
      </c>
      <c r="C72" s="8">
        <v>46</v>
      </c>
      <c r="D72" s="8" t="s">
        <v>69</v>
      </c>
      <c r="E72">
        <v>298</v>
      </c>
      <c r="F72" s="8">
        <v>1.28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16.300693000000003</v>
      </c>
      <c r="P72">
        <f t="shared" si="4"/>
        <v>16.300693000000003</v>
      </c>
      <c r="S72">
        <f t="shared" si="5"/>
        <v>1.286795264</v>
      </c>
    </row>
    <row r="73" spans="1:19">
      <c r="A73" s="9">
        <v>42639</v>
      </c>
      <c r="B73" s="8" t="s">
        <v>70</v>
      </c>
      <c r="C73" s="8">
        <v>46</v>
      </c>
      <c r="D73" s="8" t="s">
        <v>69</v>
      </c>
      <c r="E73">
        <v>309</v>
      </c>
      <c r="F73" s="8">
        <v>1.89</v>
      </c>
      <c r="G73" s="8"/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17.071848000000003</v>
      </c>
      <c r="P73">
        <f t="shared" si="4"/>
        <v>17.071848000000003</v>
      </c>
      <c r="S73">
        <f t="shared" si="5"/>
        <v>2.8055184097499999</v>
      </c>
    </row>
    <row r="74" spans="1:19">
      <c r="A74" s="9">
        <v>42639</v>
      </c>
      <c r="B74" s="8" t="s">
        <v>70</v>
      </c>
      <c r="C74" s="8">
        <v>46</v>
      </c>
      <c r="D74" s="8" t="s">
        <v>69</v>
      </c>
      <c r="E74">
        <v>134</v>
      </c>
      <c r="F74" s="8">
        <v>1.71</v>
      </c>
      <c r="G74" s="8"/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4.8034729999999994</v>
      </c>
      <c r="P74">
        <f t="shared" si="4"/>
        <v>4.8034729999999994</v>
      </c>
      <c r="S74">
        <f t="shared" si="5"/>
        <v>2.2965808297499999</v>
      </c>
    </row>
    <row r="75" spans="1:19">
      <c r="A75" s="9">
        <v>42639</v>
      </c>
      <c r="B75" s="8" t="s">
        <v>70</v>
      </c>
      <c r="C75" s="8">
        <v>46</v>
      </c>
      <c r="D75" s="8" t="s">
        <v>69</v>
      </c>
      <c r="E75">
        <v>129</v>
      </c>
      <c r="F75" s="8">
        <v>1.37</v>
      </c>
      <c r="G75" s="8"/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4.4529480000000001</v>
      </c>
      <c r="P75">
        <f t="shared" si="4"/>
        <v>4.4529480000000001</v>
      </c>
      <c r="S75">
        <f t="shared" si="5"/>
        <v>1.4741125677500002</v>
      </c>
    </row>
    <row r="76" spans="1:19">
      <c r="A76" s="9">
        <v>42639</v>
      </c>
      <c r="B76" s="8" t="s">
        <v>70</v>
      </c>
      <c r="C76" s="8">
        <v>46</v>
      </c>
      <c r="D76" s="8" t="s">
        <v>69</v>
      </c>
      <c r="E76">
        <v>315</v>
      </c>
      <c r="F76" s="8">
        <v>1.91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17.492478000000002</v>
      </c>
      <c r="P76">
        <f t="shared" si="4"/>
        <v>17.492478000000002</v>
      </c>
      <c r="S76">
        <f t="shared" si="5"/>
        <v>2.8652086197499997</v>
      </c>
    </row>
    <row r="77" spans="1:19">
      <c r="A77" s="9">
        <v>42639</v>
      </c>
      <c r="B77" s="8" t="s">
        <v>70</v>
      </c>
      <c r="C77" s="8">
        <v>46</v>
      </c>
      <c r="D77" s="8" t="s">
        <v>60</v>
      </c>
      <c r="F77" s="8">
        <v>4.25</v>
      </c>
      <c r="G77" s="8"/>
      <c r="J77">
        <f>115+168+135+192+205+224</f>
        <v>1039</v>
      </c>
      <c r="K77">
        <v>6</v>
      </c>
      <c r="L77">
        <v>224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20.835430999999993</v>
      </c>
      <c r="P77">
        <f t="shared" si="4"/>
        <v>20.835430999999993</v>
      </c>
      <c r="S77">
        <f t="shared" si="5"/>
        <v>14.186242343749999</v>
      </c>
    </row>
    <row r="78" spans="1:19">
      <c r="A78" s="9">
        <v>42639</v>
      </c>
      <c r="B78" s="8" t="s">
        <v>70</v>
      </c>
      <c r="C78" s="8">
        <v>46</v>
      </c>
      <c r="D78" s="8" t="s">
        <v>60</v>
      </c>
      <c r="F78" s="8">
        <v>4</v>
      </c>
      <c r="J78">
        <f>164+199+264+271+294+304</f>
        <v>1496</v>
      </c>
      <c r="K78">
        <v>6</v>
      </c>
      <c r="L78">
        <v>304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39.581866000000012</v>
      </c>
      <c r="P78">
        <f t="shared" si="4"/>
        <v>39.581866000000012</v>
      </c>
      <c r="S78">
        <f t="shared" si="5"/>
        <v>12.56636</v>
      </c>
    </row>
    <row r="79" spans="1:19">
      <c r="A79" s="9">
        <v>42639</v>
      </c>
      <c r="B79" s="8" t="s">
        <v>70</v>
      </c>
      <c r="C79" s="8">
        <v>46</v>
      </c>
      <c r="D79" s="8" t="s">
        <v>60</v>
      </c>
      <c r="F79" s="8">
        <v>0.2</v>
      </c>
      <c r="G79" s="8"/>
      <c r="J79">
        <f>13+7+8</f>
        <v>28</v>
      </c>
      <c r="K79">
        <v>3</v>
      </c>
      <c r="L79">
        <v>13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10.678879999999999</v>
      </c>
      <c r="P79">
        <f t="shared" si="4"/>
        <v>10.678879999999999</v>
      </c>
      <c r="S79">
        <f t="shared" si="5"/>
        <v>3.1415900000000004E-2</v>
      </c>
    </row>
    <row r="80" spans="1:19">
      <c r="A80" s="9">
        <v>42639</v>
      </c>
      <c r="B80" s="8" t="s">
        <v>70</v>
      </c>
      <c r="C80" s="8">
        <v>46</v>
      </c>
      <c r="D80" s="8" t="s">
        <v>64</v>
      </c>
      <c r="F80" s="8">
        <v>2.31</v>
      </c>
      <c r="G80" s="8"/>
      <c r="J80">
        <f>56+40+40+128+183</f>
        <v>447</v>
      </c>
      <c r="K80">
        <v>5</v>
      </c>
      <c r="L80">
        <v>183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-15.294131</v>
      </c>
      <c r="P80" t="str">
        <f t="shared" si="4"/>
        <v xml:space="preserve"> </v>
      </c>
      <c r="S80">
        <f t="shared" si="5"/>
        <v>4.1909595997500002</v>
      </c>
    </row>
    <row r="81" spans="1:19">
      <c r="A81" s="9">
        <v>42639</v>
      </c>
      <c r="B81" s="8" t="s">
        <v>70</v>
      </c>
      <c r="C81" s="8">
        <v>46</v>
      </c>
      <c r="D81" s="8" t="s">
        <v>64</v>
      </c>
      <c r="F81" s="8">
        <v>2.29</v>
      </c>
      <c r="G81" s="8"/>
      <c r="J81">
        <f>30+56+156</f>
        <v>242</v>
      </c>
      <c r="K81">
        <v>3</v>
      </c>
      <c r="L81">
        <v>156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-12.335585000000002</v>
      </c>
      <c r="P81" t="str">
        <f t="shared" si="4"/>
        <v xml:space="preserve"> </v>
      </c>
      <c r="S81">
        <f t="shared" si="5"/>
        <v>4.1187030297499998</v>
      </c>
    </row>
    <row r="82" spans="1:19">
      <c r="A82" s="9">
        <v>42639</v>
      </c>
      <c r="B82" s="8" t="s">
        <v>70</v>
      </c>
      <c r="C82" s="8">
        <v>46</v>
      </c>
      <c r="D82" s="8" t="s">
        <v>64</v>
      </c>
      <c r="F82" s="8">
        <v>2.5299999999999998</v>
      </c>
      <c r="G82" s="8"/>
      <c r="J82">
        <f>83+78+38+80+138+163+179</f>
        <v>759</v>
      </c>
      <c r="K82">
        <v>7</v>
      </c>
      <c r="L82">
        <v>179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1.117703000000013</v>
      </c>
      <c r="P82">
        <f t="shared" si="4"/>
        <v>1.117703000000013</v>
      </c>
      <c r="S82">
        <f t="shared" si="5"/>
        <v>5.0272508577499995</v>
      </c>
    </row>
    <row r="83" spans="1:19">
      <c r="A83" s="9">
        <v>42639</v>
      </c>
      <c r="B83" s="8" t="s">
        <v>70</v>
      </c>
      <c r="C83" s="8">
        <v>46</v>
      </c>
      <c r="D83" s="8" t="s">
        <v>64</v>
      </c>
      <c r="F83" s="8">
        <v>4.16</v>
      </c>
      <c r="G83" s="8"/>
      <c r="J83">
        <f>59+169+160+208+251+278+307</f>
        <v>1432</v>
      </c>
      <c r="K83">
        <v>7</v>
      </c>
      <c r="L83">
        <v>307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25.655458000000003</v>
      </c>
      <c r="P83">
        <f t="shared" si="4"/>
        <v>25.655458000000003</v>
      </c>
      <c r="S83">
        <f t="shared" si="5"/>
        <v>13.591774976000002</v>
      </c>
    </row>
    <row r="84" spans="1:19">
      <c r="A84" s="9">
        <v>42639</v>
      </c>
      <c r="B84" s="8" t="s">
        <v>70</v>
      </c>
      <c r="C84" s="8">
        <v>46</v>
      </c>
      <c r="D84" s="8" t="s">
        <v>64</v>
      </c>
      <c r="F84" s="8">
        <v>0.93</v>
      </c>
      <c r="J84">
        <f>14+15+74</f>
        <v>103</v>
      </c>
      <c r="K84">
        <v>3</v>
      </c>
      <c r="L84">
        <v>74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-0.66544000000000381</v>
      </c>
      <c r="P84" t="str">
        <f t="shared" si="4"/>
        <v xml:space="preserve"> </v>
      </c>
      <c r="S84">
        <f t="shared" si="5"/>
        <v>0.67929029775000005</v>
      </c>
    </row>
    <row r="85" spans="1:19">
      <c r="A85" s="9">
        <v>42639</v>
      </c>
      <c r="B85" s="8" t="s">
        <v>70</v>
      </c>
      <c r="C85" s="8">
        <v>38</v>
      </c>
      <c r="D85" s="8" t="s">
        <v>67</v>
      </c>
      <c r="E85">
        <v>105</v>
      </c>
      <c r="F85" s="8">
        <v>0.6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2.7704279999999999</v>
      </c>
      <c r="P85">
        <f t="shared" si="4"/>
        <v>2.7704279999999999</v>
      </c>
      <c r="S85">
        <f t="shared" si="5"/>
        <v>0.28274309999999997</v>
      </c>
    </row>
    <row r="86" spans="1:19">
      <c r="A86" s="9">
        <v>42639</v>
      </c>
      <c r="B86" s="8" t="s">
        <v>70</v>
      </c>
      <c r="C86" s="8">
        <v>38</v>
      </c>
      <c r="D86" s="8" t="s">
        <v>67</v>
      </c>
      <c r="E86">
        <v>71</v>
      </c>
      <c r="F86" s="8">
        <v>0.53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0.38685800000000015</v>
      </c>
      <c r="P86">
        <f t="shared" si="4"/>
        <v>0.38685800000000015</v>
      </c>
      <c r="S86">
        <f t="shared" si="5"/>
        <v>0.22061815775000002</v>
      </c>
    </row>
    <row r="87" spans="1:19">
      <c r="A87" s="9">
        <v>42639</v>
      </c>
      <c r="B87" s="8" t="s">
        <v>70</v>
      </c>
      <c r="C87" s="8">
        <v>38</v>
      </c>
      <c r="D87" s="8" t="s">
        <v>67</v>
      </c>
      <c r="E87">
        <v>19</v>
      </c>
      <c r="F87" s="8">
        <v>0.42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-3.2586019999999998</v>
      </c>
      <c r="P87" t="str">
        <f t="shared" si="4"/>
        <v xml:space="preserve"> </v>
      </c>
      <c r="S87">
        <f t="shared" si="5"/>
        <v>0.13854411899999997</v>
      </c>
    </row>
    <row r="88" spans="1:19">
      <c r="A88" s="9">
        <v>42639</v>
      </c>
      <c r="B88" s="8" t="s">
        <v>70</v>
      </c>
      <c r="C88" s="8">
        <v>38</v>
      </c>
      <c r="D88" s="8" t="s">
        <v>67</v>
      </c>
      <c r="E88">
        <v>0.45</v>
      </c>
      <c r="F88" s="8">
        <v>25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-4.5590497499999998</v>
      </c>
      <c r="P88" t="str">
        <f t="shared" si="4"/>
        <v xml:space="preserve"> </v>
      </c>
      <c r="S88">
        <f t="shared" si="5"/>
        <v>490.87343749999997</v>
      </c>
    </row>
    <row r="89" spans="1:19">
      <c r="A89" s="9">
        <v>42639</v>
      </c>
      <c r="B89" s="8" t="s">
        <v>70</v>
      </c>
      <c r="C89" s="8">
        <v>38</v>
      </c>
      <c r="D89" s="8" t="s">
        <v>67</v>
      </c>
      <c r="E89">
        <v>213</v>
      </c>
      <c r="F89" s="8">
        <v>1.4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10.341768000000002</v>
      </c>
      <c r="P89">
        <f t="shared" si="4"/>
        <v>10.341768000000002</v>
      </c>
      <c r="S89">
        <f t="shared" si="5"/>
        <v>1.5393790999999997</v>
      </c>
    </row>
    <row r="90" spans="1:19">
      <c r="A90" s="9">
        <v>42639</v>
      </c>
      <c r="B90" s="8" t="s">
        <v>70</v>
      </c>
      <c r="C90" s="8">
        <v>38</v>
      </c>
      <c r="D90" s="8" t="s">
        <v>67</v>
      </c>
      <c r="E90">
        <v>160</v>
      </c>
      <c r="F90" s="8">
        <v>1.27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6.6262029999999994</v>
      </c>
      <c r="P90">
        <f t="shared" si="4"/>
        <v>6.6262029999999994</v>
      </c>
      <c r="S90">
        <f t="shared" si="5"/>
        <v>1.26676762775</v>
      </c>
    </row>
    <row r="91" spans="1:19">
      <c r="A91" s="9">
        <v>42639</v>
      </c>
      <c r="B91" s="8" t="s">
        <v>70</v>
      </c>
      <c r="C91" s="8">
        <v>38</v>
      </c>
      <c r="D91" s="8" t="s">
        <v>67</v>
      </c>
      <c r="E91">
        <v>143</v>
      </c>
      <c r="F91" s="8">
        <v>1.05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5.434418</v>
      </c>
      <c r="P91">
        <f t="shared" si="4"/>
        <v>5.434418</v>
      </c>
      <c r="S91">
        <f t="shared" si="5"/>
        <v>0.86590074375000003</v>
      </c>
    </row>
    <row r="92" spans="1:19">
      <c r="A92" s="9">
        <v>42639</v>
      </c>
      <c r="B92" s="8" t="s">
        <v>70</v>
      </c>
      <c r="C92" s="8">
        <v>38</v>
      </c>
      <c r="D92" s="8" t="s">
        <v>67</v>
      </c>
      <c r="E92">
        <v>112</v>
      </c>
      <c r="F92" s="8">
        <v>0.77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3.2611630000000007</v>
      </c>
      <c r="P92">
        <f t="shared" si="4"/>
        <v>3.2611630000000007</v>
      </c>
      <c r="S92">
        <f t="shared" si="5"/>
        <v>0.46566217774999996</v>
      </c>
    </row>
    <row r="93" spans="1:19">
      <c r="A93" s="9">
        <v>42639</v>
      </c>
      <c r="B93" s="8" t="s">
        <v>70</v>
      </c>
      <c r="C93" s="8">
        <v>38</v>
      </c>
      <c r="D93" s="8" t="s">
        <v>67</v>
      </c>
      <c r="E93">
        <v>238</v>
      </c>
      <c r="F93" s="8">
        <v>1.39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12.094393</v>
      </c>
      <c r="P93">
        <f t="shared" si="4"/>
        <v>12.094393</v>
      </c>
      <c r="S93">
        <f t="shared" si="5"/>
        <v>1.5174665097499997</v>
      </c>
    </row>
    <row r="94" spans="1:19">
      <c r="A94" s="9">
        <v>42639</v>
      </c>
      <c r="B94" s="8" t="s">
        <v>70</v>
      </c>
      <c r="C94" s="8">
        <v>38</v>
      </c>
      <c r="D94" s="8" t="s">
        <v>67</v>
      </c>
      <c r="E94">
        <v>241</v>
      </c>
      <c r="F94" s="8">
        <v>1.47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12.304708000000002</v>
      </c>
      <c r="P94">
        <f t="shared" si="4"/>
        <v>12.304708000000002</v>
      </c>
      <c r="S94">
        <f t="shared" si="5"/>
        <v>1.6971654577499997</v>
      </c>
    </row>
    <row r="95" spans="1:19">
      <c r="A95" s="9">
        <v>42639</v>
      </c>
      <c r="B95" s="8" t="s">
        <v>70</v>
      </c>
      <c r="C95" s="8">
        <v>38</v>
      </c>
      <c r="D95" s="8" t="s">
        <v>67</v>
      </c>
      <c r="E95">
        <v>227</v>
      </c>
      <c r="F95" s="8">
        <v>1.56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11.323238</v>
      </c>
      <c r="P95">
        <f t="shared" si="4"/>
        <v>11.323238</v>
      </c>
      <c r="S95">
        <f t="shared" si="5"/>
        <v>1.9113433560000002</v>
      </c>
    </row>
    <row r="96" spans="1:19">
      <c r="A96" s="9">
        <v>42639</v>
      </c>
      <c r="B96" s="8" t="s">
        <v>70</v>
      </c>
      <c r="C96" s="8">
        <v>38</v>
      </c>
      <c r="D96" s="8" t="s">
        <v>67</v>
      </c>
      <c r="E96">
        <v>277</v>
      </c>
      <c r="F96" s="8">
        <v>1.49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14.828488</v>
      </c>
      <c r="P96">
        <f t="shared" si="4"/>
        <v>14.828488</v>
      </c>
      <c r="S96">
        <f t="shared" si="5"/>
        <v>1.7436609897499999</v>
      </c>
    </row>
    <row r="97" spans="1:19">
      <c r="A97" s="9">
        <v>42639</v>
      </c>
      <c r="B97" s="8" t="s">
        <v>70</v>
      </c>
      <c r="C97" s="8">
        <v>38</v>
      </c>
      <c r="D97" s="8" t="s">
        <v>64</v>
      </c>
      <c r="F97" s="8">
        <v>4.49</v>
      </c>
      <c r="J97">
        <f>129+149+164+175+197+204+206+221+223</f>
        <v>1668</v>
      </c>
      <c r="K97">
        <v>9</v>
      </c>
      <c r="L97">
        <v>223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59.041512000000004</v>
      </c>
      <c r="P97">
        <f t="shared" si="4"/>
        <v>59.041512000000004</v>
      </c>
      <c r="S97">
        <f t="shared" si="5"/>
        <v>15.833692139750003</v>
      </c>
    </row>
    <row r="98" spans="1:19">
      <c r="A98" s="9">
        <v>42639</v>
      </c>
      <c r="B98" s="8" t="s">
        <v>70</v>
      </c>
      <c r="C98" s="8">
        <v>38</v>
      </c>
      <c r="D98" s="8" t="s">
        <v>64</v>
      </c>
      <c r="F98" s="8">
        <v>1.65</v>
      </c>
      <c r="J98">
        <f>94+124+129+132</f>
        <v>479</v>
      </c>
      <c r="K98">
        <v>4</v>
      </c>
      <c r="L98">
        <v>132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10.091877</v>
      </c>
      <c r="P98">
        <f t="shared" si="4"/>
        <v>10.091877</v>
      </c>
      <c r="S98">
        <f t="shared" si="5"/>
        <v>2.1382446937499995</v>
      </c>
    </row>
    <row r="99" spans="1:19">
      <c r="A99" s="9">
        <v>42639</v>
      </c>
      <c r="B99" s="8" t="s">
        <v>70</v>
      </c>
      <c r="C99" s="8">
        <v>38</v>
      </c>
      <c r="D99" s="8" t="s">
        <v>64</v>
      </c>
      <c r="F99" s="8">
        <v>0.71</v>
      </c>
      <c r="J99">
        <f>54+58+68</f>
        <v>180</v>
      </c>
      <c r="K99">
        <v>3</v>
      </c>
      <c r="L99">
        <v>68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8.3611649999999997</v>
      </c>
      <c r="P99">
        <f t="shared" si="4"/>
        <v>8.3611649999999997</v>
      </c>
      <c r="S99">
        <f t="shared" si="5"/>
        <v>0.39591887974999995</v>
      </c>
    </row>
    <row r="100" spans="1:19">
      <c r="A100" s="9">
        <v>42639</v>
      </c>
      <c r="B100" s="8" t="s">
        <v>70</v>
      </c>
      <c r="C100" s="8">
        <v>9</v>
      </c>
      <c r="D100" s="8" t="s">
        <v>67</v>
      </c>
      <c r="E100">
        <v>144</v>
      </c>
      <c r="F100" s="8">
        <v>0.94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5.5045229999999998</v>
      </c>
      <c r="P100">
        <f t="shared" ref="P100:P131" si="6">IF(O100&lt;0," ",O100)</f>
        <v>5.5045229999999998</v>
      </c>
      <c r="S100">
        <f t="shared" ref="S100:S131" si="7">3.14159*((F100/2)^2)</f>
        <v>0.69397723099999997</v>
      </c>
    </row>
    <row r="101" spans="1:19">
      <c r="A101" s="7">
        <v>42639</v>
      </c>
      <c r="B101" s="8" t="s">
        <v>70</v>
      </c>
      <c r="C101" s="8">
        <v>9</v>
      </c>
      <c r="D101" s="8" t="s">
        <v>67</v>
      </c>
      <c r="E101">
        <v>106</v>
      </c>
      <c r="F101" s="8">
        <v>1.39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2.8405330000000006</v>
      </c>
      <c r="P101">
        <f t="shared" si="6"/>
        <v>2.8405330000000006</v>
      </c>
      <c r="S101">
        <f t="shared" si="7"/>
        <v>1.5174665097499997</v>
      </c>
    </row>
    <row r="102" spans="1:19">
      <c r="A102" s="9">
        <v>42639</v>
      </c>
      <c r="B102" s="8" t="s">
        <v>70</v>
      </c>
      <c r="C102" s="8">
        <v>9</v>
      </c>
      <c r="D102" s="8" t="s">
        <v>65</v>
      </c>
      <c r="E102">
        <v>238</v>
      </c>
      <c r="F102" s="8">
        <v>3.11</v>
      </c>
      <c r="H102">
        <v>31</v>
      </c>
      <c r="I102">
        <v>2.19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101.15240219000003</v>
      </c>
      <c r="P102">
        <f t="shared" si="6"/>
        <v>101.15240219000003</v>
      </c>
      <c r="S102">
        <f t="shared" si="7"/>
        <v>7.5964431597499988</v>
      </c>
    </row>
    <row r="103" spans="1:19">
      <c r="A103" s="9">
        <v>42639</v>
      </c>
      <c r="B103" s="8" t="s">
        <v>70</v>
      </c>
      <c r="C103" s="8">
        <v>9</v>
      </c>
      <c r="D103" s="8" t="s">
        <v>65</v>
      </c>
      <c r="F103" s="8">
        <v>5.08</v>
      </c>
      <c r="J103">
        <f>132+185+202+208+240+268+288+289+291</f>
        <v>2103</v>
      </c>
      <c r="K103">
        <v>9</v>
      </c>
      <c r="L103">
        <v>291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79.340276999999986</v>
      </c>
      <c r="P103">
        <f t="shared" si="6"/>
        <v>79.340276999999986</v>
      </c>
      <c r="S103">
        <f t="shared" si="7"/>
        <v>20.268282043999999</v>
      </c>
    </row>
    <row r="104" spans="1:19">
      <c r="A104" s="9">
        <v>42639</v>
      </c>
      <c r="B104" s="8" t="s">
        <v>70</v>
      </c>
      <c r="C104" s="8">
        <v>9</v>
      </c>
      <c r="D104" s="8" t="s">
        <v>65</v>
      </c>
      <c r="F104" s="8">
        <v>0.85</v>
      </c>
      <c r="J104">
        <f>82+64+66+68</f>
        <v>280</v>
      </c>
      <c r="K104">
        <v>4</v>
      </c>
      <c r="L104">
        <v>86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5.2919020000000003</v>
      </c>
      <c r="P104">
        <f t="shared" si="6"/>
        <v>5.2919020000000003</v>
      </c>
      <c r="S104">
        <f t="shared" si="7"/>
        <v>0.56744969374999987</v>
      </c>
    </row>
    <row r="105" spans="1:19">
      <c r="A105" s="9">
        <v>42639</v>
      </c>
      <c r="B105" s="8" t="s">
        <v>70</v>
      </c>
      <c r="C105" s="8">
        <v>9</v>
      </c>
      <c r="D105" s="8" t="s">
        <v>65</v>
      </c>
      <c r="F105" s="8">
        <v>1.21</v>
      </c>
      <c r="J105">
        <f>46+61+68+86</f>
        <v>261</v>
      </c>
      <c r="K105">
        <v>4</v>
      </c>
      <c r="L105">
        <v>86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3.5105570000000021</v>
      </c>
      <c r="P105">
        <f t="shared" si="6"/>
        <v>3.5105570000000021</v>
      </c>
      <c r="S105">
        <f t="shared" si="7"/>
        <v>1.1499004797499999</v>
      </c>
    </row>
    <row r="106" spans="1:19">
      <c r="A106" s="9">
        <v>42639</v>
      </c>
      <c r="B106" s="8" t="s">
        <v>70</v>
      </c>
      <c r="C106" s="8">
        <v>9</v>
      </c>
      <c r="D106" s="8" t="s">
        <v>65</v>
      </c>
      <c r="E106">
        <v>249</v>
      </c>
      <c r="F106" s="8">
        <v>3.51</v>
      </c>
      <c r="H106">
        <v>36</v>
      </c>
      <c r="I106">
        <v>2.56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123.31742114999997</v>
      </c>
      <c r="P106">
        <f t="shared" si="6"/>
        <v>123.31742114999997</v>
      </c>
      <c r="S106">
        <f t="shared" si="7"/>
        <v>9.6761757397499988</v>
      </c>
    </row>
    <row r="107" spans="1:19">
      <c r="A107" s="7">
        <v>42639</v>
      </c>
      <c r="B107" s="8" t="s">
        <v>70</v>
      </c>
      <c r="C107" s="8">
        <v>9</v>
      </c>
      <c r="D107" s="8" t="s">
        <v>65</v>
      </c>
      <c r="E107">
        <v>271</v>
      </c>
      <c r="F107" s="8">
        <v>2.97</v>
      </c>
      <c r="H107">
        <v>33</v>
      </c>
      <c r="I107">
        <v>2.75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120.13054328999999</v>
      </c>
      <c r="P107">
        <f t="shared" si="6"/>
        <v>120.13054328999999</v>
      </c>
      <c r="S107">
        <f t="shared" si="7"/>
        <v>6.9279128077500012</v>
      </c>
    </row>
    <row r="108" spans="1:19">
      <c r="A108" s="7">
        <v>42639</v>
      </c>
      <c r="B108" s="8" t="s">
        <v>70</v>
      </c>
      <c r="C108" s="8">
        <v>9</v>
      </c>
      <c r="D108" s="8" t="s">
        <v>65</v>
      </c>
      <c r="E108">
        <v>256</v>
      </c>
      <c r="F108" s="8">
        <v>3.89</v>
      </c>
      <c r="H108">
        <v>37</v>
      </c>
      <c r="I108">
        <v>2.7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136.14136433000002</v>
      </c>
      <c r="P108">
        <f t="shared" si="6"/>
        <v>136.14136433000002</v>
      </c>
      <c r="S108">
        <f t="shared" si="7"/>
        <v>11.88471350975</v>
      </c>
    </row>
    <row r="109" spans="1:19">
      <c r="A109" s="9">
        <v>42639</v>
      </c>
      <c r="B109" s="8" t="s">
        <v>70</v>
      </c>
      <c r="C109" s="8">
        <v>9</v>
      </c>
      <c r="D109" s="8" t="s">
        <v>64</v>
      </c>
      <c r="F109" s="8">
        <v>5.58</v>
      </c>
      <c r="J109">
        <f>82+174+195+238+264+275</f>
        <v>1228</v>
      </c>
      <c r="K109">
        <v>6</v>
      </c>
      <c r="L109">
        <v>275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23.191631000000008</v>
      </c>
      <c r="P109">
        <f t="shared" si="6"/>
        <v>23.191631000000008</v>
      </c>
      <c r="S109">
        <f t="shared" si="7"/>
        <v>24.454450719</v>
      </c>
    </row>
    <row r="110" spans="1:19">
      <c r="A110" s="9">
        <v>42639</v>
      </c>
      <c r="B110" s="8" t="s">
        <v>70</v>
      </c>
      <c r="C110" s="8">
        <v>9</v>
      </c>
      <c r="D110" s="8" t="s">
        <v>64</v>
      </c>
      <c r="F110" s="8">
        <v>4.76</v>
      </c>
      <c r="J110">
        <f>174+114+152+178+180</f>
        <v>798</v>
      </c>
      <c r="K110">
        <v>5</v>
      </c>
      <c r="L110">
        <v>180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18.517609</v>
      </c>
      <c r="P110">
        <f t="shared" si="6"/>
        <v>18.517609</v>
      </c>
      <c r="S110">
        <f t="shared" si="7"/>
        <v>17.795222396</v>
      </c>
    </row>
    <row r="111" spans="1:19">
      <c r="A111" s="9">
        <v>42639</v>
      </c>
      <c r="B111" s="8" t="s">
        <v>70</v>
      </c>
      <c r="C111" s="8">
        <v>9</v>
      </c>
      <c r="D111" s="8" t="s">
        <v>64</v>
      </c>
      <c r="F111" s="8">
        <v>1.1100000000000001</v>
      </c>
      <c r="J111">
        <f>20+42+60+76+101</f>
        <v>299</v>
      </c>
      <c r="K111">
        <v>5</v>
      </c>
      <c r="L111">
        <v>101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-4.4677809999999951</v>
      </c>
      <c r="P111" t="str">
        <f t="shared" si="6"/>
        <v xml:space="preserve"> </v>
      </c>
      <c r="S111">
        <f t="shared" si="7"/>
        <v>0.96768825975000017</v>
      </c>
    </row>
    <row r="112" spans="1:19">
      <c r="A112" s="9">
        <v>42639</v>
      </c>
      <c r="B112" s="8" t="s">
        <v>70</v>
      </c>
      <c r="C112" s="8">
        <v>9</v>
      </c>
      <c r="D112" s="8" t="s">
        <v>64</v>
      </c>
      <c r="F112" s="8">
        <v>2.2799999999999998</v>
      </c>
      <c r="J112">
        <f>71+118+168+200+244</f>
        <v>801</v>
      </c>
      <c r="K112">
        <v>5</v>
      </c>
      <c r="L112">
        <v>244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-0.48080599999998697</v>
      </c>
      <c r="P112" t="str">
        <f t="shared" si="6"/>
        <v xml:space="preserve"> </v>
      </c>
      <c r="S112">
        <f t="shared" si="7"/>
        <v>4.0828103639999993</v>
      </c>
    </row>
    <row r="113" spans="1:19">
      <c r="A113" s="9">
        <v>42639</v>
      </c>
      <c r="B113" s="8" t="s">
        <v>70</v>
      </c>
      <c r="C113" s="8">
        <v>9</v>
      </c>
      <c r="D113" s="8" t="s">
        <v>64</v>
      </c>
      <c r="F113" s="8">
        <v>4.2</v>
      </c>
      <c r="J113">
        <f>68+72+112+113+179+196</f>
        <v>740</v>
      </c>
      <c r="K113">
        <v>6</v>
      </c>
      <c r="L113">
        <v>196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1.2375460000000089</v>
      </c>
      <c r="P113">
        <f t="shared" si="6"/>
        <v>1.2375460000000089</v>
      </c>
      <c r="S113">
        <f t="shared" si="7"/>
        <v>13.854411900000001</v>
      </c>
    </row>
    <row r="114" spans="1:19">
      <c r="A114" s="9">
        <v>42639</v>
      </c>
      <c r="B114" s="8" t="s">
        <v>70</v>
      </c>
      <c r="C114" s="8">
        <v>9</v>
      </c>
      <c r="D114" s="8" t="s">
        <v>64</v>
      </c>
      <c r="F114" s="8">
        <v>6.6</v>
      </c>
      <c r="J114">
        <f>185+215+214+218+233+240+246+264+273+274+279</f>
        <v>2641</v>
      </c>
      <c r="K114">
        <v>11</v>
      </c>
      <c r="L114">
        <v>279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119.35070100000002</v>
      </c>
      <c r="P114">
        <f t="shared" si="6"/>
        <v>119.35070100000002</v>
      </c>
      <c r="S114">
        <f t="shared" si="7"/>
        <v>34.211915099999992</v>
      </c>
    </row>
    <row r="115" spans="1:19">
      <c r="A115" s="9">
        <v>42639</v>
      </c>
      <c r="B115" s="8" t="s">
        <v>70</v>
      </c>
      <c r="C115" s="8">
        <v>9</v>
      </c>
      <c r="D115" s="8" t="s">
        <v>64</v>
      </c>
      <c r="F115" s="8">
        <v>1.1000000000000001</v>
      </c>
      <c r="J115">
        <f>145+77+81+102</f>
        <v>405</v>
      </c>
      <c r="K115">
        <v>4</v>
      </c>
      <c r="L115">
        <v>102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12.191357000000004</v>
      </c>
      <c r="P115">
        <f t="shared" si="6"/>
        <v>12.191357000000004</v>
      </c>
      <c r="S115">
        <f t="shared" si="7"/>
        <v>0.95033097500000008</v>
      </c>
    </row>
    <row r="116" spans="1:19">
      <c r="A116" s="9">
        <v>42639</v>
      </c>
      <c r="B116" s="8" t="s">
        <v>70</v>
      </c>
      <c r="C116" s="8">
        <v>9</v>
      </c>
      <c r="D116" s="8" t="s">
        <v>64</v>
      </c>
      <c r="F116" s="8">
        <v>1.17</v>
      </c>
      <c r="J116">
        <f>37+80+83+105</f>
        <v>305</v>
      </c>
      <c r="K116">
        <v>4</v>
      </c>
      <c r="L116">
        <v>105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1.9121220000000001</v>
      </c>
      <c r="P116">
        <f t="shared" si="6"/>
        <v>1.9121220000000001</v>
      </c>
      <c r="S116">
        <f t="shared" si="7"/>
        <v>1.0751306377499998</v>
      </c>
    </row>
    <row r="117" spans="1:19">
      <c r="A117" s="7">
        <v>42639</v>
      </c>
      <c r="B117" s="8" t="s">
        <v>70</v>
      </c>
      <c r="C117" s="8">
        <v>9</v>
      </c>
      <c r="D117" s="8" t="s">
        <v>64</v>
      </c>
      <c r="F117" s="8">
        <v>7.68</v>
      </c>
      <c r="J117">
        <f>68+123+180+218+242+251+257+261+279</f>
        <v>1879</v>
      </c>
      <c r="K117">
        <v>9</v>
      </c>
      <c r="L117">
        <v>279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61.954097000000012</v>
      </c>
      <c r="P117">
        <f t="shared" si="6"/>
        <v>61.954097000000012</v>
      </c>
      <c r="S117">
        <f t="shared" si="7"/>
        <v>46.324629503999994</v>
      </c>
    </row>
    <row r="118" spans="1:19">
      <c r="A118" s="7">
        <v>42639</v>
      </c>
      <c r="B118" s="8" t="s">
        <v>70</v>
      </c>
      <c r="C118" s="8">
        <v>9</v>
      </c>
      <c r="D118" s="8" t="s">
        <v>64</v>
      </c>
      <c r="F118" s="8">
        <v>3.83</v>
      </c>
      <c r="J118">
        <f>134+177+218+248+256+268+274+277</f>
        <v>1852</v>
      </c>
      <c r="K118">
        <v>8</v>
      </c>
      <c r="L118">
        <v>277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67.047555000000017</v>
      </c>
      <c r="P118">
        <f t="shared" si="6"/>
        <v>67.047555000000017</v>
      </c>
      <c r="S118">
        <f t="shared" si="7"/>
        <v>11.52091738775</v>
      </c>
    </row>
    <row r="119" spans="1:19">
      <c r="A119" s="7">
        <v>42639</v>
      </c>
      <c r="B119" s="8" t="s">
        <v>70</v>
      </c>
      <c r="C119" s="8">
        <v>9</v>
      </c>
      <c r="D119" s="8" t="s">
        <v>64</v>
      </c>
      <c r="F119" s="8">
        <v>1.72</v>
      </c>
      <c r="J119">
        <f>52+70+107+122</f>
        <v>351</v>
      </c>
      <c r="K119">
        <v>4</v>
      </c>
      <c r="L119">
        <v>122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1.1036870000000043</v>
      </c>
      <c r="P119">
        <f t="shared" si="6"/>
        <v>1.1036870000000043</v>
      </c>
      <c r="S119">
        <f t="shared" si="7"/>
        <v>2.3235199639999995</v>
      </c>
    </row>
    <row r="120" spans="1:19">
      <c r="A120" s="9">
        <v>42639</v>
      </c>
      <c r="B120" s="8" t="s">
        <v>70</v>
      </c>
      <c r="C120" s="8">
        <v>7</v>
      </c>
      <c r="D120" s="8" t="s">
        <v>64</v>
      </c>
      <c r="F120" s="8">
        <v>6</v>
      </c>
      <c r="J120">
        <f>87+137+161+168+179+167+211+214</f>
        <v>1324</v>
      </c>
      <c r="K120">
        <v>8</v>
      </c>
      <c r="L120">
        <v>214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36.523350000000001</v>
      </c>
      <c r="P120">
        <f t="shared" si="6"/>
        <v>36.523350000000001</v>
      </c>
      <c r="S120">
        <f t="shared" si="7"/>
        <v>28.27431</v>
      </c>
    </row>
    <row r="121" spans="1:19">
      <c r="A121" s="9">
        <v>42639</v>
      </c>
      <c r="B121" s="8" t="s">
        <v>70</v>
      </c>
      <c r="C121" s="8">
        <v>7</v>
      </c>
      <c r="D121" s="8" t="s">
        <v>64</v>
      </c>
      <c r="F121" s="8">
        <v>0.72</v>
      </c>
      <c r="J121">
        <f>21+26+46+56</f>
        <v>149</v>
      </c>
      <c r="K121">
        <v>4</v>
      </c>
      <c r="L121">
        <v>56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2.0473469999999949</v>
      </c>
      <c r="P121">
        <f t="shared" si="6"/>
        <v>2.0473469999999949</v>
      </c>
      <c r="S121">
        <f t="shared" si="7"/>
        <v>0.40715006399999998</v>
      </c>
    </row>
    <row r="122" spans="1:19">
      <c r="A122" s="9">
        <v>42639</v>
      </c>
      <c r="B122" s="8" t="s">
        <v>70</v>
      </c>
      <c r="C122" s="8">
        <v>7</v>
      </c>
      <c r="D122" s="8" t="s">
        <v>64</v>
      </c>
      <c r="F122" s="8">
        <v>1.21</v>
      </c>
      <c r="J122">
        <f>20+38+75</f>
        <v>133</v>
      </c>
      <c r="K122">
        <v>3</v>
      </c>
      <c r="L122">
        <v>75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1.8459649999999996</v>
      </c>
      <c r="P122">
        <f t="shared" si="6"/>
        <v>1.8459649999999996</v>
      </c>
      <c r="S122">
        <f t="shared" si="7"/>
        <v>1.1499004797499999</v>
      </c>
    </row>
    <row r="123" spans="1:19">
      <c r="A123" s="9">
        <v>42639</v>
      </c>
      <c r="B123" s="8" t="s">
        <v>70</v>
      </c>
      <c r="C123" s="8">
        <v>7</v>
      </c>
      <c r="D123" s="8" t="s">
        <v>64</v>
      </c>
      <c r="F123" s="8">
        <v>5.55</v>
      </c>
      <c r="J123">
        <f>82+128+130+176+190+192+208+214+215</f>
        <v>1535</v>
      </c>
      <c r="K123">
        <v>9</v>
      </c>
      <c r="L123">
        <v>215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48.982057000000005</v>
      </c>
      <c r="P123">
        <f t="shared" si="6"/>
        <v>48.982057000000005</v>
      </c>
      <c r="S123">
        <f t="shared" si="7"/>
        <v>24.192206493749996</v>
      </c>
    </row>
    <row r="124" spans="1:19">
      <c r="A124" s="9">
        <v>42639</v>
      </c>
      <c r="B124" s="8" t="s">
        <v>70</v>
      </c>
      <c r="C124" s="8">
        <v>7</v>
      </c>
      <c r="D124" s="8" t="s">
        <v>64</v>
      </c>
      <c r="F124" s="8">
        <v>7.5</v>
      </c>
      <c r="J124">
        <f>173+218+222+225+226+228+234+234+235+239</f>
        <v>2234</v>
      </c>
      <c r="K124">
        <v>10</v>
      </c>
      <c r="L124">
        <v>239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100.26456900000002</v>
      </c>
      <c r="P124">
        <f t="shared" si="6"/>
        <v>100.26456900000002</v>
      </c>
      <c r="S124">
        <f t="shared" si="7"/>
        <v>44.178609375000001</v>
      </c>
    </row>
    <row r="125" spans="1:19">
      <c r="A125" s="9">
        <v>42639</v>
      </c>
      <c r="B125" s="8" t="s">
        <v>70</v>
      </c>
      <c r="C125" s="8">
        <v>7</v>
      </c>
      <c r="D125" s="8" t="s">
        <v>64</v>
      </c>
      <c r="F125" s="8">
        <v>12.05</v>
      </c>
      <c r="J125">
        <f>137+147+164+164+99+193+218+231+241+246+247+249+250+250+252</f>
        <v>3088</v>
      </c>
      <c r="K125">
        <v>15</v>
      </c>
      <c r="L125">
        <v>252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141.30338900000001</v>
      </c>
      <c r="P125">
        <f t="shared" si="6"/>
        <v>141.30338900000001</v>
      </c>
      <c r="S125">
        <f t="shared" si="7"/>
        <v>114.04168049375001</v>
      </c>
    </row>
    <row r="126" spans="1:19">
      <c r="A126" s="9">
        <v>42639</v>
      </c>
      <c r="B126" s="8" t="s">
        <v>70</v>
      </c>
      <c r="C126" s="8">
        <v>4</v>
      </c>
      <c r="D126" s="8" t="s">
        <v>67</v>
      </c>
      <c r="E126">
        <v>58</v>
      </c>
      <c r="F126" s="8">
        <v>0.04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-0.52450699999999983</v>
      </c>
      <c r="P126" t="str">
        <f t="shared" si="6"/>
        <v xml:space="preserve"> </v>
      </c>
      <c r="S126">
        <f t="shared" si="7"/>
        <v>1.256636E-3</v>
      </c>
    </row>
    <row r="127" spans="1:19">
      <c r="A127" s="9">
        <v>42639</v>
      </c>
      <c r="B127" s="8" t="s">
        <v>70</v>
      </c>
      <c r="C127" s="8">
        <v>4</v>
      </c>
      <c r="D127" s="8" t="s">
        <v>67</v>
      </c>
      <c r="E127">
        <v>143</v>
      </c>
      <c r="F127" s="8">
        <v>1.45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5.434418</v>
      </c>
      <c r="P127">
        <f t="shared" si="6"/>
        <v>5.434418</v>
      </c>
      <c r="S127">
        <f t="shared" si="7"/>
        <v>1.6512982437499999</v>
      </c>
    </row>
    <row r="128" spans="1:19">
      <c r="A128" s="9">
        <v>42639</v>
      </c>
      <c r="B128" s="8" t="s">
        <v>70</v>
      </c>
      <c r="C128" s="8">
        <v>4</v>
      </c>
      <c r="D128" s="8" t="s">
        <v>67</v>
      </c>
      <c r="E128">
        <v>60</v>
      </c>
      <c r="F128" s="8">
        <v>0.41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-0.38429700000000011</v>
      </c>
      <c r="P128" t="str">
        <f t="shared" si="6"/>
        <v xml:space="preserve"> </v>
      </c>
      <c r="S128">
        <f t="shared" si="7"/>
        <v>0.13202531974999998</v>
      </c>
    </row>
    <row r="129" spans="1:19">
      <c r="A129" s="9">
        <v>42639</v>
      </c>
      <c r="B129" s="8" t="s">
        <v>70</v>
      </c>
      <c r="C129" s="8">
        <v>4</v>
      </c>
      <c r="D129" s="8" t="s">
        <v>67</v>
      </c>
      <c r="E129">
        <v>31</v>
      </c>
      <c r="F129" s="8">
        <v>0.42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-2.4173419999999997</v>
      </c>
      <c r="P129" t="str">
        <f t="shared" si="6"/>
        <v xml:space="preserve"> </v>
      </c>
      <c r="S129">
        <f t="shared" si="7"/>
        <v>0.13854411899999997</v>
      </c>
    </row>
    <row r="130" spans="1:19">
      <c r="A130" s="9">
        <v>42639</v>
      </c>
      <c r="B130" s="8" t="s">
        <v>70</v>
      </c>
      <c r="C130" s="8">
        <v>4</v>
      </c>
      <c r="D130" s="8" t="s">
        <v>67</v>
      </c>
      <c r="E130">
        <v>194</v>
      </c>
      <c r="F130" s="8">
        <v>1.26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9.0097729999999991</v>
      </c>
      <c r="P130">
        <f t="shared" si="6"/>
        <v>9.0097729999999991</v>
      </c>
      <c r="S130">
        <f t="shared" si="7"/>
        <v>1.246897071</v>
      </c>
    </row>
    <row r="131" spans="1:19">
      <c r="A131" s="9">
        <v>42639</v>
      </c>
      <c r="B131" s="8" t="s">
        <v>70</v>
      </c>
      <c r="C131" s="8">
        <v>4</v>
      </c>
      <c r="D131" s="8" t="s">
        <v>67</v>
      </c>
      <c r="E131">
        <v>232</v>
      </c>
      <c r="F131" s="8">
        <v>1.49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11.673763000000001</v>
      </c>
      <c r="P131">
        <f t="shared" si="6"/>
        <v>11.673763000000001</v>
      </c>
      <c r="S131">
        <f t="shared" si="7"/>
        <v>1.7436609897499999</v>
      </c>
    </row>
    <row r="132" spans="1:19">
      <c r="A132" s="9">
        <v>42639</v>
      </c>
      <c r="B132" s="8" t="s">
        <v>70</v>
      </c>
      <c r="C132" s="8">
        <v>4</v>
      </c>
      <c r="D132" s="8" t="s">
        <v>67</v>
      </c>
      <c r="E132">
        <v>179</v>
      </c>
      <c r="F132" s="8">
        <v>1.71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7.9581980000000003</v>
      </c>
      <c r="P132">
        <f t="shared" ref="P132:P163" si="8">IF(O132&lt;0," ",O132)</f>
        <v>7.9581980000000003</v>
      </c>
      <c r="S132">
        <f t="shared" ref="S132:S163" si="9">3.14159*((F132/2)^2)</f>
        <v>2.2965808297499999</v>
      </c>
    </row>
    <row r="133" spans="1:19">
      <c r="A133" s="9">
        <v>42639</v>
      </c>
      <c r="B133" s="8" t="s">
        <v>70</v>
      </c>
      <c r="C133" s="8">
        <v>4</v>
      </c>
      <c r="D133" s="8" t="s">
        <v>67</v>
      </c>
      <c r="E133">
        <v>171</v>
      </c>
      <c r="F133" s="8">
        <v>1.34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7.3973579999999997</v>
      </c>
      <c r="P133">
        <f t="shared" si="8"/>
        <v>7.3973579999999997</v>
      </c>
      <c r="S133">
        <f t="shared" si="9"/>
        <v>1.4102597510000001</v>
      </c>
    </row>
    <row r="134" spans="1:19">
      <c r="A134" s="9">
        <v>42639</v>
      </c>
      <c r="B134" s="8" t="s">
        <v>70</v>
      </c>
      <c r="C134" s="8">
        <v>4</v>
      </c>
      <c r="D134" s="8" t="s">
        <v>67</v>
      </c>
      <c r="E134">
        <v>42</v>
      </c>
      <c r="F134" s="8">
        <v>0.86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-1.6461869999999998</v>
      </c>
      <c r="P134" t="str">
        <f t="shared" si="8"/>
        <v xml:space="preserve"> </v>
      </c>
      <c r="S134">
        <f t="shared" si="9"/>
        <v>0.58087999099999987</v>
      </c>
    </row>
    <row r="135" spans="1:19">
      <c r="A135" s="9">
        <v>42639</v>
      </c>
      <c r="B135" s="8" t="s">
        <v>70</v>
      </c>
      <c r="C135" s="8">
        <v>4</v>
      </c>
      <c r="D135" s="8" t="s">
        <v>67</v>
      </c>
      <c r="E135">
        <v>61</v>
      </c>
      <c r="F135" s="8">
        <v>0.49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-0.31419199999999936</v>
      </c>
      <c r="P135" t="str">
        <f t="shared" si="8"/>
        <v xml:space="preserve"> </v>
      </c>
      <c r="S135">
        <f t="shared" si="9"/>
        <v>0.18857393974999997</v>
      </c>
    </row>
    <row r="136" spans="1:19">
      <c r="A136" s="9">
        <v>42639</v>
      </c>
      <c r="B136" s="8" t="s">
        <v>70</v>
      </c>
      <c r="C136" s="8">
        <v>4</v>
      </c>
      <c r="D136" s="8" t="s">
        <v>67</v>
      </c>
      <c r="E136">
        <v>213</v>
      </c>
      <c r="F136" s="8">
        <v>1.1100000000000001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10.341768000000002</v>
      </c>
      <c r="P136">
        <f t="shared" si="8"/>
        <v>10.341768000000002</v>
      </c>
      <c r="S136">
        <f t="shared" si="9"/>
        <v>0.96768825975000017</v>
      </c>
    </row>
    <row r="137" spans="1:19">
      <c r="A137" s="9">
        <v>42639</v>
      </c>
      <c r="B137" s="8" t="s">
        <v>70</v>
      </c>
      <c r="C137" s="8">
        <v>4</v>
      </c>
      <c r="D137" s="8" t="s">
        <v>67</v>
      </c>
      <c r="E137">
        <v>177</v>
      </c>
      <c r="F137" s="8">
        <v>1.25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7.8179880000000006</v>
      </c>
      <c r="P137">
        <f t="shared" si="8"/>
        <v>7.8179880000000006</v>
      </c>
      <c r="S137">
        <f t="shared" si="9"/>
        <v>1.22718359375</v>
      </c>
    </row>
    <row r="138" spans="1:19">
      <c r="A138" s="9">
        <v>42639</v>
      </c>
      <c r="B138" s="8" t="s">
        <v>70</v>
      </c>
      <c r="C138" s="8">
        <v>4</v>
      </c>
      <c r="D138" s="8" t="s">
        <v>67</v>
      </c>
      <c r="E138">
        <v>209</v>
      </c>
      <c r="F138" s="8">
        <v>1.84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10.061347999999999</v>
      </c>
      <c r="P138">
        <f t="shared" si="8"/>
        <v>10.061347999999999</v>
      </c>
      <c r="S138">
        <f t="shared" si="9"/>
        <v>2.659041776</v>
      </c>
    </row>
    <row r="139" spans="1:19">
      <c r="A139" s="9">
        <v>42639</v>
      </c>
      <c r="B139" s="8" t="s">
        <v>70</v>
      </c>
      <c r="C139" s="8">
        <v>4</v>
      </c>
      <c r="D139" s="8" t="s">
        <v>67</v>
      </c>
      <c r="E139">
        <v>195</v>
      </c>
      <c r="F139" s="8">
        <v>1.44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9.0798780000000008</v>
      </c>
      <c r="P139">
        <f t="shared" si="8"/>
        <v>9.0798780000000008</v>
      </c>
      <c r="S139">
        <f t="shared" si="9"/>
        <v>1.6286002559999999</v>
      </c>
    </row>
    <row r="140" spans="1:19">
      <c r="A140" s="9">
        <v>42639</v>
      </c>
      <c r="B140" s="8" t="s">
        <v>70</v>
      </c>
      <c r="C140" s="8">
        <v>4</v>
      </c>
      <c r="D140" s="8" t="s">
        <v>67</v>
      </c>
      <c r="E140">
        <v>164</v>
      </c>
      <c r="F140" s="8">
        <v>0.99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6.9066230000000006</v>
      </c>
      <c r="P140">
        <f t="shared" si="8"/>
        <v>6.9066230000000006</v>
      </c>
      <c r="S140">
        <f t="shared" si="9"/>
        <v>0.76976808975</v>
      </c>
    </row>
    <row r="141" spans="1:19">
      <c r="A141" s="9">
        <v>42639</v>
      </c>
      <c r="B141" s="8" t="s">
        <v>70</v>
      </c>
      <c r="C141" s="8">
        <v>4</v>
      </c>
      <c r="D141" s="8" t="s">
        <v>67</v>
      </c>
      <c r="E141">
        <v>65</v>
      </c>
      <c r="F141" s="8">
        <v>0.91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-3.3771999999999913E-2</v>
      </c>
      <c r="P141" t="str">
        <f t="shared" si="8"/>
        <v xml:space="preserve"> </v>
      </c>
      <c r="S141">
        <f t="shared" si="9"/>
        <v>0.65038766975000006</v>
      </c>
    </row>
    <row r="142" spans="1:19">
      <c r="A142" s="9">
        <v>42639</v>
      </c>
      <c r="B142" s="8" t="s">
        <v>70</v>
      </c>
      <c r="C142" s="8">
        <v>4</v>
      </c>
      <c r="D142" s="8" t="s">
        <v>67</v>
      </c>
      <c r="E142">
        <v>126</v>
      </c>
      <c r="F142" s="8">
        <v>1.25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4.2426330000000005</v>
      </c>
      <c r="P142">
        <f t="shared" si="8"/>
        <v>4.2426330000000005</v>
      </c>
      <c r="S142">
        <f t="shared" si="9"/>
        <v>1.22718359375</v>
      </c>
    </row>
    <row r="143" spans="1:19">
      <c r="A143" s="9">
        <v>42639</v>
      </c>
      <c r="B143" s="8" t="s">
        <v>70</v>
      </c>
      <c r="C143" s="8">
        <v>4</v>
      </c>
      <c r="D143" s="8" t="s">
        <v>67</v>
      </c>
      <c r="E143">
        <v>100</v>
      </c>
      <c r="F143" s="8">
        <v>1.56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2.4199030000000006</v>
      </c>
      <c r="P143">
        <f t="shared" si="8"/>
        <v>2.4199030000000006</v>
      </c>
      <c r="S143">
        <f t="shared" si="9"/>
        <v>1.9113433560000002</v>
      </c>
    </row>
    <row r="144" spans="1:19">
      <c r="A144" s="9">
        <v>42639</v>
      </c>
      <c r="B144" s="8" t="s">
        <v>70</v>
      </c>
      <c r="C144" s="8">
        <v>4</v>
      </c>
      <c r="D144" s="8" t="s">
        <v>67</v>
      </c>
      <c r="E144">
        <v>41</v>
      </c>
      <c r="F144" s="8">
        <v>0.5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-1.7162919999999997</v>
      </c>
      <c r="P144" t="str">
        <f t="shared" si="8"/>
        <v xml:space="preserve"> </v>
      </c>
      <c r="S144">
        <f t="shared" si="9"/>
        <v>0.19634937499999999</v>
      </c>
    </row>
    <row r="145" spans="1:19">
      <c r="A145" s="9">
        <v>42620</v>
      </c>
      <c r="B145" s="8" t="s">
        <v>61</v>
      </c>
      <c r="C145" s="8">
        <v>44</v>
      </c>
      <c r="D145" s="8" t="s">
        <v>64</v>
      </c>
      <c r="F145" s="8">
        <v>5.75</v>
      </c>
      <c r="J145">
        <f>247+252+297+305+307+314+314</f>
        <v>2036</v>
      </c>
      <c r="K145">
        <v>7</v>
      </c>
      <c r="L145">
        <v>314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80.174763000000041</v>
      </c>
      <c r="P145">
        <f t="shared" si="8"/>
        <v>80.174763000000041</v>
      </c>
      <c r="S145">
        <f t="shared" si="9"/>
        <v>25.96720484375</v>
      </c>
    </row>
    <row r="146" spans="1:19">
      <c r="A146" s="9">
        <v>42620</v>
      </c>
      <c r="B146" s="8" t="s">
        <v>61</v>
      </c>
      <c r="C146" s="8">
        <v>44</v>
      </c>
      <c r="D146" s="8" t="s">
        <v>64</v>
      </c>
      <c r="F146" s="8">
        <v>3.01</v>
      </c>
      <c r="J146">
        <f>238+223+389+416+415+471+493+511</f>
        <v>3156</v>
      </c>
      <c r="K146">
        <v>8</v>
      </c>
      <c r="L146">
        <v>511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118.81274500000001</v>
      </c>
      <c r="P146">
        <f t="shared" si="8"/>
        <v>118.81274500000001</v>
      </c>
      <c r="S146">
        <f t="shared" si="9"/>
        <v>7.1157798897499989</v>
      </c>
    </row>
    <row r="147" spans="1:19">
      <c r="A147" s="9">
        <v>42620</v>
      </c>
      <c r="B147" s="8" t="s">
        <v>61</v>
      </c>
      <c r="C147" s="8">
        <v>44</v>
      </c>
      <c r="D147" s="8" t="s">
        <v>64</v>
      </c>
      <c r="F147" s="8">
        <v>4.63</v>
      </c>
      <c r="J147">
        <f>359+360+377+384+388+389</f>
        <v>2257</v>
      </c>
      <c r="K147">
        <v>6</v>
      </c>
      <c r="L147">
        <v>389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85.323596000000009</v>
      </c>
      <c r="P147">
        <f t="shared" si="8"/>
        <v>85.323596000000009</v>
      </c>
      <c r="S147">
        <f t="shared" si="9"/>
        <v>16.836487667749999</v>
      </c>
    </row>
    <row r="148" spans="1:19">
      <c r="A148" s="9">
        <v>42620</v>
      </c>
      <c r="B148" s="8" t="s">
        <v>61</v>
      </c>
      <c r="C148" s="8">
        <v>44</v>
      </c>
      <c r="D148" s="8" t="s">
        <v>64</v>
      </c>
      <c r="F148" s="8">
        <v>0.88</v>
      </c>
      <c r="J148">
        <f>18+26+33</f>
        <v>77</v>
      </c>
      <c r="K148">
        <v>3</v>
      </c>
      <c r="L148">
        <v>33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9.2479749999999967</v>
      </c>
      <c r="P148">
        <f t="shared" si="8"/>
        <v>9.2479749999999967</v>
      </c>
      <c r="S148">
        <f t="shared" si="9"/>
        <v>0.60821182399999996</v>
      </c>
    </row>
    <row r="149" spans="1:19">
      <c r="A149" s="9">
        <v>42620</v>
      </c>
      <c r="B149" s="8" t="s">
        <v>61</v>
      </c>
      <c r="C149" s="8">
        <v>44</v>
      </c>
      <c r="D149" s="8" t="s">
        <v>64</v>
      </c>
      <c r="F149" s="8">
        <v>1.68</v>
      </c>
      <c r="J149">
        <f>351+365+366+423</f>
        <v>1505</v>
      </c>
      <c r="K149">
        <v>4</v>
      </c>
      <c r="L149">
        <v>423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18.622212000000026</v>
      </c>
      <c r="P149">
        <f t="shared" si="8"/>
        <v>18.622212000000026</v>
      </c>
      <c r="S149">
        <f t="shared" si="9"/>
        <v>2.2167059039999994</v>
      </c>
    </row>
    <row r="150" spans="1:19">
      <c r="A150" s="9">
        <v>42620</v>
      </c>
      <c r="B150" s="8" t="s">
        <v>61</v>
      </c>
      <c r="C150" s="8">
        <v>44</v>
      </c>
      <c r="D150" s="8" t="s">
        <v>64</v>
      </c>
      <c r="F150" s="8">
        <v>4.6399999999999997</v>
      </c>
      <c r="H150" s="8"/>
      <c r="J150">
        <f>409+428+429+433</f>
        <v>1699</v>
      </c>
      <c r="K150">
        <v>4</v>
      </c>
      <c r="L150">
        <v>433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33.798231999999992</v>
      </c>
      <c r="P150">
        <f t="shared" si="8"/>
        <v>33.798231999999992</v>
      </c>
      <c r="S150">
        <f t="shared" si="9"/>
        <v>16.909294015999997</v>
      </c>
    </row>
    <row r="151" spans="1:19">
      <c r="A151" s="9">
        <v>42620</v>
      </c>
      <c r="B151" s="8" t="s">
        <v>61</v>
      </c>
      <c r="C151" s="8">
        <v>44</v>
      </c>
      <c r="D151" s="8" t="s">
        <v>64</v>
      </c>
      <c r="F151" s="8">
        <v>1.65</v>
      </c>
      <c r="J151">
        <f>391+495+519+529</f>
        <v>1934</v>
      </c>
      <c r="K151">
        <v>4</v>
      </c>
      <c r="L151">
        <v>529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26.911137000000004</v>
      </c>
      <c r="P151">
        <f t="shared" si="8"/>
        <v>26.911137000000004</v>
      </c>
      <c r="S151">
        <f t="shared" si="9"/>
        <v>2.1382446937499995</v>
      </c>
    </row>
    <row r="152" spans="1:19">
      <c r="A152" s="9">
        <v>42620</v>
      </c>
      <c r="B152" s="8" t="s">
        <v>61</v>
      </c>
      <c r="C152" s="8">
        <v>44</v>
      </c>
      <c r="D152" s="8" t="s">
        <v>64</v>
      </c>
      <c r="F152" s="8">
        <v>1</v>
      </c>
      <c r="J152">
        <f>81+109</f>
        <v>190</v>
      </c>
      <c r="K152">
        <v>2</v>
      </c>
      <c r="L152">
        <v>109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3.9700229999999976</v>
      </c>
      <c r="P152">
        <f t="shared" si="8"/>
        <v>3.9700229999999976</v>
      </c>
      <c r="S152">
        <f t="shared" si="9"/>
        <v>0.78539749999999997</v>
      </c>
    </row>
    <row r="153" spans="1:19">
      <c r="A153" s="9">
        <v>42620</v>
      </c>
      <c r="B153" s="8" t="s">
        <v>61</v>
      </c>
      <c r="C153" s="8">
        <v>44</v>
      </c>
      <c r="D153" s="8" t="s">
        <v>64</v>
      </c>
      <c r="F153" s="8">
        <v>1.58</v>
      </c>
      <c r="J153">
        <f>136+305+331+353</f>
        <v>1125</v>
      </c>
      <c r="K153">
        <v>4</v>
      </c>
      <c r="L153">
        <v>353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4.0824620000000138</v>
      </c>
      <c r="P153">
        <f t="shared" si="8"/>
        <v>4.0824620000000138</v>
      </c>
      <c r="S153">
        <f t="shared" si="9"/>
        <v>1.9606663190000002</v>
      </c>
    </row>
    <row r="154" spans="1:19">
      <c r="A154" s="9">
        <v>42620</v>
      </c>
      <c r="B154" s="8" t="s">
        <v>61</v>
      </c>
      <c r="C154" s="8">
        <v>44</v>
      </c>
      <c r="D154" s="8" t="s">
        <v>64</v>
      </c>
      <c r="F154" s="8">
        <v>2</v>
      </c>
      <c r="J154">
        <f>91+221+240+307</f>
        <v>859</v>
      </c>
      <c r="K154">
        <v>4</v>
      </c>
      <c r="L154">
        <v>307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-6.9990979999999965</v>
      </c>
      <c r="P154" t="str">
        <f t="shared" si="8"/>
        <v xml:space="preserve"> </v>
      </c>
      <c r="S154">
        <f t="shared" si="9"/>
        <v>3.1415899999999999</v>
      </c>
    </row>
    <row r="155" spans="1:19">
      <c r="A155" s="9">
        <v>42620</v>
      </c>
      <c r="B155" s="8" t="s">
        <v>61</v>
      </c>
      <c r="C155" s="8">
        <v>44</v>
      </c>
      <c r="D155" s="8" t="s">
        <v>64</v>
      </c>
      <c r="F155" s="8">
        <v>2.6</v>
      </c>
      <c r="J155">
        <f>303+326+333</f>
        <v>962</v>
      </c>
      <c r="K155">
        <v>3</v>
      </c>
      <c r="L155">
        <v>333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1.8476500000000087</v>
      </c>
      <c r="P155">
        <f t="shared" si="8"/>
        <v>1.8476500000000087</v>
      </c>
      <c r="S155">
        <f t="shared" si="9"/>
        <v>5.3092871000000006</v>
      </c>
    </row>
    <row r="156" spans="1:19">
      <c r="A156" s="9">
        <v>42620</v>
      </c>
      <c r="B156" s="8" t="s">
        <v>61</v>
      </c>
      <c r="C156" s="8">
        <v>44</v>
      </c>
      <c r="D156" s="8" t="s">
        <v>64</v>
      </c>
      <c r="F156" s="8">
        <v>1.23</v>
      </c>
      <c r="J156">
        <f>31+54+59+104+107</f>
        <v>355</v>
      </c>
      <c r="K156">
        <v>5</v>
      </c>
      <c r="L156">
        <v>107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-1.0249710000000007</v>
      </c>
      <c r="P156" t="str">
        <f t="shared" si="8"/>
        <v xml:space="preserve"> </v>
      </c>
      <c r="S156">
        <f t="shared" si="9"/>
        <v>1.1882278777499999</v>
      </c>
    </row>
    <row r="157" spans="1:19">
      <c r="A157" s="9">
        <v>42620</v>
      </c>
      <c r="B157" s="8" t="s">
        <v>61</v>
      </c>
      <c r="C157" s="8">
        <v>23</v>
      </c>
      <c r="D157" s="8" t="s">
        <v>64</v>
      </c>
      <c r="F157" s="8">
        <v>7.71</v>
      </c>
      <c r="J157">
        <f>197+294+306+311+342+353+356+364</f>
        <v>2523</v>
      </c>
      <c r="K157">
        <v>8</v>
      </c>
      <c r="L157">
        <v>364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103.74884500000002</v>
      </c>
      <c r="P157">
        <f t="shared" si="8"/>
        <v>103.74884500000002</v>
      </c>
      <c r="S157">
        <f t="shared" si="9"/>
        <v>46.687247529749996</v>
      </c>
    </row>
    <row r="158" spans="1:19">
      <c r="A158" s="9">
        <v>42620</v>
      </c>
      <c r="B158" s="8" t="s">
        <v>61</v>
      </c>
      <c r="C158" s="8">
        <v>23</v>
      </c>
      <c r="D158" s="8" t="s">
        <v>64</v>
      </c>
      <c r="F158" s="8">
        <v>8.98</v>
      </c>
      <c r="J158">
        <f>120+186+226+257+296+309+322+237+333+336+339+341</f>
        <v>3302</v>
      </c>
      <c r="K158">
        <v>12</v>
      </c>
      <c r="L158">
        <v>341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155.62321300000005</v>
      </c>
      <c r="P158">
        <f t="shared" si="8"/>
        <v>155.62321300000005</v>
      </c>
      <c r="S158">
        <f t="shared" si="9"/>
        <v>63.334768559000011</v>
      </c>
    </row>
    <row r="159" spans="1:19">
      <c r="A159" s="9">
        <v>42620</v>
      </c>
      <c r="B159" s="8" t="s">
        <v>61</v>
      </c>
      <c r="C159" s="8">
        <v>23</v>
      </c>
      <c r="D159" s="8" t="s">
        <v>64</v>
      </c>
      <c r="F159" s="8">
        <v>9.4499999999999993</v>
      </c>
      <c r="J159">
        <f>143+214+262+286+280+318+319+346</f>
        <v>2168</v>
      </c>
      <c r="K159">
        <v>8</v>
      </c>
      <c r="L159">
        <v>346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75.888230000000021</v>
      </c>
      <c r="P159">
        <f t="shared" si="8"/>
        <v>75.888230000000021</v>
      </c>
      <c r="S159">
        <f t="shared" si="9"/>
        <v>70.137960243749987</v>
      </c>
    </row>
    <row r="160" spans="1:19">
      <c r="A160" s="9">
        <v>42620</v>
      </c>
      <c r="B160" s="8" t="s">
        <v>61</v>
      </c>
      <c r="C160" s="8">
        <v>23</v>
      </c>
      <c r="D160" s="8" t="s">
        <v>64</v>
      </c>
      <c r="F160" s="8">
        <v>3.47</v>
      </c>
      <c r="J160">
        <f>62+124+145+174+189+212</f>
        <v>906</v>
      </c>
      <c r="K160">
        <v>6</v>
      </c>
      <c r="L160">
        <v>212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11.980955999999999</v>
      </c>
      <c r="P160">
        <f t="shared" si="8"/>
        <v>11.980955999999999</v>
      </c>
      <c r="S160">
        <f t="shared" si="9"/>
        <v>9.4568927577499995</v>
      </c>
    </row>
    <row r="161" spans="1:19">
      <c r="A161" s="9">
        <v>42620</v>
      </c>
      <c r="B161" s="8" t="s">
        <v>61</v>
      </c>
      <c r="C161" s="8">
        <v>23</v>
      </c>
      <c r="D161" s="8" t="s">
        <v>64</v>
      </c>
      <c r="F161" s="8">
        <v>1.56</v>
      </c>
      <c r="J161">
        <f>50+58+75</f>
        <v>183</v>
      </c>
      <c r="K161">
        <v>3</v>
      </c>
      <c r="L161">
        <v>75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6.5337150000000008</v>
      </c>
      <c r="P161">
        <f t="shared" si="8"/>
        <v>6.5337150000000008</v>
      </c>
      <c r="S161">
        <f t="shared" si="9"/>
        <v>1.9113433560000002</v>
      </c>
    </row>
    <row r="162" spans="1:19">
      <c r="A162" s="9">
        <v>42620</v>
      </c>
      <c r="B162" s="8" t="s">
        <v>61</v>
      </c>
      <c r="C162" s="8">
        <v>21</v>
      </c>
      <c r="D162" s="8" t="s">
        <v>64</v>
      </c>
      <c r="F162" s="8">
        <v>2.15</v>
      </c>
      <c r="J162">
        <f>84+92+46+131+142</f>
        <v>495</v>
      </c>
      <c r="K162">
        <v>5</v>
      </c>
      <c r="L162">
        <v>142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1.5571540000000041</v>
      </c>
      <c r="P162">
        <f t="shared" si="8"/>
        <v>1.5571540000000041</v>
      </c>
      <c r="S162">
        <f t="shared" si="9"/>
        <v>3.6304999437499994</v>
      </c>
    </row>
    <row r="163" spans="1:19">
      <c r="A163" s="9">
        <v>42620</v>
      </c>
      <c r="B163" s="8" t="s">
        <v>61</v>
      </c>
      <c r="C163" s="8">
        <v>21</v>
      </c>
      <c r="D163" s="8" t="s">
        <v>64</v>
      </c>
      <c r="F163" s="8">
        <v>6.22</v>
      </c>
      <c r="J163">
        <f>106+175+182+189+251+256+264+268+292+295+308+321</f>
        <v>2907</v>
      </c>
      <c r="K163">
        <v>12</v>
      </c>
      <c r="L163">
        <v>321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124.61488800000004</v>
      </c>
      <c r="P163">
        <f t="shared" si="8"/>
        <v>124.61488800000004</v>
      </c>
      <c r="S163">
        <f t="shared" si="9"/>
        <v>30.385772638999995</v>
      </c>
    </row>
    <row r="164" spans="1:19">
      <c r="A164" s="9">
        <v>42620</v>
      </c>
      <c r="B164" s="8" t="s">
        <v>61</v>
      </c>
      <c r="C164" s="8">
        <v>21</v>
      </c>
      <c r="D164" s="8" t="s">
        <v>64</v>
      </c>
      <c r="F164" s="8">
        <v>5.32</v>
      </c>
      <c r="J164">
        <f>182+225+276+288+299+306+309+313</f>
        <v>2198</v>
      </c>
      <c r="K164">
        <v>8</v>
      </c>
      <c r="L164">
        <v>313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88.641965000000027</v>
      </c>
      <c r="P164">
        <f t="shared" ref="P164:P195" si="10">IF(O164&lt;0," ",O164)</f>
        <v>88.641965000000027</v>
      </c>
      <c r="S164">
        <f t="shared" ref="S164:S198" si="11">3.14159*((F164/2)^2)</f>
        <v>22.228634204000002</v>
      </c>
    </row>
    <row r="165" spans="1:19">
      <c r="A165" s="9">
        <v>42620</v>
      </c>
      <c r="B165" s="8" t="s">
        <v>61</v>
      </c>
      <c r="C165" s="8">
        <v>21</v>
      </c>
      <c r="D165" s="8" t="s">
        <v>64</v>
      </c>
      <c r="F165" s="8">
        <v>6.03</v>
      </c>
      <c r="J165">
        <f>75+169+179+246+252+268+280</f>
        <v>1469</v>
      </c>
      <c r="K165">
        <v>7</v>
      </c>
      <c r="L165">
        <v>280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37.258008000000025</v>
      </c>
      <c r="P165">
        <f t="shared" si="10"/>
        <v>37.258008000000025</v>
      </c>
      <c r="S165">
        <f t="shared" si="11"/>
        <v>28.557759957750001</v>
      </c>
    </row>
    <row r="166" spans="1:19">
      <c r="A166" s="9">
        <v>42620</v>
      </c>
      <c r="B166" s="8" t="s">
        <v>61</v>
      </c>
      <c r="C166" s="8">
        <v>21</v>
      </c>
      <c r="D166" s="8" t="s">
        <v>64</v>
      </c>
      <c r="F166" s="8">
        <v>3.95</v>
      </c>
      <c r="J166">
        <f>102+155+191+228+239+279+288</f>
        <v>1482</v>
      </c>
      <c r="K166">
        <v>7</v>
      </c>
      <c r="L166">
        <v>288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36.066863000000033</v>
      </c>
      <c r="P166">
        <f t="shared" si="10"/>
        <v>36.066863000000033</v>
      </c>
      <c r="S166">
        <f t="shared" si="11"/>
        <v>12.25416449375</v>
      </c>
    </row>
    <row r="167" spans="1:19">
      <c r="A167" s="9">
        <v>42620</v>
      </c>
      <c r="B167" s="8" t="s">
        <v>61</v>
      </c>
      <c r="C167" s="8">
        <v>21</v>
      </c>
      <c r="D167" s="8" t="s">
        <v>64</v>
      </c>
      <c r="F167" s="8">
        <v>2.82</v>
      </c>
      <c r="J167">
        <f>66+143+148+220+224+248</f>
        <v>1049</v>
      </c>
      <c r="K167">
        <v>6</v>
      </c>
      <c r="L167">
        <v>248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14.543101</v>
      </c>
      <c r="P167">
        <f t="shared" si="10"/>
        <v>14.543101</v>
      </c>
      <c r="S167">
        <f t="shared" si="11"/>
        <v>6.2457950789999988</v>
      </c>
    </row>
    <row r="168" spans="1:19">
      <c r="A168" s="9">
        <v>42620</v>
      </c>
      <c r="B168" s="8" t="s">
        <v>61</v>
      </c>
      <c r="C168" s="8">
        <v>21</v>
      </c>
      <c r="D168" s="8" t="s">
        <v>64</v>
      </c>
      <c r="F168" s="8">
        <v>5.79</v>
      </c>
      <c r="J168">
        <f>192+226+290+264+322+328+328+331+189</f>
        <v>2470</v>
      </c>
      <c r="K168">
        <v>9</v>
      </c>
      <c r="L168">
        <v>331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101.69856200000004</v>
      </c>
      <c r="P168">
        <f t="shared" si="10"/>
        <v>101.69856200000004</v>
      </c>
      <c r="S168">
        <f t="shared" si="11"/>
        <v>26.329744329749996</v>
      </c>
    </row>
    <row r="169" spans="1:19">
      <c r="A169" s="9">
        <v>42620</v>
      </c>
      <c r="B169" s="8" t="s">
        <v>61</v>
      </c>
      <c r="C169" s="8">
        <v>21</v>
      </c>
      <c r="D169" s="8" t="s">
        <v>64</v>
      </c>
      <c r="F169" s="8">
        <v>4.05</v>
      </c>
      <c r="J169">
        <f>161+214+223+264+217+305+314</f>
        <v>1698</v>
      </c>
      <c r="K169">
        <v>7</v>
      </c>
      <c r="L169">
        <v>314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48.485572999999995</v>
      </c>
      <c r="P169">
        <f t="shared" si="10"/>
        <v>48.485572999999995</v>
      </c>
      <c r="S169">
        <f t="shared" si="11"/>
        <v>12.882482493749999</v>
      </c>
    </row>
    <row r="170" spans="1:19">
      <c r="A170" s="9">
        <v>42620</v>
      </c>
      <c r="B170" s="8" t="s">
        <v>61</v>
      </c>
      <c r="C170" s="8">
        <v>21</v>
      </c>
      <c r="D170" s="8" t="s">
        <v>64</v>
      </c>
      <c r="F170" s="8">
        <v>3.68</v>
      </c>
      <c r="J170">
        <f>194+220+246+261+263+280+296+308</f>
        <v>2068</v>
      </c>
      <c r="K170">
        <v>8</v>
      </c>
      <c r="L170">
        <v>308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77.960040000000021</v>
      </c>
      <c r="P170">
        <f t="shared" si="10"/>
        <v>77.960040000000021</v>
      </c>
      <c r="S170">
        <f t="shared" si="11"/>
        <v>10.636167104</v>
      </c>
    </row>
    <row r="171" spans="1:19">
      <c r="A171" s="9">
        <v>42620</v>
      </c>
      <c r="B171" s="8" t="s">
        <v>61</v>
      </c>
      <c r="C171" s="8">
        <v>21</v>
      </c>
      <c r="D171" s="8" t="s">
        <v>64</v>
      </c>
      <c r="F171" s="8">
        <v>5</v>
      </c>
      <c r="J171">
        <f>165+221+236+272+274+279+300+331+315+338</f>
        <v>2731</v>
      </c>
      <c r="K171">
        <v>10</v>
      </c>
      <c r="L171">
        <v>338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117.03754900000004</v>
      </c>
      <c r="P171">
        <f t="shared" si="10"/>
        <v>117.03754900000004</v>
      </c>
      <c r="S171">
        <f t="shared" si="11"/>
        <v>19.634937499999999</v>
      </c>
    </row>
    <row r="172" spans="1:19">
      <c r="A172" s="9">
        <v>42620</v>
      </c>
      <c r="B172" s="8" t="s">
        <v>61</v>
      </c>
      <c r="C172" s="8">
        <v>21</v>
      </c>
      <c r="D172" s="8" t="s">
        <v>64</v>
      </c>
      <c r="F172" s="8">
        <v>4.22</v>
      </c>
      <c r="J172">
        <f>148+191+145+225+232+252+273</f>
        <v>1466</v>
      </c>
      <c r="K172">
        <v>7</v>
      </c>
      <c r="L172">
        <v>273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39.085457999999996</v>
      </c>
      <c r="P172">
        <f t="shared" si="10"/>
        <v>39.085457999999996</v>
      </c>
      <c r="S172">
        <f t="shared" si="11"/>
        <v>13.986672838999999</v>
      </c>
    </row>
    <row r="173" spans="1:19">
      <c r="A173" s="9">
        <v>42620</v>
      </c>
      <c r="B173" s="8" t="s">
        <v>61</v>
      </c>
      <c r="C173" s="8">
        <v>18</v>
      </c>
      <c r="D173" s="8" t="s">
        <v>65</v>
      </c>
      <c r="F173" s="8">
        <v>0.77</v>
      </c>
      <c r="J173">
        <f>172+185+197</f>
        <v>554</v>
      </c>
      <c r="K173">
        <v>3</v>
      </c>
      <c r="L173">
        <v>197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4.5649300000000039</v>
      </c>
      <c r="P173">
        <f t="shared" si="10"/>
        <v>4.5649300000000039</v>
      </c>
      <c r="S173">
        <f t="shared" si="11"/>
        <v>0.46566217774999996</v>
      </c>
    </row>
    <row r="174" spans="1:19">
      <c r="A174" s="9">
        <v>42620</v>
      </c>
      <c r="B174" s="8" t="s">
        <v>61</v>
      </c>
      <c r="C174" s="8">
        <v>18</v>
      </c>
      <c r="D174" s="8" t="s">
        <v>65</v>
      </c>
      <c r="E174">
        <v>227</v>
      </c>
      <c r="F174" s="8">
        <v>2.02</v>
      </c>
      <c r="H174">
        <v>21</v>
      </c>
      <c r="I174">
        <v>2.2999999999999998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69.433082339999999</v>
      </c>
      <c r="P174">
        <f t="shared" si="10"/>
        <v>69.433082339999999</v>
      </c>
      <c r="S174">
        <f t="shared" si="11"/>
        <v>3.2047359589999997</v>
      </c>
    </row>
    <row r="175" spans="1:19">
      <c r="A175" s="9">
        <v>42620</v>
      </c>
      <c r="B175" s="8" t="s">
        <v>61</v>
      </c>
      <c r="C175" s="8">
        <v>18</v>
      </c>
      <c r="D175" s="8" t="s">
        <v>65</v>
      </c>
      <c r="E175">
        <v>195</v>
      </c>
      <c r="F175" s="8">
        <v>1.39</v>
      </c>
      <c r="H175">
        <v>12</v>
      </c>
      <c r="I175">
        <v>2.1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35.705965830000025</v>
      </c>
      <c r="P175">
        <f t="shared" si="10"/>
        <v>35.705965830000025</v>
      </c>
      <c r="S175">
        <f t="shared" si="11"/>
        <v>1.5174665097499997</v>
      </c>
    </row>
    <row r="176" spans="1:19">
      <c r="A176" s="9">
        <v>42620</v>
      </c>
      <c r="B176" s="8" t="s">
        <v>61</v>
      </c>
      <c r="C176" s="8">
        <v>18</v>
      </c>
      <c r="D176" s="8" t="s">
        <v>65</v>
      </c>
      <c r="E176">
        <v>219</v>
      </c>
      <c r="F176" s="8">
        <v>2.66</v>
      </c>
      <c r="H176">
        <v>19</v>
      </c>
      <c r="I176">
        <v>2.29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77.295139140000003</v>
      </c>
      <c r="P176">
        <f t="shared" si="10"/>
        <v>77.295139140000003</v>
      </c>
      <c r="S176">
        <f t="shared" si="11"/>
        <v>5.5571585510000006</v>
      </c>
    </row>
    <row r="177" spans="1:19">
      <c r="A177" s="9">
        <v>42620</v>
      </c>
      <c r="B177" s="8" t="s">
        <v>61</v>
      </c>
      <c r="C177" s="8">
        <v>18</v>
      </c>
      <c r="D177" s="8" t="s">
        <v>65</v>
      </c>
      <c r="F177" s="8">
        <v>1.03</v>
      </c>
      <c r="J177">
        <f>194+223+235</f>
        <v>652</v>
      </c>
      <c r="K177">
        <v>3</v>
      </c>
      <c r="L177">
        <v>235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2.3056100000000015</v>
      </c>
      <c r="P177">
        <f t="shared" si="10"/>
        <v>2.3056100000000015</v>
      </c>
      <c r="S177">
        <f t="shared" si="11"/>
        <v>0.83322820774999995</v>
      </c>
    </row>
    <row r="178" spans="1:19">
      <c r="A178" s="9">
        <v>42620</v>
      </c>
      <c r="B178" s="8" t="s">
        <v>61</v>
      </c>
      <c r="C178" s="8">
        <v>18</v>
      </c>
      <c r="D178" s="8" t="s">
        <v>65</v>
      </c>
      <c r="E178">
        <v>240</v>
      </c>
      <c r="F178" s="8">
        <v>2.0099999999999998</v>
      </c>
      <c r="H178">
        <v>20</v>
      </c>
      <c r="I178">
        <v>2.2999999999999998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72.260724570000008</v>
      </c>
      <c r="P178">
        <f t="shared" si="10"/>
        <v>72.260724570000008</v>
      </c>
      <c r="S178">
        <f t="shared" si="11"/>
        <v>3.1730844397499989</v>
      </c>
    </row>
    <row r="179" spans="1:19">
      <c r="A179" s="9">
        <v>42620</v>
      </c>
      <c r="B179" s="8" t="s">
        <v>61</v>
      </c>
      <c r="C179" s="8">
        <v>18</v>
      </c>
      <c r="D179" s="8" t="s">
        <v>65</v>
      </c>
      <c r="F179" s="8">
        <v>0.91</v>
      </c>
      <c r="J179">
        <f>67+102</f>
        <v>169</v>
      </c>
      <c r="K179">
        <v>2</v>
      </c>
      <c r="L179">
        <v>102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4.109883</v>
      </c>
      <c r="P179">
        <f t="shared" si="10"/>
        <v>4.109883</v>
      </c>
      <c r="S179">
        <f t="shared" si="11"/>
        <v>0.65038766975000006</v>
      </c>
    </row>
    <row r="180" spans="1:19">
      <c r="A180" s="9">
        <v>42620</v>
      </c>
      <c r="B180" s="8" t="s">
        <v>61</v>
      </c>
      <c r="C180" s="8">
        <v>18</v>
      </c>
      <c r="D180" s="8" t="s">
        <v>65</v>
      </c>
      <c r="E180">
        <v>226</v>
      </c>
      <c r="F180" s="8">
        <v>1.85</v>
      </c>
      <c r="H180">
        <v>16.5</v>
      </c>
      <c r="I180">
        <v>2.29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61.493729270000017</v>
      </c>
      <c r="P180">
        <f t="shared" si="10"/>
        <v>61.493729270000017</v>
      </c>
      <c r="S180">
        <f t="shared" si="11"/>
        <v>2.6880229437500001</v>
      </c>
    </row>
    <row r="181" spans="1:19">
      <c r="A181" s="9">
        <v>42620</v>
      </c>
      <c r="B181" s="8" t="s">
        <v>61</v>
      </c>
      <c r="C181" s="8">
        <v>18</v>
      </c>
      <c r="D181" s="8" t="s">
        <v>65</v>
      </c>
      <c r="F181" s="8">
        <v>0.87</v>
      </c>
      <c r="J181">
        <f>137+174+175</f>
        <v>486</v>
      </c>
      <c r="K181">
        <v>3</v>
      </c>
      <c r="L181">
        <v>175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4.8169800000000009</v>
      </c>
      <c r="P181">
        <f t="shared" si="10"/>
        <v>4.8169800000000009</v>
      </c>
      <c r="S181">
        <f t="shared" si="11"/>
        <v>0.59446736774999998</v>
      </c>
    </row>
    <row r="182" spans="1:19">
      <c r="A182" s="9">
        <v>42620</v>
      </c>
      <c r="B182" s="8" t="s">
        <v>61</v>
      </c>
      <c r="C182" s="8">
        <v>18</v>
      </c>
      <c r="D182" s="8" t="s">
        <v>65</v>
      </c>
      <c r="F182" s="8">
        <v>0.81</v>
      </c>
      <c r="J182">
        <f>39+85</f>
        <v>124</v>
      </c>
      <c r="K182">
        <v>2</v>
      </c>
      <c r="L182">
        <v>85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5.0120730000000009</v>
      </c>
      <c r="P182">
        <f t="shared" si="10"/>
        <v>5.0120730000000009</v>
      </c>
      <c r="S182">
        <f t="shared" si="11"/>
        <v>0.51529929975000011</v>
      </c>
    </row>
    <row r="183" spans="1:19">
      <c r="A183" s="9">
        <v>42620</v>
      </c>
      <c r="B183" s="8" t="s">
        <v>61</v>
      </c>
      <c r="C183" s="8">
        <v>18</v>
      </c>
      <c r="D183" s="8" t="s">
        <v>65</v>
      </c>
      <c r="F183" s="8">
        <v>1.96</v>
      </c>
      <c r="J183">
        <f>160+207+218+250+269</f>
        <v>1104</v>
      </c>
      <c r="K183">
        <v>5</v>
      </c>
      <c r="L183">
        <v>269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20.395834000000001</v>
      </c>
      <c r="P183">
        <f t="shared" si="10"/>
        <v>20.395834000000001</v>
      </c>
      <c r="S183">
        <f t="shared" si="11"/>
        <v>3.0171830359999996</v>
      </c>
    </row>
    <row r="184" spans="1:19">
      <c r="A184" s="9">
        <v>42620</v>
      </c>
      <c r="B184" s="8" t="s">
        <v>61</v>
      </c>
      <c r="C184" s="8">
        <v>18</v>
      </c>
      <c r="D184" s="8" t="s">
        <v>65</v>
      </c>
      <c r="E184">
        <v>201</v>
      </c>
      <c r="F184" s="8">
        <v>1.32</v>
      </c>
      <c r="H184">
        <v>10</v>
      </c>
      <c r="I184">
        <v>2.35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38.689317439999996</v>
      </c>
      <c r="P184">
        <f t="shared" si="10"/>
        <v>38.689317439999996</v>
      </c>
      <c r="S184">
        <f t="shared" si="11"/>
        <v>1.368476604</v>
      </c>
    </row>
    <row r="185" spans="1:19">
      <c r="A185" s="9">
        <v>42620</v>
      </c>
      <c r="B185" s="8" t="s">
        <v>61</v>
      </c>
      <c r="C185" s="8">
        <v>18</v>
      </c>
      <c r="D185" s="8" t="s">
        <v>65</v>
      </c>
      <c r="E185">
        <v>237</v>
      </c>
      <c r="F185" s="8">
        <v>2.2400000000000002</v>
      </c>
      <c r="H185">
        <v>24</v>
      </c>
      <c r="I185">
        <v>2.44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81.947039799999999</v>
      </c>
      <c r="P185">
        <f t="shared" si="10"/>
        <v>81.947039799999999</v>
      </c>
      <c r="S185">
        <f t="shared" si="11"/>
        <v>3.9408104960000006</v>
      </c>
    </row>
    <row r="186" spans="1:19">
      <c r="A186" s="9">
        <v>42620</v>
      </c>
      <c r="B186" s="8" t="s">
        <v>61</v>
      </c>
      <c r="C186" s="8">
        <v>18</v>
      </c>
      <c r="D186" s="8" t="s">
        <v>65</v>
      </c>
      <c r="F186" s="8">
        <v>1.41</v>
      </c>
      <c r="J186">
        <f>194+241+264+266</f>
        <v>965</v>
      </c>
      <c r="K186">
        <v>4</v>
      </c>
      <c r="L186">
        <v>266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15.289977000000015</v>
      </c>
      <c r="P186">
        <f t="shared" si="10"/>
        <v>15.289977000000015</v>
      </c>
      <c r="S186">
        <f t="shared" si="11"/>
        <v>1.5614487697499997</v>
      </c>
    </row>
    <row r="187" spans="1:19">
      <c r="A187" s="9">
        <v>42620</v>
      </c>
      <c r="B187" s="8" t="s">
        <v>61</v>
      </c>
      <c r="C187" s="8">
        <v>18</v>
      </c>
      <c r="D187" s="8" t="s">
        <v>65</v>
      </c>
      <c r="F187" s="8">
        <v>1.04</v>
      </c>
      <c r="G187" s="8"/>
      <c r="J187">
        <f>164+160+176+188</f>
        <v>688</v>
      </c>
      <c r="K187">
        <v>4</v>
      </c>
      <c r="L187">
        <v>188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12.816952000000001</v>
      </c>
      <c r="P187">
        <f t="shared" si="10"/>
        <v>12.816952000000001</v>
      </c>
      <c r="S187">
        <f t="shared" si="11"/>
        <v>0.84948593600000011</v>
      </c>
    </row>
    <row r="188" spans="1:19">
      <c r="A188" s="9">
        <v>42620</v>
      </c>
      <c r="B188" s="8" t="s">
        <v>61</v>
      </c>
      <c r="C188" s="8">
        <v>18</v>
      </c>
      <c r="D188" s="8" t="s">
        <v>65</v>
      </c>
      <c r="E188">
        <v>221</v>
      </c>
      <c r="F188" s="8">
        <v>1.79</v>
      </c>
      <c r="G188" s="8"/>
      <c r="H188">
        <v>18</v>
      </c>
      <c r="I188" s="8">
        <v>2.3199999999999998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60.73812878999999</v>
      </c>
      <c r="P188">
        <f t="shared" si="10"/>
        <v>60.73812878999999</v>
      </c>
      <c r="S188">
        <f t="shared" si="11"/>
        <v>2.51649212975</v>
      </c>
    </row>
    <row r="189" spans="1:19">
      <c r="A189" s="9">
        <v>42620</v>
      </c>
      <c r="B189" s="8" t="s">
        <v>61</v>
      </c>
      <c r="C189" s="8">
        <v>18</v>
      </c>
      <c r="D189" s="8" t="s">
        <v>65</v>
      </c>
      <c r="F189" s="8">
        <v>1.4</v>
      </c>
      <c r="G189" s="8"/>
      <c r="J189">
        <f>192+211+219</f>
        <v>622</v>
      </c>
      <c r="K189">
        <v>3</v>
      </c>
      <c r="L189">
        <v>219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4.3128799999999998</v>
      </c>
      <c r="P189">
        <f t="shared" si="10"/>
        <v>4.3128799999999998</v>
      </c>
      <c r="S189">
        <f t="shared" si="11"/>
        <v>1.5393790999999997</v>
      </c>
    </row>
    <row r="190" spans="1:19">
      <c r="A190" s="9">
        <v>42620</v>
      </c>
      <c r="B190" s="8" t="s">
        <v>61</v>
      </c>
      <c r="C190" s="8">
        <v>18</v>
      </c>
      <c r="D190" s="8" t="s">
        <v>65</v>
      </c>
      <c r="E190">
        <v>200</v>
      </c>
      <c r="F190" s="8">
        <v>2.06</v>
      </c>
      <c r="G190" s="8"/>
      <c r="H190">
        <v>14</v>
      </c>
      <c r="I190" s="8">
        <v>2.21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53.914369500000021</v>
      </c>
      <c r="P190">
        <f t="shared" si="10"/>
        <v>53.914369500000021</v>
      </c>
      <c r="S190">
        <f t="shared" si="11"/>
        <v>3.3329128309999998</v>
      </c>
    </row>
    <row r="191" spans="1:19">
      <c r="A191" s="9">
        <v>42620</v>
      </c>
      <c r="B191" s="8" t="s">
        <v>61</v>
      </c>
      <c r="C191" s="8">
        <v>18</v>
      </c>
      <c r="D191" s="8" t="s">
        <v>65</v>
      </c>
      <c r="E191">
        <v>209</v>
      </c>
      <c r="F191" s="8">
        <v>1.76</v>
      </c>
      <c r="H191">
        <v>21</v>
      </c>
      <c r="I191">
        <v>0.61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29.421004799999992</v>
      </c>
      <c r="P191">
        <f t="shared" si="10"/>
        <v>29.421004799999992</v>
      </c>
      <c r="S191">
        <f t="shared" si="11"/>
        <v>2.4328472959999998</v>
      </c>
    </row>
    <row r="192" spans="1:19">
      <c r="A192" s="9">
        <v>42620</v>
      </c>
      <c r="B192" s="8" t="s">
        <v>61</v>
      </c>
      <c r="C192" s="8">
        <v>18</v>
      </c>
      <c r="D192" s="8" t="s">
        <v>65</v>
      </c>
      <c r="E192">
        <v>228</v>
      </c>
      <c r="F192" s="8">
        <v>2.19</v>
      </c>
      <c r="G192" s="8"/>
      <c r="H192">
        <v>22</v>
      </c>
      <c r="I192" s="8">
        <v>2.42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76.038974590000009</v>
      </c>
      <c r="P192">
        <f t="shared" si="10"/>
        <v>76.038974590000009</v>
      </c>
      <c r="S192">
        <f t="shared" si="11"/>
        <v>3.7668449497499998</v>
      </c>
    </row>
    <row r="193" spans="1:19">
      <c r="A193" s="9">
        <v>42620</v>
      </c>
      <c r="B193" s="8" t="s">
        <v>61</v>
      </c>
      <c r="C193" s="8">
        <v>18</v>
      </c>
      <c r="D193" s="8" t="s">
        <v>65</v>
      </c>
      <c r="E193">
        <v>229</v>
      </c>
      <c r="F193" s="8">
        <v>2.6</v>
      </c>
      <c r="G193" s="8"/>
      <c r="H193">
        <v>20</v>
      </c>
      <c r="I193" s="8">
        <v>2.42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82.380251359999988</v>
      </c>
      <c r="P193">
        <f t="shared" si="10"/>
        <v>82.380251359999988</v>
      </c>
      <c r="S193">
        <f t="shared" si="11"/>
        <v>5.3092871000000006</v>
      </c>
    </row>
    <row r="194" spans="1:19">
      <c r="A194" s="9">
        <v>42620</v>
      </c>
      <c r="B194" s="8" t="s">
        <v>61</v>
      </c>
      <c r="C194" s="8">
        <v>18</v>
      </c>
      <c r="D194" s="8" t="s">
        <v>65</v>
      </c>
      <c r="F194" s="8">
        <v>2.2599999999999998</v>
      </c>
      <c r="J194">
        <f>203+246+266+272+288</f>
        <v>1275</v>
      </c>
      <c r="K194">
        <v>5</v>
      </c>
      <c r="L194">
        <v>288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30.704284000000008</v>
      </c>
      <c r="P194">
        <f t="shared" si="10"/>
        <v>30.704284000000008</v>
      </c>
      <c r="S194">
        <f t="shared" si="11"/>
        <v>4.0114962709999986</v>
      </c>
    </row>
    <row r="195" spans="1:19">
      <c r="A195" s="9">
        <v>42620</v>
      </c>
      <c r="B195" s="8" t="s">
        <v>61</v>
      </c>
      <c r="C195" s="8">
        <v>18</v>
      </c>
      <c r="D195" s="8" t="s">
        <v>65</v>
      </c>
      <c r="E195">
        <v>216</v>
      </c>
      <c r="F195" s="8">
        <v>1.62</v>
      </c>
      <c r="G195" s="8"/>
      <c r="I195" s="8">
        <v>16</v>
      </c>
      <c r="J195" s="8">
        <v>2.3199999999999998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278.26631273999999</v>
      </c>
      <c r="P195">
        <f t="shared" si="10"/>
        <v>278.26631273999999</v>
      </c>
      <c r="S195">
        <f t="shared" si="11"/>
        <v>2.0611971990000004</v>
      </c>
    </row>
    <row r="196" spans="1:19">
      <c r="A196" s="9">
        <v>42620</v>
      </c>
      <c r="B196" s="8" t="s">
        <v>61</v>
      </c>
      <c r="C196" s="8">
        <v>18</v>
      </c>
      <c r="D196" s="8" t="s">
        <v>65</v>
      </c>
      <c r="F196" s="8">
        <v>1.74</v>
      </c>
      <c r="G196" s="8"/>
      <c r="J196">
        <f>183+237+240+254</f>
        <v>914</v>
      </c>
      <c r="K196">
        <v>4</v>
      </c>
      <c r="L196">
        <v>254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14.123412000000009</v>
      </c>
      <c r="P196">
        <f>IF(O196&lt;0," ",O196)</f>
        <v>14.123412000000009</v>
      </c>
      <c r="S196">
        <f t="shared" si="11"/>
        <v>2.3778694709999999</v>
      </c>
    </row>
    <row r="197" spans="1:19">
      <c r="A197" s="9">
        <v>42620</v>
      </c>
      <c r="B197" s="8" t="s">
        <v>61</v>
      </c>
      <c r="C197" s="8">
        <v>18</v>
      </c>
      <c r="D197" s="8" t="s">
        <v>65</v>
      </c>
      <c r="F197" s="8">
        <v>1.36</v>
      </c>
      <c r="H197" s="8"/>
      <c r="J197">
        <f>147+188+208+223</f>
        <v>766</v>
      </c>
      <c r="K197">
        <v>4</v>
      </c>
      <c r="L197">
        <v>223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9.5862670000000136</v>
      </c>
      <c r="P197">
        <f>IF(O197&lt;0," ",O197)</f>
        <v>9.5862670000000136</v>
      </c>
      <c r="S197">
        <f t="shared" si="11"/>
        <v>1.4526712160000002</v>
      </c>
    </row>
    <row r="198" spans="1:19">
      <c r="A198" s="9">
        <v>42620</v>
      </c>
      <c r="B198" s="8" t="s">
        <v>61</v>
      </c>
      <c r="C198" s="8">
        <v>18</v>
      </c>
      <c r="D198" s="8" t="s">
        <v>65</v>
      </c>
      <c r="F198" s="8">
        <v>0.95</v>
      </c>
      <c r="H198" s="8"/>
      <c r="J198">
        <f>173+178+196</f>
        <v>547</v>
      </c>
      <c r="K198">
        <v>3</v>
      </c>
      <c r="L198">
        <v>196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4.2098900000000015</v>
      </c>
      <c r="P198">
        <f>IF(O198&lt;0," ",O198)</f>
        <v>4.2098900000000015</v>
      </c>
      <c r="S198">
        <f t="shared" si="11"/>
        <v>0.70882124375</v>
      </c>
    </row>
    <row r="199" spans="1:19">
      <c r="A199" s="9">
        <v>42620</v>
      </c>
      <c r="B199" s="8" t="s">
        <v>61</v>
      </c>
      <c r="C199" s="8">
        <v>6</v>
      </c>
      <c r="D199" s="8"/>
      <c r="F199" s="8"/>
      <c r="H199" s="8"/>
      <c r="M199" t="s">
        <v>66</v>
      </c>
    </row>
    <row r="200" spans="1:19">
      <c r="A200" s="9">
        <v>42620</v>
      </c>
      <c r="B200" s="8" t="s">
        <v>62</v>
      </c>
      <c r="C200" s="8">
        <v>50</v>
      </c>
      <c r="D200" s="8" t="s">
        <v>64</v>
      </c>
      <c r="F200" s="8">
        <v>6.11</v>
      </c>
      <c r="H200" s="8"/>
      <c r="J200">
        <f>63+113+162+203+236+242+260+94</f>
        <v>1373</v>
      </c>
      <c r="K200">
        <v>8</v>
      </c>
      <c r="L200">
        <v>260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27.260075000000008</v>
      </c>
      <c r="P200">
        <f t="shared" ref="P200:P263" si="12">IF(O200&lt;0," ",O200)</f>
        <v>27.260075000000008</v>
      </c>
      <c r="S200">
        <f t="shared" ref="S200:S263" si="13">3.14159*((F200/2)^2)</f>
        <v>29.320538009750003</v>
      </c>
    </row>
    <row r="201" spans="1:19">
      <c r="A201" s="9">
        <v>42620</v>
      </c>
      <c r="B201" s="8" t="s">
        <v>62</v>
      </c>
      <c r="C201" s="8">
        <v>50</v>
      </c>
      <c r="D201" s="8" t="s">
        <v>64</v>
      </c>
      <c r="F201" s="8">
        <v>4.49</v>
      </c>
      <c r="J201">
        <f>139+156+203+244+264+269+292</f>
        <v>1567</v>
      </c>
      <c r="K201">
        <v>7</v>
      </c>
      <c r="L201">
        <v>292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42.831058000000006</v>
      </c>
      <c r="P201">
        <f t="shared" si="12"/>
        <v>42.831058000000006</v>
      </c>
      <c r="S201">
        <f t="shared" si="13"/>
        <v>15.833692139750003</v>
      </c>
    </row>
    <row r="202" spans="1:19">
      <c r="A202" s="9">
        <v>42620</v>
      </c>
      <c r="B202" s="8" t="s">
        <v>62</v>
      </c>
      <c r="C202" s="8">
        <v>50</v>
      </c>
      <c r="D202" s="8" t="s">
        <v>64</v>
      </c>
      <c r="F202" s="8">
        <v>2.5499999999999998</v>
      </c>
      <c r="J202">
        <f>69+106+156+160+187</f>
        <v>678</v>
      </c>
      <c r="K202">
        <v>5</v>
      </c>
      <c r="L202">
        <v>187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5.158294000000005</v>
      </c>
      <c r="P202">
        <f t="shared" si="12"/>
        <v>5.158294000000005</v>
      </c>
      <c r="S202">
        <f t="shared" si="13"/>
        <v>5.1070472437499994</v>
      </c>
    </row>
    <row r="203" spans="1:19">
      <c r="A203" s="9">
        <v>42620</v>
      </c>
      <c r="B203" s="8" t="s">
        <v>62</v>
      </c>
      <c r="C203" s="8">
        <v>50</v>
      </c>
      <c r="D203" s="8" t="s">
        <v>64</v>
      </c>
      <c r="F203" s="8">
        <v>1.44</v>
      </c>
      <c r="J203">
        <f>53+63+92+100+117</f>
        <v>425</v>
      </c>
      <c r="K203">
        <v>5</v>
      </c>
      <c r="L203">
        <v>117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2.5254290000000026</v>
      </c>
      <c r="P203">
        <f t="shared" si="12"/>
        <v>2.5254290000000026</v>
      </c>
      <c r="S203">
        <f t="shared" si="13"/>
        <v>1.6286002559999999</v>
      </c>
    </row>
    <row r="204" spans="1:19">
      <c r="A204" s="9">
        <v>42620</v>
      </c>
      <c r="B204" s="8" t="s">
        <v>62</v>
      </c>
      <c r="C204" s="8">
        <v>50</v>
      </c>
      <c r="D204" s="8" t="s">
        <v>64</v>
      </c>
      <c r="F204" s="8">
        <v>0.89</v>
      </c>
      <c r="J204">
        <f>22+28+32</f>
        <v>82</v>
      </c>
      <c r="K204">
        <v>3</v>
      </c>
      <c r="L204">
        <v>32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10.017994999999999</v>
      </c>
      <c r="P204">
        <f t="shared" si="12"/>
        <v>10.017994999999999</v>
      </c>
      <c r="S204">
        <f t="shared" si="13"/>
        <v>0.62211335975000004</v>
      </c>
    </row>
    <row r="205" spans="1:19">
      <c r="A205" s="9">
        <v>42620</v>
      </c>
      <c r="B205" s="8" t="s">
        <v>62</v>
      </c>
      <c r="C205" s="8">
        <v>50</v>
      </c>
      <c r="D205" s="8" t="s">
        <v>64</v>
      </c>
      <c r="F205" s="8">
        <v>1</v>
      </c>
      <c r="J205">
        <f>33+40+52+57</f>
        <v>182</v>
      </c>
      <c r="K205">
        <v>4</v>
      </c>
      <c r="L205">
        <v>57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4.8400169999999996</v>
      </c>
      <c r="P205">
        <f t="shared" si="12"/>
        <v>4.8400169999999996</v>
      </c>
      <c r="S205">
        <f t="shared" si="13"/>
        <v>0.78539749999999997</v>
      </c>
    </row>
    <row r="206" spans="1:19">
      <c r="A206" s="9">
        <v>42620</v>
      </c>
      <c r="B206" s="8" t="s">
        <v>62</v>
      </c>
      <c r="C206" s="8">
        <v>48</v>
      </c>
      <c r="D206" s="8"/>
      <c r="F206" s="8"/>
      <c r="H206" s="8"/>
      <c r="M206" t="s">
        <v>66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0</v>
      </c>
      <c r="P206">
        <f t="shared" si="12"/>
        <v>0</v>
      </c>
      <c r="S206">
        <f t="shared" si="13"/>
        <v>0</v>
      </c>
    </row>
    <row r="207" spans="1:19">
      <c r="A207" s="9">
        <v>42620</v>
      </c>
      <c r="B207" s="8" t="s">
        <v>62</v>
      </c>
      <c r="C207" s="8">
        <v>47</v>
      </c>
      <c r="D207" s="8" t="s">
        <v>64</v>
      </c>
      <c r="F207" s="8">
        <v>1.26</v>
      </c>
      <c r="H207" s="8"/>
      <c r="J207">
        <f>81+94+125+125+146</f>
        <v>571</v>
      </c>
      <c r="K207">
        <v>5</v>
      </c>
      <c r="L207">
        <v>146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7.4775540000000049</v>
      </c>
      <c r="P207">
        <f t="shared" si="12"/>
        <v>7.4775540000000049</v>
      </c>
      <c r="S207">
        <f t="shared" si="13"/>
        <v>1.246897071</v>
      </c>
    </row>
    <row r="208" spans="1:19">
      <c r="A208" s="9">
        <v>42620</v>
      </c>
      <c r="B208" s="8" t="s">
        <v>62</v>
      </c>
      <c r="C208" s="8">
        <v>47</v>
      </c>
      <c r="D208" s="8" t="s">
        <v>64</v>
      </c>
      <c r="F208" s="8">
        <v>2.6</v>
      </c>
      <c r="J208">
        <f>96+135+166+195</f>
        <v>592</v>
      </c>
      <c r="K208">
        <v>4</v>
      </c>
      <c r="L208">
        <v>195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1.7077570000000044</v>
      </c>
      <c r="P208">
        <f t="shared" si="12"/>
        <v>1.7077570000000044</v>
      </c>
      <c r="S208">
        <f t="shared" si="13"/>
        <v>5.3092871000000006</v>
      </c>
    </row>
    <row r="209" spans="1:19">
      <c r="A209" s="9">
        <v>42620</v>
      </c>
      <c r="B209" s="8" t="s">
        <v>62</v>
      </c>
      <c r="C209" s="8">
        <v>47</v>
      </c>
      <c r="D209" s="8" t="s">
        <v>64</v>
      </c>
      <c r="F209" s="8">
        <v>4</v>
      </c>
      <c r="H209" s="8"/>
      <c r="J209">
        <f>137+140+188+191+228+234</f>
        <v>1118</v>
      </c>
      <c r="K209">
        <v>6</v>
      </c>
      <c r="L209">
        <v>234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25.229626000000017</v>
      </c>
      <c r="P209">
        <f t="shared" si="12"/>
        <v>25.229626000000017</v>
      </c>
      <c r="S209">
        <f t="shared" si="13"/>
        <v>12.56636</v>
      </c>
    </row>
    <row r="210" spans="1:19">
      <c r="A210" s="9">
        <v>42620</v>
      </c>
      <c r="B210" s="8" t="s">
        <v>62</v>
      </c>
      <c r="C210" s="8">
        <v>47</v>
      </c>
      <c r="D210" s="8" t="s">
        <v>64</v>
      </c>
      <c r="F210" s="8">
        <v>0.92</v>
      </c>
      <c r="J210">
        <f>70+89</f>
        <v>159</v>
      </c>
      <c r="K210">
        <v>2</v>
      </c>
      <c r="L210">
        <v>89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7.0885180000000005</v>
      </c>
      <c r="P210">
        <f t="shared" si="12"/>
        <v>7.0885180000000005</v>
      </c>
      <c r="S210">
        <f t="shared" si="13"/>
        <v>0.66476044400000001</v>
      </c>
    </row>
    <row r="211" spans="1:19">
      <c r="A211" s="9">
        <v>42620</v>
      </c>
      <c r="B211" s="8" t="s">
        <v>62</v>
      </c>
      <c r="C211" s="8">
        <v>45</v>
      </c>
      <c r="D211" s="8" t="s">
        <v>64</v>
      </c>
      <c r="F211" s="8">
        <v>3.76</v>
      </c>
      <c r="H211" s="8"/>
      <c r="J211">
        <f>106+118+171+218+220+263+265</f>
        <v>1361</v>
      </c>
      <c r="K211">
        <v>7</v>
      </c>
      <c r="L211">
        <v>265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31.651142999999998</v>
      </c>
      <c r="P211">
        <f t="shared" si="12"/>
        <v>31.651142999999998</v>
      </c>
      <c r="S211">
        <f t="shared" si="13"/>
        <v>11.103635696</v>
      </c>
    </row>
    <row r="212" spans="1:19">
      <c r="A212" s="9">
        <v>42620</v>
      </c>
      <c r="B212" s="8" t="s">
        <v>62</v>
      </c>
      <c r="C212" s="8">
        <v>45</v>
      </c>
      <c r="D212" s="8" t="s">
        <v>64</v>
      </c>
      <c r="F212" s="8">
        <v>3.74</v>
      </c>
      <c r="J212">
        <f>83+99+100+138+188+211+216+244</f>
        <v>1279</v>
      </c>
      <c r="K212">
        <v>8</v>
      </c>
      <c r="L212">
        <v>244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23.267025000000018</v>
      </c>
      <c r="P212">
        <f t="shared" si="12"/>
        <v>23.267025000000018</v>
      </c>
      <c r="S212">
        <f t="shared" si="13"/>
        <v>10.985826071000002</v>
      </c>
    </row>
    <row r="213" spans="1:19">
      <c r="A213" s="9">
        <v>42620</v>
      </c>
      <c r="B213" s="8" t="s">
        <v>62</v>
      </c>
      <c r="C213" s="8">
        <v>45</v>
      </c>
      <c r="D213" s="8" t="s">
        <v>64</v>
      </c>
      <c r="F213" s="8">
        <v>1.1100000000000001</v>
      </c>
      <c r="H213" s="8"/>
      <c r="J213">
        <f>42+72+75+85+83</f>
        <v>357</v>
      </c>
      <c r="K213">
        <v>5</v>
      </c>
      <c r="L213">
        <v>85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5.7899290000000043</v>
      </c>
      <c r="P213">
        <f t="shared" si="12"/>
        <v>5.7899290000000043</v>
      </c>
      <c r="S213">
        <f t="shared" si="13"/>
        <v>0.96768825975000017</v>
      </c>
    </row>
    <row r="214" spans="1:19">
      <c r="A214" s="9">
        <v>42620</v>
      </c>
      <c r="B214" s="8" t="s">
        <v>62</v>
      </c>
      <c r="C214" s="8">
        <v>45</v>
      </c>
      <c r="D214" s="8" t="s">
        <v>64</v>
      </c>
      <c r="F214" s="8">
        <v>2.36</v>
      </c>
      <c r="J214">
        <f>71+48+115+116+164+175+189</f>
        <v>878</v>
      </c>
      <c r="K214">
        <v>7</v>
      </c>
      <c r="L214">
        <v>189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9.2620980000000017</v>
      </c>
      <c r="P214">
        <f t="shared" si="12"/>
        <v>9.2620980000000017</v>
      </c>
      <c r="S214">
        <f t="shared" si="13"/>
        <v>4.374349915999999</v>
      </c>
    </row>
    <row r="215" spans="1:19">
      <c r="A215" s="9">
        <v>42620</v>
      </c>
      <c r="B215" s="8" t="s">
        <v>62</v>
      </c>
      <c r="C215" s="8">
        <v>45</v>
      </c>
      <c r="D215" s="8" t="s">
        <v>64</v>
      </c>
      <c r="F215" s="8">
        <v>13.36</v>
      </c>
      <c r="H215" s="8"/>
      <c r="J215">
        <f>175+208+252+290+296+297+309+317+324+332+331+326+335+393+433+422+415</f>
        <v>5455</v>
      </c>
      <c r="K215">
        <v>17</v>
      </c>
      <c r="L215">
        <v>433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294.65142300000008</v>
      </c>
      <c r="P215">
        <f t="shared" si="12"/>
        <v>294.65142300000008</v>
      </c>
      <c r="S215">
        <f t="shared" si="13"/>
        <v>140.18528561599999</v>
      </c>
    </row>
    <row r="216" spans="1:19">
      <c r="A216" s="9">
        <v>42620</v>
      </c>
      <c r="B216" s="8" t="s">
        <v>62</v>
      </c>
      <c r="C216" s="8">
        <v>45</v>
      </c>
      <c r="D216" s="8" t="s">
        <v>64</v>
      </c>
      <c r="F216" s="8">
        <v>1.89</v>
      </c>
      <c r="H216" s="8"/>
      <c r="J216">
        <f>75+79+112+125+159+163</f>
        <v>713</v>
      </c>
      <c r="K216">
        <v>6</v>
      </c>
      <c r="L216">
        <v>163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8.6472460000000098</v>
      </c>
      <c r="P216">
        <f t="shared" si="12"/>
        <v>8.6472460000000098</v>
      </c>
      <c r="S216">
        <f t="shared" si="13"/>
        <v>2.8055184097499999</v>
      </c>
    </row>
    <row r="217" spans="1:19">
      <c r="A217" s="9">
        <v>42620</v>
      </c>
      <c r="B217" s="8" t="s">
        <v>62</v>
      </c>
      <c r="C217" s="8">
        <v>25</v>
      </c>
      <c r="D217" s="8" t="s">
        <v>65</v>
      </c>
      <c r="E217">
        <v>251</v>
      </c>
      <c r="F217" s="8">
        <v>2.92</v>
      </c>
      <c r="G217" s="8"/>
      <c r="H217">
        <v>32</v>
      </c>
      <c r="I217" s="8">
        <v>2.46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107.09155992000001</v>
      </c>
      <c r="P217">
        <f t="shared" si="12"/>
        <v>107.09155992000001</v>
      </c>
      <c r="S217">
        <f t="shared" si="13"/>
        <v>6.696613243999999</v>
      </c>
    </row>
    <row r="218" spans="1:19">
      <c r="A218" s="9">
        <v>42620</v>
      </c>
      <c r="B218" s="8" t="s">
        <v>62</v>
      </c>
      <c r="C218" s="8">
        <v>25</v>
      </c>
      <c r="D218" s="8" t="s">
        <v>65</v>
      </c>
      <c r="E218">
        <v>241</v>
      </c>
      <c r="F218" s="8">
        <v>3.98</v>
      </c>
      <c r="H218">
        <v>31</v>
      </c>
      <c r="I218">
        <v>2.2400000000000002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119.69665997999999</v>
      </c>
      <c r="P218">
        <f t="shared" si="12"/>
        <v>119.69665997999999</v>
      </c>
      <c r="S218">
        <f t="shared" si="13"/>
        <v>12.441010559</v>
      </c>
    </row>
    <row r="219" spans="1:19">
      <c r="A219" s="9">
        <v>42620</v>
      </c>
      <c r="B219" s="8" t="s">
        <v>62</v>
      </c>
      <c r="C219" s="8">
        <v>25</v>
      </c>
      <c r="D219" s="8" t="s">
        <v>65</v>
      </c>
      <c r="F219" s="8">
        <v>0.74</v>
      </c>
      <c r="G219" s="8"/>
      <c r="J219">
        <f>27+34+37+40</f>
        <v>138</v>
      </c>
      <c r="K219">
        <v>4</v>
      </c>
      <c r="L219">
        <v>40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5.8359619999999985</v>
      </c>
      <c r="P219">
        <f t="shared" si="12"/>
        <v>5.8359619999999985</v>
      </c>
      <c r="S219">
        <f t="shared" si="13"/>
        <v>0.43008367099999995</v>
      </c>
    </row>
    <row r="220" spans="1:19">
      <c r="A220" s="9">
        <v>42620</v>
      </c>
      <c r="B220" s="8" t="s">
        <v>62</v>
      </c>
      <c r="C220" s="8">
        <v>25</v>
      </c>
      <c r="D220" s="8" t="s">
        <v>65</v>
      </c>
      <c r="F220" s="8">
        <v>1.38</v>
      </c>
      <c r="G220" s="8"/>
      <c r="J220">
        <f>20+33+39+46+50</f>
        <v>188</v>
      </c>
      <c r="K220">
        <v>5</v>
      </c>
      <c r="L220">
        <v>50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0.48890899999999959</v>
      </c>
      <c r="P220">
        <f t="shared" si="12"/>
        <v>0.48890899999999959</v>
      </c>
      <c r="S220">
        <f t="shared" si="13"/>
        <v>1.4957109989999997</v>
      </c>
    </row>
    <row r="221" spans="1:19">
      <c r="A221" s="9">
        <v>42620</v>
      </c>
      <c r="B221" s="8" t="s">
        <v>62</v>
      </c>
      <c r="C221" s="8">
        <v>25</v>
      </c>
      <c r="D221" s="8" t="s">
        <v>64</v>
      </c>
      <c r="F221" s="8">
        <v>6.9</v>
      </c>
      <c r="J221">
        <f>79+109+146+149+183+190+217+221+248+248+234+247+246</f>
        <v>2517</v>
      </c>
      <c r="K221">
        <v>13</v>
      </c>
      <c r="L221">
        <v>248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103.01897</v>
      </c>
      <c r="P221">
        <f t="shared" si="12"/>
        <v>103.01897</v>
      </c>
      <c r="S221">
        <f t="shared" si="13"/>
        <v>37.392774975000002</v>
      </c>
    </row>
    <row r="222" spans="1:19">
      <c r="A222" s="9">
        <v>42620</v>
      </c>
      <c r="B222" s="8" t="s">
        <v>62</v>
      </c>
      <c r="C222" s="8">
        <v>25</v>
      </c>
      <c r="D222" s="8" t="s">
        <v>64</v>
      </c>
      <c r="F222" s="8">
        <v>1.06</v>
      </c>
      <c r="J222">
        <f>14+29+53</f>
        <v>96</v>
      </c>
      <c r="K222">
        <v>3</v>
      </c>
      <c r="L222">
        <v>53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5.0044199999999961</v>
      </c>
      <c r="P222">
        <f t="shared" si="12"/>
        <v>5.0044199999999961</v>
      </c>
      <c r="S222">
        <f t="shared" si="13"/>
        <v>0.88247263100000006</v>
      </c>
    </row>
    <row r="223" spans="1:19">
      <c r="A223" s="9">
        <v>42620</v>
      </c>
      <c r="B223" s="8" t="s">
        <v>62</v>
      </c>
      <c r="C223" s="8">
        <v>25</v>
      </c>
      <c r="D223" s="8" t="s">
        <v>64</v>
      </c>
      <c r="F223" s="8">
        <v>2.35</v>
      </c>
      <c r="J223">
        <f>42+52+66+71+91+99</f>
        <v>421</v>
      </c>
      <c r="K223">
        <v>6</v>
      </c>
      <c r="L223">
        <v>99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0.55046599999999302</v>
      </c>
      <c r="P223">
        <f t="shared" si="12"/>
        <v>0.55046599999999302</v>
      </c>
      <c r="S223">
        <f t="shared" si="13"/>
        <v>4.3373576937500005</v>
      </c>
    </row>
    <row r="224" spans="1:19">
      <c r="A224" s="9">
        <v>42620</v>
      </c>
      <c r="B224" s="8" t="s">
        <v>62</v>
      </c>
      <c r="C224" s="8">
        <v>25</v>
      </c>
      <c r="D224" s="8" t="s">
        <v>64</v>
      </c>
      <c r="F224" s="8">
        <v>6.58</v>
      </c>
      <c r="J224">
        <f>178+244+251+270+271+271</f>
        <v>1485</v>
      </c>
      <c r="K224">
        <v>6</v>
      </c>
      <c r="L224">
        <v>271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48.49164600000001</v>
      </c>
      <c r="P224">
        <f t="shared" si="12"/>
        <v>48.49164600000001</v>
      </c>
      <c r="S224">
        <f t="shared" si="13"/>
        <v>34.004884318999999</v>
      </c>
    </row>
    <row r="225" spans="1:19">
      <c r="A225" s="9">
        <v>42620</v>
      </c>
      <c r="B225" s="8" t="s">
        <v>62</v>
      </c>
      <c r="C225" s="8">
        <v>25</v>
      </c>
      <c r="D225" s="8" t="s">
        <v>64</v>
      </c>
      <c r="F225" s="8">
        <v>4.42</v>
      </c>
      <c r="J225">
        <f>72+187+208+217+218+224</f>
        <v>1126</v>
      </c>
      <c r="K225">
        <v>6</v>
      </c>
      <c r="L225">
        <v>224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28.992116000000003</v>
      </c>
      <c r="P225">
        <f t="shared" si="12"/>
        <v>28.992116000000003</v>
      </c>
      <c r="S225">
        <f t="shared" si="13"/>
        <v>15.343839719</v>
      </c>
    </row>
    <row r="226" spans="1:19">
      <c r="A226" s="9">
        <v>42620</v>
      </c>
      <c r="B226" s="8" t="s">
        <v>62</v>
      </c>
      <c r="C226" s="8">
        <v>25</v>
      </c>
      <c r="D226" s="8" t="s">
        <v>64</v>
      </c>
      <c r="F226" s="8">
        <v>6.83</v>
      </c>
      <c r="J226">
        <f>195+221+257+271+282+296+294+299+319+293</f>
        <v>2727</v>
      </c>
      <c r="K226">
        <v>10</v>
      </c>
      <c r="L226">
        <v>319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122.38618400000004</v>
      </c>
      <c r="P226">
        <f t="shared" si="12"/>
        <v>122.38618400000004</v>
      </c>
      <c r="S226">
        <f t="shared" si="13"/>
        <v>36.637929437749996</v>
      </c>
    </row>
    <row r="227" spans="1:19">
      <c r="A227" s="9">
        <v>42620</v>
      </c>
      <c r="B227" s="8" t="s">
        <v>62</v>
      </c>
      <c r="C227" s="8">
        <v>25</v>
      </c>
      <c r="D227" s="8" t="s">
        <v>64</v>
      </c>
      <c r="F227" s="8">
        <v>4.0199999999999996</v>
      </c>
      <c r="G227" s="8"/>
      <c r="J227">
        <f>57+123+149+154+194+204+211</f>
        <v>1092</v>
      </c>
      <c r="K227">
        <v>7</v>
      </c>
      <c r="L227">
        <v>211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22.698278000000002</v>
      </c>
      <c r="P227">
        <f t="shared" si="12"/>
        <v>22.698278000000002</v>
      </c>
      <c r="S227">
        <f t="shared" si="13"/>
        <v>12.692337758999996</v>
      </c>
    </row>
    <row r="228" spans="1:19">
      <c r="A228" s="9">
        <v>42620</v>
      </c>
      <c r="B228" s="8" t="s">
        <v>62</v>
      </c>
      <c r="C228" s="8">
        <v>25</v>
      </c>
      <c r="D228" s="8" t="s">
        <v>64</v>
      </c>
      <c r="F228" s="8">
        <v>1.66</v>
      </c>
      <c r="G228" s="8"/>
      <c r="J228">
        <f>29+43+64+75+92+93</f>
        <v>396</v>
      </c>
      <c r="K228">
        <v>6</v>
      </c>
      <c r="L228">
        <v>93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1.4061000000005208E-2</v>
      </c>
      <c r="P228">
        <f t="shared" si="12"/>
        <v>1.4061000000005208E-2</v>
      </c>
      <c r="S228">
        <f t="shared" si="13"/>
        <v>2.1642413509999998</v>
      </c>
    </row>
    <row r="229" spans="1:19">
      <c r="A229" s="9">
        <v>42620</v>
      </c>
      <c r="B229" s="8" t="s">
        <v>62</v>
      </c>
      <c r="C229" s="8">
        <v>25</v>
      </c>
      <c r="D229" s="8" t="s">
        <v>64</v>
      </c>
      <c r="F229" s="8">
        <v>0.88</v>
      </c>
      <c r="J229">
        <f>21+27+43+47+55</f>
        <v>193</v>
      </c>
      <c r="K229">
        <v>5</v>
      </c>
      <c r="L229">
        <v>55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-0.54854100000000017</v>
      </c>
      <c r="P229" t="str">
        <f t="shared" si="12"/>
        <v xml:space="preserve"> </v>
      </c>
      <c r="S229">
        <f t="shared" si="13"/>
        <v>0.60821182399999996</v>
      </c>
    </row>
    <row r="230" spans="1:19">
      <c r="A230" s="9">
        <v>42625</v>
      </c>
      <c r="B230" s="9" t="s">
        <v>68</v>
      </c>
      <c r="C230" s="8">
        <v>50</v>
      </c>
      <c r="D230" s="8" t="s">
        <v>69</v>
      </c>
      <c r="E230">
        <v>170</v>
      </c>
      <c r="F230" s="8">
        <v>1.99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7.3272529999999998</v>
      </c>
      <c r="P230">
        <f t="shared" si="12"/>
        <v>7.3272529999999998</v>
      </c>
      <c r="S230">
        <f t="shared" si="13"/>
        <v>3.1102526397500001</v>
      </c>
    </row>
    <row r="231" spans="1:19">
      <c r="A231" s="9">
        <v>42625</v>
      </c>
      <c r="B231" s="9" t="s">
        <v>68</v>
      </c>
      <c r="C231" s="8">
        <v>50</v>
      </c>
      <c r="D231" s="8" t="s">
        <v>69</v>
      </c>
      <c r="E231">
        <v>221</v>
      </c>
      <c r="F231" s="8">
        <v>1.67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10.902608000000001</v>
      </c>
      <c r="P231">
        <f t="shared" si="12"/>
        <v>10.902608000000001</v>
      </c>
      <c r="S231">
        <f t="shared" si="13"/>
        <v>2.1903950877499998</v>
      </c>
    </row>
    <row r="232" spans="1:19">
      <c r="A232" s="9">
        <v>42625</v>
      </c>
      <c r="B232" s="9" t="s">
        <v>68</v>
      </c>
      <c r="C232" s="8">
        <v>50</v>
      </c>
      <c r="D232" s="8" t="s">
        <v>64</v>
      </c>
      <c r="F232" s="8">
        <v>2.5</v>
      </c>
      <c r="J232">
        <f>73+85+159+196+136+144</f>
        <v>793</v>
      </c>
      <c r="K232">
        <v>6</v>
      </c>
      <c r="L232">
        <v>196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6.2065610000000078</v>
      </c>
      <c r="P232">
        <f t="shared" si="12"/>
        <v>6.2065610000000078</v>
      </c>
      <c r="S232">
        <f t="shared" si="13"/>
        <v>4.9087343749999999</v>
      </c>
    </row>
    <row r="233" spans="1:19">
      <c r="A233" s="9">
        <v>42625</v>
      </c>
      <c r="B233" s="9" t="s">
        <v>68</v>
      </c>
      <c r="C233" s="8">
        <v>50</v>
      </c>
      <c r="D233" s="8" t="s">
        <v>64</v>
      </c>
      <c r="F233" s="8">
        <v>9.1300000000000008</v>
      </c>
      <c r="G233" s="8"/>
      <c r="H233" s="8"/>
      <c r="I233" s="8"/>
      <c r="J233">
        <f>292+332+334+350+363+379+381</f>
        <v>2431</v>
      </c>
      <c r="K233">
        <v>7</v>
      </c>
      <c r="L233">
        <v>381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97.024573000000004</v>
      </c>
      <c r="P233">
        <f t="shared" si="12"/>
        <v>97.024573000000004</v>
      </c>
      <c r="S233">
        <f t="shared" si="13"/>
        <v>65.468300867750003</v>
      </c>
    </row>
    <row r="234" spans="1:19">
      <c r="A234" s="9">
        <v>42625</v>
      </c>
      <c r="B234" s="9" t="s">
        <v>68</v>
      </c>
      <c r="C234" s="8">
        <v>50</v>
      </c>
      <c r="D234" s="8" t="s">
        <v>64</v>
      </c>
      <c r="F234" s="8">
        <v>2.71</v>
      </c>
      <c r="J234">
        <f>242+243+264</f>
        <v>749</v>
      </c>
      <c r="K234">
        <v>3</v>
      </c>
      <c r="L234">
        <v>264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2.6637400000000113</v>
      </c>
      <c r="P234">
        <f t="shared" si="12"/>
        <v>2.6637400000000113</v>
      </c>
      <c r="S234">
        <f t="shared" si="13"/>
        <v>5.7680377797500002</v>
      </c>
    </row>
    <row r="235" spans="1:19">
      <c r="A235" s="9">
        <v>42625</v>
      </c>
      <c r="B235" s="9" t="s">
        <v>68</v>
      </c>
      <c r="C235" s="8">
        <v>50</v>
      </c>
      <c r="D235" s="8" t="s">
        <v>64</v>
      </c>
      <c r="F235" s="8">
        <v>8.5399999999999991</v>
      </c>
      <c r="J235">
        <f>284+259+319+324+372+391+394+400</f>
        <v>2743</v>
      </c>
      <c r="K235">
        <v>8</v>
      </c>
      <c r="L235">
        <v>400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113.530125</v>
      </c>
      <c r="P235">
        <f t="shared" si="12"/>
        <v>113.530125</v>
      </c>
      <c r="S235">
        <f t="shared" si="13"/>
        <v>57.280296310999987</v>
      </c>
    </row>
    <row r="236" spans="1:19">
      <c r="A236" s="9">
        <v>42625</v>
      </c>
      <c r="B236" s="9" t="s">
        <v>68</v>
      </c>
      <c r="C236" s="8">
        <v>50</v>
      </c>
      <c r="D236" s="8" t="s">
        <v>64</v>
      </c>
      <c r="F236" s="8">
        <v>4.7300000000000004</v>
      </c>
      <c r="J236">
        <f>114+187+150+175+213+225+226+224+235+254</f>
        <v>2003</v>
      </c>
      <c r="K236">
        <v>10</v>
      </c>
      <c r="L236">
        <v>254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74.08848900000001</v>
      </c>
      <c r="P236">
        <f t="shared" si="12"/>
        <v>74.08848900000001</v>
      </c>
      <c r="S236">
        <f t="shared" si="13"/>
        <v>17.571619727750004</v>
      </c>
    </row>
    <row r="237" spans="1:19">
      <c r="A237" s="9">
        <v>42625</v>
      </c>
      <c r="B237" s="9" t="s">
        <v>68</v>
      </c>
      <c r="C237" s="8">
        <v>50</v>
      </c>
      <c r="D237" s="8" t="s">
        <v>64</v>
      </c>
      <c r="F237" s="8">
        <v>6.99</v>
      </c>
      <c r="G237" s="8"/>
      <c r="J237">
        <f>263+284+308+342</f>
        <v>1197</v>
      </c>
      <c r="K237">
        <v>4</v>
      </c>
      <c r="L237">
        <v>342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14.14651700000001</v>
      </c>
      <c r="P237">
        <f t="shared" si="12"/>
        <v>14.14651700000001</v>
      </c>
      <c r="S237">
        <f t="shared" si="13"/>
        <v>38.37460038975</v>
      </c>
    </row>
    <row r="238" spans="1:19">
      <c r="A238" s="9">
        <v>42625</v>
      </c>
      <c r="B238" s="9" t="s">
        <v>68</v>
      </c>
      <c r="C238" s="8">
        <v>50</v>
      </c>
      <c r="D238" s="8" t="s">
        <v>64</v>
      </c>
      <c r="F238" s="8">
        <v>5.04</v>
      </c>
      <c r="J238">
        <f>139+194+215+285+286+328+344</f>
        <v>1791</v>
      </c>
      <c r="K238">
        <v>7</v>
      </c>
      <c r="L238">
        <v>344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48.167438000000026</v>
      </c>
      <c r="P238">
        <f t="shared" si="12"/>
        <v>48.167438000000026</v>
      </c>
      <c r="S238">
        <f t="shared" si="13"/>
        <v>19.950353136</v>
      </c>
    </row>
    <row r="239" spans="1:19">
      <c r="A239" s="9">
        <v>42625</v>
      </c>
      <c r="B239" s="9" t="s">
        <v>68</v>
      </c>
      <c r="C239" s="8">
        <v>50</v>
      </c>
      <c r="D239" s="8" t="s">
        <v>64</v>
      </c>
      <c r="E239">
        <v>262</v>
      </c>
      <c r="F239" s="8">
        <v>7.78</v>
      </c>
      <c r="H239">
        <v>29</v>
      </c>
      <c r="I239">
        <v>1.59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186.05810318000005</v>
      </c>
      <c r="P239">
        <f t="shared" si="12"/>
        <v>186.05810318000005</v>
      </c>
      <c r="S239">
        <f t="shared" si="13"/>
        <v>47.538854039</v>
      </c>
    </row>
    <row r="240" spans="1:19">
      <c r="A240" s="9">
        <v>42625</v>
      </c>
      <c r="B240" s="9" t="s">
        <v>68</v>
      </c>
      <c r="C240" s="8">
        <v>47</v>
      </c>
      <c r="D240" s="8" t="s">
        <v>65</v>
      </c>
      <c r="F240" s="8">
        <v>4.3899999999999997</v>
      </c>
      <c r="J240">
        <f>174+226+238+265+284+286+303+320</f>
        <v>2096</v>
      </c>
      <c r="K240">
        <v>8</v>
      </c>
      <c r="L240">
        <v>320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76.970240000000018</v>
      </c>
      <c r="P240">
        <f t="shared" si="12"/>
        <v>76.970240000000018</v>
      </c>
      <c r="S240">
        <f t="shared" si="13"/>
        <v>15.136259159749999</v>
      </c>
    </row>
    <row r="241" spans="1:19">
      <c r="A241" s="9">
        <v>42625</v>
      </c>
      <c r="B241" s="9" t="s">
        <v>68</v>
      </c>
      <c r="C241" s="8">
        <v>47</v>
      </c>
      <c r="D241" s="8" t="s">
        <v>65</v>
      </c>
      <c r="F241" s="8">
        <v>4.6500000000000004</v>
      </c>
      <c r="J241">
        <f>121+196+266+277+321+344+365+369</f>
        <v>2259</v>
      </c>
      <c r="K241">
        <v>8</v>
      </c>
      <c r="L241">
        <v>369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77.491300000000024</v>
      </c>
      <c r="P241">
        <f t="shared" si="12"/>
        <v>77.491300000000024</v>
      </c>
      <c r="S241">
        <f t="shared" si="13"/>
        <v>16.982257443750001</v>
      </c>
    </row>
    <row r="242" spans="1:19">
      <c r="A242" s="9">
        <v>42625</v>
      </c>
      <c r="B242" s="9" t="s">
        <v>68</v>
      </c>
      <c r="C242" s="8">
        <v>47</v>
      </c>
      <c r="D242" s="8" t="s">
        <v>65</v>
      </c>
      <c r="F242" s="8">
        <v>5.32</v>
      </c>
      <c r="J242">
        <f>243+249+257+293+312+313</f>
        <v>1667</v>
      </c>
      <c r="K242">
        <v>6</v>
      </c>
      <c r="L242">
        <v>313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52.902766000000021</v>
      </c>
      <c r="P242">
        <f t="shared" si="12"/>
        <v>52.902766000000021</v>
      </c>
      <c r="S242">
        <f t="shared" si="13"/>
        <v>22.228634204000002</v>
      </c>
    </row>
    <row r="243" spans="1:19">
      <c r="A243" s="9">
        <v>42625</v>
      </c>
      <c r="B243" s="9" t="s">
        <v>68</v>
      </c>
      <c r="C243" s="8">
        <v>47</v>
      </c>
      <c r="D243" s="8" t="s">
        <v>65</v>
      </c>
      <c r="F243" s="8">
        <v>6.04</v>
      </c>
      <c r="J243">
        <f>173+249+293+325+325+331</f>
        <v>1696</v>
      </c>
      <c r="K243">
        <v>6</v>
      </c>
      <c r="L243">
        <v>331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50.199251000000025</v>
      </c>
      <c r="P243">
        <f t="shared" si="12"/>
        <v>50.199251000000025</v>
      </c>
      <c r="S243">
        <f t="shared" si="13"/>
        <v>28.652557435999999</v>
      </c>
    </row>
    <row r="244" spans="1:19">
      <c r="A244" s="9">
        <v>42625</v>
      </c>
      <c r="B244" s="9" t="s">
        <v>68</v>
      </c>
      <c r="C244" s="8">
        <v>47</v>
      </c>
      <c r="D244" s="8" t="s">
        <v>65</v>
      </c>
      <c r="F244" s="8">
        <v>4.21</v>
      </c>
      <c r="J244">
        <f>268+269+280+284+301+310</f>
        <v>1712</v>
      </c>
      <c r="K244">
        <v>6</v>
      </c>
      <c r="L244">
        <v>310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58.025476000000019</v>
      </c>
      <c r="P244">
        <f t="shared" si="12"/>
        <v>58.025476000000019</v>
      </c>
      <c r="S244">
        <f t="shared" si="13"/>
        <v>13.92046382975</v>
      </c>
    </row>
    <row r="245" spans="1:19">
      <c r="A245" s="9">
        <v>42625</v>
      </c>
      <c r="B245" s="9" t="s">
        <v>68</v>
      </c>
      <c r="C245" s="8">
        <v>47</v>
      </c>
      <c r="D245" s="8" t="s">
        <v>65</v>
      </c>
      <c r="F245" s="8">
        <v>3.52</v>
      </c>
      <c r="J245">
        <f>202+261+278+287+302+308</f>
        <v>1638</v>
      </c>
      <c r="K245">
        <v>6</v>
      </c>
      <c r="L245">
        <v>308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51.690096000000018</v>
      </c>
      <c r="P245">
        <f t="shared" si="12"/>
        <v>51.690096000000018</v>
      </c>
      <c r="S245">
        <f t="shared" si="13"/>
        <v>9.7313891839999993</v>
      </c>
    </row>
    <row r="246" spans="1:19">
      <c r="A246" s="9">
        <v>42625</v>
      </c>
      <c r="B246" s="9" t="s">
        <v>68</v>
      </c>
      <c r="C246" s="8">
        <v>47</v>
      </c>
      <c r="D246" s="8" t="s">
        <v>65</v>
      </c>
      <c r="F246" s="8">
        <v>4</v>
      </c>
      <c r="J246">
        <f>133+198+231+254+301+301+326</f>
        <v>1744</v>
      </c>
      <c r="K246">
        <v>7</v>
      </c>
      <c r="L246">
        <v>326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49.183363000000021</v>
      </c>
      <c r="P246">
        <f t="shared" si="12"/>
        <v>49.183363000000021</v>
      </c>
      <c r="S246">
        <f t="shared" si="13"/>
        <v>12.56636</v>
      </c>
    </row>
    <row r="247" spans="1:19">
      <c r="A247" s="9">
        <v>42625</v>
      </c>
      <c r="B247" s="9" t="s">
        <v>68</v>
      </c>
      <c r="C247" s="8">
        <v>47</v>
      </c>
      <c r="D247" s="8" t="s">
        <v>65</v>
      </c>
      <c r="F247" s="8">
        <v>1.67</v>
      </c>
      <c r="J247">
        <f>112+196+222+273</f>
        <v>803</v>
      </c>
      <c r="K247">
        <v>4</v>
      </c>
      <c r="L247">
        <v>273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-2.0070479999999904</v>
      </c>
      <c r="P247" t="str">
        <f t="shared" si="12"/>
        <v xml:space="preserve"> </v>
      </c>
      <c r="S247">
        <f t="shared" si="13"/>
        <v>2.1903950877499998</v>
      </c>
    </row>
    <row r="248" spans="1:19">
      <c r="A248" s="9">
        <v>42625</v>
      </c>
      <c r="B248" s="9" t="s">
        <v>68</v>
      </c>
      <c r="C248" s="8">
        <v>47</v>
      </c>
      <c r="D248" s="8" t="s">
        <v>65</v>
      </c>
      <c r="F248" s="8">
        <v>3.42</v>
      </c>
      <c r="J248">
        <f>117+219+255+289+292+306+311</f>
        <v>1789</v>
      </c>
      <c r="K248">
        <v>7</v>
      </c>
      <c r="L248">
        <v>311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57.921013000000023</v>
      </c>
      <c r="P248">
        <f t="shared" si="12"/>
        <v>57.921013000000023</v>
      </c>
      <c r="S248">
        <f t="shared" si="13"/>
        <v>9.1863233189999995</v>
      </c>
    </row>
    <row r="249" spans="1:19">
      <c r="A249" s="9">
        <v>42625</v>
      </c>
      <c r="B249" s="9" t="s">
        <v>68</v>
      </c>
      <c r="C249" s="8">
        <v>47</v>
      </c>
      <c r="D249" s="8" t="s">
        <v>65</v>
      </c>
      <c r="E249">
        <v>267</v>
      </c>
      <c r="F249" s="8">
        <v>4.3499999999999996</v>
      </c>
      <c r="H249">
        <v>34</v>
      </c>
      <c r="I249">
        <v>2.23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137.34087599000003</v>
      </c>
      <c r="P249">
        <f t="shared" si="12"/>
        <v>137.34087599000003</v>
      </c>
      <c r="S249">
        <f t="shared" si="13"/>
        <v>14.861684193749996</v>
      </c>
    </row>
    <row r="250" spans="1:19">
      <c r="A250" s="9">
        <v>42625</v>
      </c>
      <c r="B250" s="9" t="s">
        <v>68</v>
      </c>
      <c r="C250" s="8">
        <v>47</v>
      </c>
      <c r="D250" s="8" t="s">
        <v>65</v>
      </c>
      <c r="E250">
        <v>414</v>
      </c>
      <c r="F250" s="8">
        <v>5.97</v>
      </c>
      <c r="H250">
        <v>42</v>
      </c>
      <c r="I250">
        <v>0.67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193.39777005000002</v>
      </c>
      <c r="P250">
        <f t="shared" si="12"/>
        <v>193.39777005000002</v>
      </c>
      <c r="S250">
        <f t="shared" si="13"/>
        <v>27.992273757749995</v>
      </c>
    </row>
    <row r="251" spans="1:19">
      <c r="A251" s="9">
        <v>42625</v>
      </c>
      <c r="B251" s="9" t="s">
        <v>68</v>
      </c>
      <c r="C251" s="8">
        <v>32</v>
      </c>
      <c r="D251" s="8" t="s">
        <v>64</v>
      </c>
      <c r="F251" s="8">
        <v>7.95</v>
      </c>
      <c r="J251">
        <f>136+133+179+198+236+241+254+265+286+273</f>
        <v>2201</v>
      </c>
      <c r="K251">
        <v>10</v>
      </c>
      <c r="L251">
        <v>286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83.012139000000019</v>
      </c>
      <c r="P251">
        <f t="shared" si="12"/>
        <v>83.012139000000019</v>
      </c>
      <c r="S251">
        <f t="shared" si="13"/>
        <v>49.639085493749995</v>
      </c>
    </row>
    <row r="252" spans="1:19">
      <c r="A252" s="9">
        <v>42625</v>
      </c>
      <c r="B252" s="9" t="s">
        <v>68</v>
      </c>
      <c r="C252" s="8">
        <v>32</v>
      </c>
      <c r="D252" s="8" t="s">
        <v>64</v>
      </c>
      <c r="F252" s="8">
        <v>7.41</v>
      </c>
      <c r="J252">
        <f>69+82+116+151+172+221+247+251+90+235</f>
        <v>1634</v>
      </c>
      <c r="K252">
        <v>10</v>
      </c>
      <c r="L252">
        <v>251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40.396629000000011</v>
      </c>
      <c r="P252">
        <f t="shared" si="12"/>
        <v>40.396629000000011</v>
      </c>
      <c r="S252">
        <f t="shared" si="13"/>
        <v>43.124684469750001</v>
      </c>
    </row>
    <row r="253" spans="1:19">
      <c r="A253" s="9">
        <v>42625</v>
      </c>
      <c r="B253" s="9" t="s">
        <v>68</v>
      </c>
      <c r="C253" s="8">
        <v>32</v>
      </c>
      <c r="D253" s="8" t="s">
        <v>64</v>
      </c>
      <c r="F253" s="8">
        <v>5.5</v>
      </c>
      <c r="J253">
        <f>70+138+163+172+215+217+224+232+232+238</f>
        <v>1901</v>
      </c>
      <c r="K253">
        <v>10</v>
      </c>
      <c r="L253">
        <v>238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69.345399000000015</v>
      </c>
      <c r="P253">
        <f t="shared" si="12"/>
        <v>69.345399000000015</v>
      </c>
      <c r="S253">
        <f t="shared" si="13"/>
        <v>23.758274374999999</v>
      </c>
    </row>
    <row r="254" spans="1:19">
      <c r="A254" s="9">
        <v>42625</v>
      </c>
      <c r="B254" s="9" t="s">
        <v>68</v>
      </c>
      <c r="C254" s="8">
        <v>32</v>
      </c>
      <c r="D254" s="8" t="s">
        <v>64</v>
      </c>
      <c r="F254" s="8">
        <v>5.31</v>
      </c>
      <c r="J254">
        <f>120+156+159+199+201+217+222+223+225</f>
        <v>1722</v>
      </c>
      <c r="K254">
        <v>9</v>
      </c>
      <c r="L254">
        <v>225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63.501792000000002</v>
      </c>
      <c r="P254">
        <f t="shared" si="12"/>
        <v>63.501792000000002</v>
      </c>
      <c r="S254">
        <f t="shared" si="13"/>
        <v>22.145146449749994</v>
      </c>
    </row>
    <row r="255" spans="1:19">
      <c r="A255" s="9">
        <v>42625</v>
      </c>
      <c r="B255" s="9" t="s">
        <v>68</v>
      </c>
      <c r="C255" s="8">
        <v>32</v>
      </c>
      <c r="D255" s="8" t="s">
        <v>64</v>
      </c>
      <c r="F255" s="8">
        <v>1.91</v>
      </c>
      <c r="J255">
        <f>40+51+72+79+97+103</f>
        <v>442</v>
      </c>
      <c r="K255">
        <v>6</v>
      </c>
      <c r="L255">
        <v>103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1.3143410000000024</v>
      </c>
      <c r="P255">
        <f t="shared" si="12"/>
        <v>1.3143410000000024</v>
      </c>
      <c r="S255">
        <f t="shared" si="13"/>
        <v>2.8652086197499997</v>
      </c>
    </row>
    <row r="256" spans="1:19">
      <c r="A256" s="9">
        <v>42625</v>
      </c>
      <c r="B256" s="9" t="s">
        <v>68</v>
      </c>
      <c r="C256" s="8">
        <v>9</v>
      </c>
      <c r="D256" s="8" t="s">
        <v>67</v>
      </c>
      <c r="E256">
        <v>161</v>
      </c>
      <c r="F256" s="8">
        <v>1.05</v>
      </c>
      <c r="G256" s="8"/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6.696308000000001</v>
      </c>
      <c r="P256">
        <f t="shared" si="12"/>
        <v>6.696308000000001</v>
      </c>
      <c r="S256">
        <f t="shared" si="13"/>
        <v>0.86590074375000003</v>
      </c>
    </row>
    <row r="257" spans="1:19">
      <c r="A257" s="9">
        <v>42625</v>
      </c>
      <c r="B257" s="9" t="s">
        <v>68</v>
      </c>
      <c r="C257" s="8">
        <v>9</v>
      </c>
      <c r="D257" s="8" t="s">
        <v>67</v>
      </c>
      <c r="E257">
        <v>29</v>
      </c>
      <c r="F257" s="8">
        <v>0.45</v>
      </c>
      <c r="G257" s="8"/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-2.5575519999999998</v>
      </c>
      <c r="P257" t="str">
        <f t="shared" si="12"/>
        <v xml:space="preserve"> </v>
      </c>
      <c r="S257">
        <f t="shared" si="13"/>
        <v>0.15904299375</v>
      </c>
    </row>
    <row r="258" spans="1:19">
      <c r="A258" s="9">
        <v>42625</v>
      </c>
      <c r="B258" s="9" t="s">
        <v>68</v>
      </c>
      <c r="C258" s="8">
        <v>9</v>
      </c>
      <c r="D258" s="8" t="s">
        <v>67</v>
      </c>
      <c r="E258">
        <v>138</v>
      </c>
      <c r="F258" s="8">
        <v>0.92</v>
      </c>
      <c r="G258" s="8"/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5.0838930000000007</v>
      </c>
      <c r="P258">
        <f t="shared" si="12"/>
        <v>5.0838930000000007</v>
      </c>
      <c r="S258">
        <f t="shared" si="13"/>
        <v>0.66476044400000001</v>
      </c>
    </row>
    <row r="259" spans="1:19">
      <c r="A259" s="9">
        <v>42625</v>
      </c>
      <c r="B259" s="9" t="s">
        <v>68</v>
      </c>
      <c r="C259" s="8">
        <v>9</v>
      </c>
      <c r="D259" s="8" t="s">
        <v>67</v>
      </c>
      <c r="E259">
        <v>161</v>
      </c>
      <c r="F259" s="8">
        <v>0.96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6.696308000000001</v>
      </c>
      <c r="P259">
        <f t="shared" si="12"/>
        <v>6.696308000000001</v>
      </c>
      <c r="S259">
        <f t="shared" si="13"/>
        <v>0.7238223359999999</v>
      </c>
    </row>
    <row r="260" spans="1:19">
      <c r="A260" s="9">
        <v>42625</v>
      </c>
      <c r="B260" s="9" t="s">
        <v>68</v>
      </c>
      <c r="C260" s="8">
        <v>9</v>
      </c>
      <c r="D260" s="8" t="s">
        <v>67</v>
      </c>
      <c r="E260">
        <v>77</v>
      </c>
      <c r="F260" s="8">
        <v>0.91</v>
      </c>
      <c r="G260" s="8"/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0.80748800000000021</v>
      </c>
      <c r="P260">
        <f t="shared" si="12"/>
        <v>0.80748800000000021</v>
      </c>
      <c r="S260">
        <f t="shared" si="13"/>
        <v>0.65038766975000006</v>
      </c>
    </row>
    <row r="261" spans="1:19">
      <c r="A261" s="9">
        <v>42625</v>
      </c>
      <c r="B261" s="9" t="s">
        <v>68</v>
      </c>
      <c r="C261" s="8">
        <v>9</v>
      </c>
      <c r="D261" s="8" t="s">
        <v>67</v>
      </c>
      <c r="E261">
        <v>43</v>
      </c>
      <c r="F261" s="8">
        <v>1.05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-1.576082</v>
      </c>
      <c r="P261" t="str">
        <f t="shared" si="12"/>
        <v xml:space="preserve"> </v>
      </c>
      <c r="S261">
        <f t="shared" si="13"/>
        <v>0.86590074375000003</v>
      </c>
    </row>
    <row r="262" spans="1:19">
      <c r="A262" s="9">
        <v>42625</v>
      </c>
      <c r="B262" s="9" t="s">
        <v>68</v>
      </c>
      <c r="C262" s="8">
        <v>9</v>
      </c>
      <c r="D262" s="8" t="s">
        <v>67</v>
      </c>
      <c r="E262">
        <v>186</v>
      </c>
      <c r="F262" s="8">
        <v>0.9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8.4489330000000002</v>
      </c>
      <c r="P262">
        <f t="shared" si="12"/>
        <v>8.4489330000000002</v>
      </c>
      <c r="S262">
        <f t="shared" si="13"/>
        <v>0.636171975</v>
      </c>
    </row>
    <row r="263" spans="1:19">
      <c r="A263" s="9">
        <v>42625</v>
      </c>
      <c r="B263" s="9" t="s">
        <v>68</v>
      </c>
      <c r="C263" s="8">
        <v>9</v>
      </c>
      <c r="D263" s="8" t="s">
        <v>67</v>
      </c>
      <c r="E263">
        <v>122</v>
      </c>
      <c r="F263" s="8">
        <v>1.24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3.9622130000000011</v>
      </c>
      <c r="P263">
        <f t="shared" si="12"/>
        <v>3.9622130000000011</v>
      </c>
      <c r="S263">
        <f t="shared" si="13"/>
        <v>1.207627196</v>
      </c>
    </row>
    <row r="264" spans="1:19">
      <c r="A264" s="9">
        <v>42625</v>
      </c>
      <c r="B264" s="9" t="s">
        <v>68</v>
      </c>
      <c r="C264" s="8">
        <v>9</v>
      </c>
      <c r="D264" s="8" t="s">
        <v>67</v>
      </c>
      <c r="E264">
        <v>305</v>
      </c>
      <c r="F264" s="8">
        <v>1.17</v>
      </c>
      <c r="G264" s="8"/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16.791428</v>
      </c>
      <c r="P264">
        <f t="shared" ref="P264:P327" si="14">IF(O264&lt;0," ",O264)</f>
        <v>16.791428</v>
      </c>
      <c r="S264">
        <f t="shared" ref="S264:S327" si="15">3.14159*((F264/2)^2)</f>
        <v>1.0751306377499998</v>
      </c>
    </row>
    <row r="265" spans="1:19">
      <c r="A265" s="9">
        <v>42625</v>
      </c>
      <c r="B265" s="9" t="s">
        <v>68</v>
      </c>
      <c r="C265" s="8">
        <v>9</v>
      </c>
      <c r="D265" s="8" t="s">
        <v>67</v>
      </c>
      <c r="E265">
        <v>107</v>
      </c>
      <c r="F265" s="8">
        <v>1.22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2.9106380000000005</v>
      </c>
      <c r="P265">
        <f t="shared" si="14"/>
        <v>2.9106380000000005</v>
      </c>
      <c r="S265">
        <f t="shared" si="15"/>
        <v>1.168985639</v>
      </c>
    </row>
    <row r="266" spans="1:19">
      <c r="A266" s="9">
        <v>42625</v>
      </c>
      <c r="B266" s="9" t="s">
        <v>68</v>
      </c>
      <c r="C266" s="8">
        <v>9</v>
      </c>
      <c r="D266" s="8" t="s">
        <v>67</v>
      </c>
      <c r="E266">
        <v>122</v>
      </c>
      <c r="F266" s="8">
        <v>1.1000000000000001</v>
      </c>
      <c r="G266" s="8"/>
      <c r="I266" s="8"/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3.9622130000000011</v>
      </c>
      <c r="P266">
        <f t="shared" si="14"/>
        <v>3.9622130000000011</v>
      </c>
      <c r="S266">
        <f t="shared" si="15"/>
        <v>0.95033097500000008</v>
      </c>
    </row>
    <row r="267" spans="1:19">
      <c r="A267" s="9">
        <v>42625</v>
      </c>
      <c r="B267" s="9" t="s">
        <v>68</v>
      </c>
      <c r="C267" s="8">
        <v>9</v>
      </c>
      <c r="D267" s="8" t="s">
        <v>67</v>
      </c>
      <c r="E267">
        <v>86</v>
      </c>
      <c r="F267" s="8">
        <v>0.97</v>
      </c>
      <c r="G267" s="8"/>
      <c r="I267" s="8"/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1.4384329999999999</v>
      </c>
      <c r="P267">
        <f t="shared" si="14"/>
        <v>1.4384329999999999</v>
      </c>
      <c r="S267">
        <f t="shared" si="15"/>
        <v>0.7389805077499999</v>
      </c>
    </row>
    <row r="268" spans="1:19">
      <c r="A268" s="9">
        <v>42625</v>
      </c>
      <c r="B268" s="9" t="s">
        <v>68</v>
      </c>
      <c r="C268" s="8">
        <v>9</v>
      </c>
      <c r="D268" s="8" t="s">
        <v>67</v>
      </c>
      <c r="E268">
        <v>111</v>
      </c>
      <c r="F268" s="8">
        <v>0.82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3.191058</v>
      </c>
      <c r="P268">
        <f t="shared" si="14"/>
        <v>3.191058</v>
      </c>
      <c r="S268">
        <f t="shared" si="15"/>
        <v>0.52810127899999992</v>
      </c>
    </row>
    <row r="269" spans="1:19">
      <c r="A269" s="9">
        <v>42625</v>
      </c>
      <c r="B269" s="9" t="s">
        <v>68</v>
      </c>
      <c r="C269" s="8">
        <v>9</v>
      </c>
      <c r="D269" s="8" t="s">
        <v>67</v>
      </c>
      <c r="E269">
        <v>76</v>
      </c>
      <c r="F269" s="8">
        <v>0.67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0.73738300000000034</v>
      </c>
      <c r="P269">
        <f t="shared" si="14"/>
        <v>0.73738300000000034</v>
      </c>
      <c r="S269">
        <f t="shared" si="15"/>
        <v>0.35256493775000003</v>
      </c>
    </row>
    <row r="270" spans="1:19">
      <c r="A270" s="9">
        <v>42625</v>
      </c>
      <c r="B270" s="9" t="s">
        <v>68</v>
      </c>
      <c r="C270" s="8">
        <v>9</v>
      </c>
      <c r="D270" s="8" t="s">
        <v>67</v>
      </c>
      <c r="E270">
        <v>209</v>
      </c>
      <c r="F270" s="8">
        <v>0.95</v>
      </c>
      <c r="G270" s="8"/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10.061347999999999</v>
      </c>
      <c r="P270">
        <f t="shared" si="14"/>
        <v>10.061347999999999</v>
      </c>
      <c r="S270">
        <f t="shared" si="15"/>
        <v>0.70882124375</v>
      </c>
    </row>
    <row r="271" spans="1:19">
      <c r="A271" s="9">
        <v>42625</v>
      </c>
      <c r="B271" s="9" t="s">
        <v>68</v>
      </c>
      <c r="C271" s="8">
        <v>9</v>
      </c>
      <c r="D271" s="8" t="s">
        <v>67</v>
      </c>
      <c r="E271">
        <v>60</v>
      </c>
      <c r="F271" s="8">
        <v>0.68</v>
      </c>
      <c r="G271" s="8"/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-0.38429700000000011</v>
      </c>
      <c r="P271" t="str">
        <f t="shared" si="14"/>
        <v xml:space="preserve"> </v>
      </c>
      <c r="S271">
        <f t="shared" si="15"/>
        <v>0.36316780400000004</v>
      </c>
    </row>
    <row r="272" spans="1:19">
      <c r="A272" s="9">
        <v>42625</v>
      </c>
      <c r="B272" s="9" t="s">
        <v>68</v>
      </c>
      <c r="C272" s="8">
        <v>9</v>
      </c>
      <c r="D272" s="8" t="s">
        <v>67</v>
      </c>
      <c r="E272">
        <v>81</v>
      </c>
      <c r="F272" s="8">
        <v>0.55000000000000004</v>
      </c>
      <c r="G272" s="8"/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1.0879080000000005</v>
      </c>
      <c r="P272">
        <f t="shared" si="14"/>
        <v>1.0879080000000005</v>
      </c>
      <c r="S272">
        <f t="shared" si="15"/>
        <v>0.23758274375000002</v>
      </c>
    </row>
    <row r="273" spans="1:19">
      <c r="A273" s="9">
        <v>42625</v>
      </c>
      <c r="B273" s="9" t="s">
        <v>68</v>
      </c>
      <c r="C273" s="8">
        <v>9</v>
      </c>
      <c r="D273" s="8" t="s">
        <v>65</v>
      </c>
      <c r="F273" s="8">
        <v>3.65</v>
      </c>
      <c r="G273" s="8"/>
      <c r="J273">
        <f>75+123+165+209+282+306</f>
        <v>1160</v>
      </c>
      <c r="K273">
        <v>6</v>
      </c>
      <c r="L273">
        <v>306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7.4776960000000017</v>
      </c>
      <c r="P273">
        <f t="shared" si="14"/>
        <v>7.4776960000000017</v>
      </c>
      <c r="S273">
        <f t="shared" si="15"/>
        <v>10.46345819375</v>
      </c>
    </row>
    <row r="274" spans="1:19">
      <c r="A274" s="9">
        <v>42625</v>
      </c>
      <c r="B274" s="9" t="s">
        <v>68</v>
      </c>
      <c r="C274" s="8">
        <v>9</v>
      </c>
      <c r="D274" s="8" t="s">
        <v>65</v>
      </c>
      <c r="F274" s="8">
        <v>2.89</v>
      </c>
      <c r="G274" s="8"/>
      <c r="J274">
        <f>146+145+234+272+312</f>
        <v>1109</v>
      </c>
      <c r="K274">
        <v>5</v>
      </c>
      <c r="L274">
        <v>312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7.9110740000000206</v>
      </c>
      <c r="P274">
        <f t="shared" si="14"/>
        <v>7.9110740000000206</v>
      </c>
      <c r="S274">
        <f t="shared" si="15"/>
        <v>6.55971845975</v>
      </c>
    </row>
    <row r="275" spans="1:19">
      <c r="A275" s="9">
        <v>42625</v>
      </c>
      <c r="B275" s="9" t="s">
        <v>68</v>
      </c>
      <c r="C275" s="8">
        <v>9</v>
      </c>
      <c r="D275" s="8" t="s">
        <v>65</v>
      </c>
      <c r="F275" s="8">
        <v>2.64</v>
      </c>
      <c r="J275">
        <f>295+305+344+347</f>
        <v>1291</v>
      </c>
      <c r="K275">
        <v>4</v>
      </c>
      <c r="L275">
        <v>347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21.453262000000002</v>
      </c>
      <c r="P275">
        <f t="shared" si="14"/>
        <v>21.453262000000002</v>
      </c>
      <c r="S275">
        <f t="shared" si="15"/>
        <v>5.4739064160000002</v>
      </c>
    </row>
    <row r="276" spans="1:19">
      <c r="A276" s="9">
        <v>42625</v>
      </c>
      <c r="B276" s="9" t="s">
        <v>68</v>
      </c>
      <c r="C276" s="8">
        <v>9</v>
      </c>
      <c r="D276" s="8" t="s">
        <v>64</v>
      </c>
      <c r="F276" s="8">
        <v>0.85</v>
      </c>
      <c r="J276">
        <f>20+25+77+80+97+46</f>
        <v>345</v>
      </c>
      <c r="K276">
        <v>6</v>
      </c>
      <c r="L276">
        <v>97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-5.9724240000000037</v>
      </c>
      <c r="P276" t="str">
        <f t="shared" si="14"/>
        <v xml:space="preserve"> </v>
      </c>
      <c r="S276">
        <f t="shared" si="15"/>
        <v>0.56744969374999987</v>
      </c>
    </row>
    <row r="277" spans="1:19">
      <c r="A277" s="9">
        <v>42625</v>
      </c>
      <c r="B277" s="9" t="s">
        <v>68</v>
      </c>
      <c r="C277" s="8">
        <v>9</v>
      </c>
      <c r="D277" s="8" t="s">
        <v>64</v>
      </c>
      <c r="F277" s="8">
        <v>1.89</v>
      </c>
      <c r="J277">
        <f>25+50+113+118+154+156</f>
        <v>616</v>
      </c>
      <c r="K277">
        <v>6</v>
      </c>
      <c r="L277">
        <v>156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1.6617260000000016</v>
      </c>
      <c r="P277">
        <f t="shared" si="14"/>
        <v>1.6617260000000016</v>
      </c>
      <c r="S277">
        <f t="shared" si="15"/>
        <v>2.8055184097499999</v>
      </c>
    </row>
    <row r="278" spans="1:19">
      <c r="A278" s="9">
        <v>42625</v>
      </c>
      <c r="B278" s="9" t="s">
        <v>68</v>
      </c>
      <c r="C278" s="8">
        <v>9</v>
      </c>
      <c r="D278" s="8" t="s">
        <v>64</v>
      </c>
      <c r="F278" s="8">
        <v>1.41</v>
      </c>
      <c r="G278" s="8"/>
      <c r="I278" s="8"/>
      <c r="J278">
        <f>185+188+198</f>
        <v>571</v>
      </c>
      <c r="K278">
        <v>3</v>
      </c>
      <c r="L278">
        <v>198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5.8575200000000009</v>
      </c>
      <c r="P278">
        <f t="shared" si="14"/>
        <v>5.8575200000000009</v>
      </c>
      <c r="S278">
        <f t="shared" si="15"/>
        <v>1.5614487697499997</v>
      </c>
    </row>
    <row r="279" spans="1:19">
      <c r="A279" s="9">
        <v>42625</v>
      </c>
      <c r="B279" s="9" t="s">
        <v>68</v>
      </c>
      <c r="C279" s="8">
        <v>9</v>
      </c>
      <c r="D279" s="8" t="s">
        <v>64</v>
      </c>
      <c r="F279" s="8">
        <v>1.93</v>
      </c>
      <c r="G279" s="8"/>
      <c r="J279">
        <f>179+190+204+222</f>
        <v>795</v>
      </c>
      <c r="K279">
        <v>4</v>
      </c>
      <c r="L279">
        <v>222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12.606406999999997</v>
      </c>
      <c r="P279">
        <f t="shared" si="14"/>
        <v>12.606406999999997</v>
      </c>
      <c r="S279">
        <f t="shared" si="15"/>
        <v>2.92552714775</v>
      </c>
    </row>
    <row r="280" spans="1:19">
      <c r="A280" s="9">
        <v>42625</v>
      </c>
      <c r="B280" s="9" t="s">
        <v>68</v>
      </c>
      <c r="C280" s="8">
        <v>9</v>
      </c>
      <c r="D280" s="8" t="s">
        <v>64</v>
      </c>
      <c r="F280" s="8">
        <v>5.68</v>
      </c>
      <c r="J280">
        <f>60+76+125+139+202+229+242+262+229+282</f>
        <v>1846</v>
      </c>
      <c r="K280">
        <v>10</v>
      </c>
      <c r="L280">
        <v>282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50.934094000000009</v>
      </c>
      <c r="P280">
        <f t="shared" si="14"/>
        <v>50.934094000000009</v>
      </c>
      <c r="S280">
        <f t="shared" si="15"/>
        <v>25.338808303999997</v>
      </c>
    </row>
    <row r="281" spans="1:19">
      <c r="A281" s="9">
        <v>42625</v>
      </c>
      <c r="B281" s="9" t="s">
        <v>68</v>
      </c>
      <c r="C281" s="8">
        <v>9</v>
      </c>
      <c r="D281" s="8" t="s">
        <v>64</v>
      </c>
      <c r="F281" s="8">
        <v>3.01</v>
      </c>
      <c r="J281">
        <f>57+100+140+145+166+177+189</f>
        <v>974</v>
      </c>
      <c r="K281">
        <v>7</v>
      </c>
      <c r="L281">
        <v>189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18.262578000000012</v>
      </c>
      <c r="P281">
        <f t="shared" si="14"/>
        <v>18.262578000000012</v>
      </c>
      <c r="S281">
        <f t="shared" si="15"/>
        <v>7.1157798897499989</v>
      </c>
    </row>
    <row r="282" spans="1:19">
      <c r="A282" s="9">
        <v>42625</v>
      </c>
      <c r="B282" s="9" t="s">
        <v>68</v>
      </c>
      <c r="C282" s="8">
        <v>3</v>
      </c>
      <c r="D282" s="8" t="s">
        <v>69</v>
      </c>
      <c r="E282">
        <v>110</v>
      </c>
      <c r="F282" s="8">
        <v>1.21</v>
      </c>
      <c r="G282" s="8"/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3.1209530000000001</v>
      </c>
      <c r="P282">
        <f t="shared" si="14"/>
        <v>3.1209530000000001</v>
      </c>
      <c r="S282">
        <f t="shared" si="15"/>
        <v>1.1499004797499999</v>
      </c>
    </row>
    <row r="283" spans="1:19">
      <c r="A283" s="9">
        <v>42625</v>
      </c>
      <c r="B283" s="9" t="s">
        <v>68</v>
      </c>
      <c r="C283" s="8">
        <v>3</v>
      </c>
      <c r="D283" s="8" t="s">
        <v>69</v>
      </c>
      <c r="E283">
        <v>202</v>
      </c>
      <c r="F283" s="8">
        <v>1.31</v>
      </c>
      <c r="G283" s="8"/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9.5706130000000016</v>
      </c>
      <c r="P283">
        <f t="shared" si="14"/>
        <v>9.5706130000000016</v>
      </c>
      <c r="S283">
        <f t="shared" si="15"/>
        <v>1.34782064975</v>
      </c>
    </row>
    <row r="284" spans="1:19">
      <c r="A284" s="9">
        <v>42625</v>
      </c>
      <c r="B284" s="9" t="s">
        <v>68</v>
      </c>
      <c r="C284" s="8">
        <v>3</v>
      </c>
      <c r="D284" s="8" t="s">
        <v>69</v>
      </c>
      <c r="E284">
        <v>200</v>
      </c>
      <c r="F284" s="8">
        <v>1.95</v>
      </c>
      <c r="G284" s="8"/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9.4304030000000019</v>
      </c>
      <c r="P284">
        <f t="shared" si="14"/>
        <v>9.4304030000000019</v>
      </c>
      <c r="S284">
        <f t="shared" si="15"/>
        <v>2.9864739937499998</v>
      </c>
    </row>
    <row r="285" spans="1:19">
      <c r="A285" s="9">
        <v>42625</v>
      </c>
      <c r="B285" s="9" t="s">
        <v>68</v>
      </c>
      <c r="C285" s="8">
        <v>3</v>
      </c>
      <c r="D285" s="8" t="s">
        <v>69</v>
      </c>
      <c r="E285">
        <v>244</v>
      </c>
      <c r="F285" s="8">
        <v>1.7</v>
      </c>
      <c r="G285" s="8"/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12.515023000000003</v>
      </c>
      <c r="P285">
        <f t="shared" si="14"/>
        <v>12.515023000000003</v>
      </c>
      <c r="S285">
        <f t="shared" si="15"/>
        <v>2.2697987749999995</v>
      </c>
    </row>
    <row r="286" spans="1:19">
      <c r="A286" s="9">
        <v>42625</v>
      </c>
      <c r="B286" s="9" t="s">
        <v>68</v>
      </c>
      <c r="C286" s="8">
        <v>3</v>
      </c>
      <c r="D286" s="8" t="s">
        <v>69</v>
      </c>
      <c r="E286">
        <v>106</v>
      </c>
      <c r="F286" s="8">
        <v>1.3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2.8405330000000006</v>
      </c>
      <c r="P286">
        <f t="shared" si="14"/>
        <v>2.8405330000000006</v>
      </c>
      <c r="S286">
        <f t="shared" si="15"/>
        <v>1.3273217750000001</v>
      </c>
    </row>
    <row r="287" spans="1:19">
      <c r="A287" s="9">
        <v>42625</v>
      </c>
      <c r="B287" s="9" t="s">
        <v>68</v>
      </c>
      <c r="C287" s="8">
        <v>3</v>
      </c>
      <c r="D287" s="8" t="s">
        <v>69</v>
      </c>
      <c r="E287">
        <v>269</v>
      </c>
      <c r="F287" s="8">
        <v>1.76</v>
      </c>
      <c r="G287" s="8"/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14.267648000000001</v>
      </c>
      <c r="P287">
        <f t="shared" si="14"/>
        <v>14.267648000000001</v>
      </c>
      <c r="S287">
        <f t="shared" si="15"/>
        <v>2.4328472959999998</v>
      </c>
    </row>
    <row r="288" spans="1:19">
      <c r="A288" s="9">
        <v>42625</v>
      </c>
      <c r="B288" s="9" t="s">
        <v>68</v>
      </c>
      <c r="C288" s="8">
        <v>3</v>
      </c>
      <c r="D288" s="8" t="s">
        <v>69</v>
      </c>
      <c r="E288">
        <v>119</v>
      </c>
      <c r="F288" s="8">
        <v>2.21</v>
      </c>
      <c r="G288" s="8"/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3.7518979999999997</v>
      </c>
      <c r="P288">
        <f t="shared" si="14"/>
        <v>3.7518979999999997</v>
      </c>
      <c r="S288">
        <f t="shared" si="15"/>
        <v>3.83595992975</v>
      </c>
    </row>
    <row r="289" spans="1:19">
      <c r="A289" s="9">
        <v>42625</v>
      </c>
      <c r="B289" s="9" t="s">
        <v>68</v>
      </c>
      <c r="C289" s="8">
        <v>3</v>
      </c>
      <c r="D289" s="8" t="s">
        <v>69</v>
      </c>
      <c r="E289">
        <v>247</v>
      </c>
      <c r="F289" s="8">
        <v>2.39</v>
      </c>
      <c r="G289" s="8"/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12.725338000000001</v>
      </c>
      <c r="P289">
        <f t="shared" si="14"/>
        <v>12.725338000000001</v>
      </c>
      <c r="S289">
        <f t="shared" si="15"/>
        <v>4.4862690597500006</v>
      </c>
    </row>
    <row r="290" spans="1:19">
      <c r="A290" s="9">
        <v>42625</v>
      </c>
      <c r="B290" s="9" t="s">
        <v>68</v>
      </c>
      <c r="C290" s="8">
        <v>3</v>
      </c>
      <c r="D290" s="8" t="s">
        <v>69</v>
      </c>
      <c r="E290">
        <v>204</v>
      </c>
      <c r="F290" s="8">
        <v>1.7</v>
      </c>
      <c r="G290" s="8"/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9.7108230000000013</v>
      </c>
      <c r="P290">
        <f t="shared" si="14"/>
        <v>9.7108230000000013</v>
      </c>
      <c r="S290">
        <f t="shared" si="15"/>
        <v>2.2697987749999995</v>
      </c>
    </row>
    <row r="291" spans="1:19">
      <c r="A291" s="9">
        <v>42625</v>
      </c>
      <c r="B291" s="9" t="s">
        <v>68</v>
      </c>
      <c r="C291" s="8">
        <v>3</v>
      </c>
      <c r="D291" s="8" t="s">
        <v>69</v>
      </c>
      <c r="E291">
        <v>200</v>
      </c>
      <c r="F291" s="8">
        <v>1.55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9.4304030000000019</v>
      </c>
      <c r="P291">
        <f t="shared" si="14"/>
        <v>9.4304030000000019</v>
      </c>
      <c r="S291">
        <f t="shared" si="15"/>
        <v>1.8869174937500002</v>
      </c>
    </row>
    <row r="292" spans="1:19">
      <c r="A292" s="9">
        <v>42625</v>
      </c>
      <c r="B292" s="9" t="s">
        <v>68</v>
      </c>
      <c r="C292" s="8">
        <v>3</v>
      </c>
      <c r="D292" s="8" t="s">
        <v>69</v>
      </c>
      <c r="E292">
        <v>254</v>
      </c>
      <c r="F292" s="8">
        <v>1.93</v>
      </c>
      <c r="G292" s="8"/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13.216073000000002</v>
      </c>
      <c r="P292">
        <f t="shared" si="14"/>
        <v>13.216073000000002</v>
      </c>
      <c r="S292">
        <f t="shared" si="15"/>
        <v>2.92552714775</v>
      </c>
    </row>
    <row r="293" spans="1:19">
      <c r="A293" s="9">
        <v>42625</v>
      </c>
      <c r="B293" s="9" t="s">
        <v>68</v>
      </c>
      <c r="C293" s="8">
        <v>3</v>
      </c>
      <c r="D293" s="8" t="s">
        <v>69</v>
      </c>
      <c r="E293">
        <v>218</v>
      </c>
      <c r="F293" s="8">
        <v>2.11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10.692292999999999</v>
      </c>
      <c r="P293">
        <f t="shared" si="14"/>
        <v>10.692292999999999</v>
      </c>
      <c r="S293">
        <f t="shared" si="15"/>
        <v>3.4966682097499997</v>
      </c>
    </row>
    <row r="294" spans="1:19">
      <c r="A294" s="9">
        <v>42625</v>
      </c>
      <c r="B294" s="9" t="s">
        <v>68</v>
      </c>
      <c r="C294" s="8">
        <v>3</v>
      </c>
      <c r="D294" s="8" t="s">
        <v>69</v>
      </c>
      <c r="E294">
        <v>242</v>
      </c>
      <c r="F294" s="8">
        <v>2.0499999999999998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12.374813</v>
      </c>
      <c r="P294">
        <f t="shared" si="14"/>
        <v>12.374813</v>
      </c>
      <c r="S294">
        <f t="shared" si="15"/>
        <v>3.3006329937499994</v>
      </c>
    </row>
    <row r="295" spans="1:19">
      <c r="A295" s="9">
        <v>42625</v>
      </c>
      <c r="B295" s="9" t="s">
        <v>68</v>
      </c>
      <c r="C295" s="8">
        <v>3</v>
      </c>
      <c r="D295" s="8" t="s">
        <v>69</v>
      </c>
      <c r="E295">
        <v>136</v>
      </c>
      <c r="F295" s="8">
        <v>1.33</v>
      </c>
      <c r="G295" s="8"/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4.9436830000000009</v>
      </c>
      <c r="P295">
        <f t="shared" si="14"/>
        <v>4.9436830000000009</v>
      </c>
      <c r="S295">
        <f t="shared" si="15"/>
        <v>1.3892896377500001</v>
      </c>
    </row>
    <row r="296" spans="1:19">
      <c r="A296" s="9">
        <v>42625</v>
      </c>
      <c r="B296" s="9" t="s">
        <v>68</v>
      </c>
      <c r="C296" s="8">
        <v>3</v>
      </c>
      <c r="D296" s="8" t="s">
        <v>69</v>
      </c>
      <c r="E296">
        <v>108</v>
      </c>
      <c r="F296" s="8">
        <v>1.3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2.9807430000000004</v>
      </c>
      <c r="P296">
        <f t="shared" si="14"/>
        <v>2.9807430000000004</v>
      </c>
      <c r="S296">
        <f t="shared" si="15"/>
        <v>1.3273217750000001</v>
      </c>
    </row>
    <row r="297" spans="1:19">
      <c r="A297" s="9">
        <v>42625</v>
      </c>
      <c r="B297" s="9" t="s">
        <v>68</v>
      </c>
      <c r="C297" s="8">
        <v>3</v>
      </c>
      <c r="D297" s="8" t="s">
        <v>69</v>
      </c>
      <c r="E297">
        <v>97</v>
      </c>
      <c r="F297" s="8">
        <v>1.1399999999999999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2.2095880000000001</v>
      </c>
      <c r="P297">
        <f t="shared" si="14"/>
        <v>2.2095880000000001</v>
      </c>
      <c r="S297">
        <f t="shared" si="15"/>
        <v>1.0207025909999998</v>
      </c>
    </row>
    <row r="298" spans="1:19">
      <c r="A298" s="7">
        <v>42639</v>
      </c>
      <c r="B298" s="8" t="s">
        <v>71</v>
      </c>
      <c r="C298">
        <v>47</v>
      </c>
      <c r="D298" s="8" t="s">
        <v>64</v>
      </c>
      <c r="F298" s="8">
        <v>6.51</v>
      </c>
      <c r="J298">
        <f>106+144+206+217+231+250+265+269</f>
        <v>1688</v>
      </c>
      <c r="K298">
        <v>8</v>
      </c>
      <c r="L298">
        <v>269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54.081695000000018</v>
      </c>
      <c r="P298">
        <f t="shared" si="14"/>
        <v>54.081695000000018</v>
      </c>
      <c r="S298">
        <f t="shared" si="15"/>
        <v>33.285224589750001</v>
      </c>
    </row>
    <row r="299" spans="1:19">
      <c r="A299" s="7">
        <v>42639</v>
      </c>
      <c r="B299" s="8" t="s">
        <v>71</v>
      </c>
      <c r="C299">
        <v>47</v>
      </c>
      <c r="D299" s="8" t="s">
        <v>64</v>
      </c>
      <c r="F299" s="8">
        <v>3.1</v>
      </c>
      <c r="J299">
        <f>83+136+152+175+185+200</f>
        <v>931</v>
      </c>
      <c r="K299">
        <v>6</v>
      </c>
      <c r="L299">
        <v>200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17.939771</v>
      </c>
      <c r="P299">
        <f t="shared" si="14"/>
        <v>17.939771</v>
      </c>
      <c r="S299">
        <f t="shared" si="15"/>
        <v>7.5476699750000007</v>
      </c>
    </row>
    <row r="300" spans="1:19">
      <c r="A300" s="7">
        <v>42639</v>
      </c>
      <c r="B300" s="8" t="s">
        <v>71</v>
      </c>
      <c r="C300">
        <v>47</v>
      </c>
      <c r="D300" s="8" t="s">
        <v>64</v>
      </c>
      <c r="F300" s="8">
        <v>3.75</v>
      </c>
      <c r="J300">
        <f>63+113+128+152+163+187+192</f>
        <v>998</v>
      </c>
      <c r="K300">
        <v>7</v>
      </c>
      <c r="L300">
        <v>192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19.60896300000001</v>
      </c>
      <c r="P300">
        <f t="shared" si="14"/>
        <v>19.60896300000001</v>
      </c>
      <c r="S300">
        <f t="shared" si="15"/>
        <v>11.04465234375</v>
      </c>
    </row>
    <row r="301" spans="1:19">
      <c r="A301" s="7">
        <v>42639</v>
      </c>
      <c r="B301" s="8" t="s">
        <v>71</v>
      </c>
      <c r="C301">
        <v>47</v>
      </c>
      <c r="D301" s="8" t="s">
        <v>64</v>
      </c>
      <c r="F301" s="8">
        <v>5.68</v>
      </c>
      <c r="J301">
        <f>39+93+140+151+185+197+209+233+239+245</f>
        <v>1731</v>
      </c>
      <c r="K301">
        <v>10</v>
      </c>
      <c r="L301">
        <v>245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51.298334000000004</v>
      </c>
      <c r="P301">
        <f t="shared" si="14"/>
        <v>51.298334000000004</v>
      </c>
      <c r="S301">
        <f t="shared" si="15"/>
        <v>25.338808303999997</v>
      </c>
    </row>
    <row r="302" spans="1:19">
      <c r="A302" s="7">
        <v>42639</v>
      </c>
      <c r="B302" s="8" t="s">
        <v>71</v>
      </c>
      <c r="C302">
        <v>47</v>
      </c>
      <c r="D302" s="8" t="s">
        <v>64</v>
      </c>
      <c r="F302" s="8">
        <v>8.4700000000000006</v>
      </c>
      <c r="J302">
        <f>123+189+189+227+237+249+259+270+282+283+284+293</f>
        <v>2885</v>
      </c>
      <c r="K302">
        <v>12</v>
      </c>
      <c r="L302">
        <v>293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130.98713800000002</v>
      </c>
      <c r="P302">
        <f t="shared" si="14"/>
        <v>130.98713800000002</v>
      </c>
      <c r="S302">
        <f t="shared" si="15"/>
        <v>56.345123507750003</v>
      </c>
    </row>
    <row r="303" spans="1:19">
      <c r="A303" s="9">
        <v>42639</v>
      </c>
      <c r="B303" s="8" t="s">
        <v>71</v>
      </c>
      <c r="C303" s="8">
        <v>33</v>
      </c>
      <c r="D303" s="8" t="s">
        <v>65</v>
      </c>
      <c r="F303" s="8">
        <v>2.76</v>
      </c>
      <c r="J303">
        <f>148+232+234+236+267</f>
        <v>1117</v>
      </c>
      <c r="K303">
        <v>5</v>
      </c>
      <c r="L303">
        <v>267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22.21713900000001</v>
      </c>
      <c r="P303">
        <f t="shared" si="14"/>
        <v>22.21713900000001</v>
      </c>
      <c r="S303">
        <f t="shared" si="15"/>
        <v>5.9828439959999988</v>
      </c>
    </row>
    <row r="304" spans="1:19">
      <c r="A304" s="9">
        <v>42639</v>
      </c>
      <c r="B304" s="8" t="s">
        <v>71</v>
      </c>
      <c r="C304" s="8">
        <v>33</v>
      </c>
      <c r="D304" s="8" t="s">
        <v>65</v>
      </c>
      <c r="F304" s="8">
        <v>6.14</v>
      </c>
      <c r="J304">
        <f>194+224+247+252+260+262+264+265+280+285</f>
        <v>2533</v>
      </c>
      <c r="K304">
        <v>10</v>
      </c>
      <c r="L304">
        <v>285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114.44004400000006</v>
      </c>
      <c r="P304">
        <f t="shared" si="14"/>
        <v>114.44004400000006</v>
      </c>
      <c r="S304">
        <f t="shared" si="15"/>
        <v>29.609171590999996</v>
      </c>
    </row>
    <row r="305" spans="1:19">
      <c r="A305" s="9">
        <v>42639</v>
      </c>
      <c r="B305" s="8" t="s">
        <v>71</v>
      </c>
      <c r="C305" s="8">
        <v>33</v>
      </c>
      <c r="D305" s="8" t="s">
        <v>65</v>
      </c>
      <c r="F305" s="8">
        <v>1.71</v>
      </c>
      <c r="J305">
        <f>27+50+79+99+100</f>
        <v>355</v>
      </c>
      <c r="K305">
        <v>5</v>
      </c>
      <c r="L305">
        <v>100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1.0837440000000029</v>
      </c>
      <c r="P305">
        <f t="shared" si="14"/>
        <v>1.0837440000000029</v>
      </c>
      <c r="S305">
        <f t="shared" si="15"/>
        <v>2.2965808297499999</v>
      </c>
    </row>
    <row r="306" spans="1:19">
      <c r="A306" s="9">
        <v>42639</v>
      </c>
      <c r="B306" s="8" t="s">
        <v>71</v>
      </c>
      <c r="C306" s="8">
        <v>33</v>
      </c>
      <c r="D306" s="8" t="s">
        <v>65</v>
      </c>
      <c r="F306" s="8">
        <v>2.15</v>
      </c>
      <c r="J306">
        <f>59+96+87+125+138+152</f>
        <v>657</v>
      </c>
      <c r="K306">
        <v>6</v>
      </c>
      <c r="L306">
        <v>152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6.7106610000000018</v>
      </c>
      <c r="P306">
        <f t="shared" si="14"/>
        <v>6.7106610000000018</v>
      </c>
      <c r="S306">
        <f t="shared" si="15"/>
        <v>3.6304999437499994</v>
      </c>
    </row>
    <row r="307" spans="1:19">
      <c r="A307" s="9">
        <v>42639</v>
      </c>
      <c r="B307" s="8" t="s">
        <v>71</v>
      </c>
      <c r="C307" s="8">
        <v>33</v>
      </c>
      <c r="D307" s="8" t="s">
        <v>65</v>
      </c>
      <c r="F307" s="8">
        <v>3.19</v>
      </c>
      <c r="J307">
        <f>85+85+125+150+165+194+306</f>
        <v>1110</v>
      </c>
      <c r="K307">
        <v>7</v>
      </c>
      <c r="L307">
        <v>306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-4.232407000000002</v>
      </c>
      <c r="P307" t="str">
        <f t="shared" si="14"/>
        <v xml:space="preserve"> </v>
      </c>
      <c r="S307">
        <f t="shared" si="15"/>
        <v>7.9922834997500001</v>
      </c>
    </row>
    <row r="308" spans="1:19">
      <c r="A308" s="9">
        <v>42639</v>
      </c>
      <c r="B308" s="8" t="s">
        <v>71</v>
      </c>
      <c r="C308" s="8">
        <v>33</v>
      </c>
      <c r="D308" s="8" t="s">
        <v>65</v>
      </c>
      <c r="F308" s="8">
        <v>1.71</v>
      </c>
      <c r="J308">
        <f>92+182+195+210+226+249</f>
        <v>1154</v>
      </c>
      <c r="K308">
        <v>6</v>
      </c>
      <c r="L308">
        <v>249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24.086131000000016</v>
      </c>
      <c r="P308">
        <f t="shared" si="14"/>
        <v>24.086131000000016</v>
      </c>
      <c r="S308">
        <f t="shared" si="15"/>
        <v>2.2965808297499999</v>
      </c>
    </row>
    <row r="309" spans="1:19">
      <c r="A309" s="9">
        <v>42639</v>
      </c>
      <c r="B309" s="8" t="s">
        <v>71</v>
      </c>
      <c r="C309" s="8">
        <v>33</v>
      </c>
      <c r="D309" s="8" t="s">
        <v>65</v>
      </c>
      <c r="F309" s="8">
        <v>3.57</v>
      </c>
      <c r="H309" s="8"/>
      <c r="J309">
        <f>60+178+127+222+251+246+264</f>
        <v>1348</v>
      </c>
      <c r="K309">
        <v>7</v>
      </c>
      <c r="L309">
        <v>264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30.733573000000014</v>
      </c>
      <c r="P309">
        <f t="shared" si="14"/>
        <v>30.733573000000014</v>
      </c>
      <c r="S309">
        <f t="shared" si="15"/>
        <v>10.009812597749999</v>
      </c>
    </row>
    <row r="310" spans="1:19">
      <c r="A310" s="9">
        <v>42639</v>
      </c>
      <c r="B310" s="8" t="s">
        <v>71</v>
      </c>
      <c r="C310" s="8">
        <v>33</v>
      </c>
      <c r="D310" s="8" t="s">
        <v>65</v>
      </c>
      <c r="F310" s="8">
        <v>2.11</v>
      </c>
      <c r="J310">
        <f>142+159+236+246+251</f>
        <v>1034</v>
      </c>
      <c r="K310">
        <v>5</v>
      </c>
      <c r="L310">
        <v>251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19.25539400000001</v>
      </c>
      <c r="P310">
        <f t="shared" si="14"/>
        <v>19.25539400000001</v>
      </c>
      <c r="S310">
        <f t="shared" si="15"/>
        <v>3.4966682097499997</v>
      </c>
    </row>
    <row r="311" spans="1:19">
      <c r="A311" s="9">
        <v>42639</v>
      </c>
      <c r="B311" s="8" t="s">
        <v>71</v>
      </c>
      <c r="C311" s="8">
        <v>33</v>
      </c>
      <c r="D311" s="8" t="s">
        <v>65</v>
      </c>
      <c r="F311" s="8">
        <v>5.47</v>
      </c>
      <c r="J311">
        <f>195+242+236+265+287+292+310+312+313</f>
        <v>2452</v>
      </c>
      <c r="K311">
        <v>9</v>
      </c>
      <c r="L311">
        <v>313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105.43338200000002</v>
      </c>
      <c r="P311">
        <f t="shared" si="14"/>
        <v>105.43338200000002</v>
      </c>
      <c r="S311">
        <f t="shared" si="15"/>
        <v>23.499800057749997</v>
      </c>
    </row>
    <row r="312" spans="1:19">
      <c r="A312" s="9">
        <v>42639</v>
      </c>
      <c r="B312" s="8" t="s">
        <v>71</v>
      </c>
      <c r="C312" s="8">
        <v>29</v>
      </c>
      <c r="D312" s="8" t="s">
        <v>65</v>
      </c>
      <c r="F312" s="8">
        <v>2.2599999999999998</v>
      </c>
      <c r="J312">
        <f>67+78+155+158</f>
        <v>458</v>
      </c>
      <c r="K312">
        <v>4</v>
      </c>
      <c r="L312">
        <v>158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0.29065200000000146</v>
      </c>
      <c r="P312">
        <f t="shared" si="14"/>
        <v>0.29065200000000146</v>
      </c>
      <c r="S312">
        <f t="shared" si="15"/>
        <v>4.0114962709999986</v>
      </c>
    </row>
    <row r="313" spans="1:19">
      <c r="A313" s="9">
        <v>42639</v>
      </c>
      <c r="B313" s="8" t="s">
        <v>71</v>
      </c>
      <c r="C313" s="8">
        <v>29</v>
      </c>
      <c r="D313" s="8" t="s">
        <v>65</v>
      </c>
      <c r="F313" s="8">
        <v>0.97</v>
      </c>
      <c r="J313">
        <f>40+69+87</f>
        <v>196</v>
      </c>
      <c r="K313">
        <v>3</v>
      </c>
      <c r="L313">
        <v>87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4.1375899999999994</v>
      </c>
      <c r="P313">
        <f t="shared" si="14"/>
        <v>4.1375899999999994</v>
      </c>
      <c r="S313">
        <f t="shared" si="15"/>
        <v>0.7389805077499999</v>
      </c>
    </row>
    <row r="314" spans="1:19">
      <c r="A314" s="9">
        <v>42639</v>
      </c>
      <c r="B314" s="8" t="s">
        <v>71</v>
      </c>
      <c r="C314" s="8">
        <v>29</v>
      </c>
      <c r="D314" s="8" t="s">
        <v>65</v>
      </c>
      <c r="F314" s="8">
        <v>2.12</v>
      </c>
      <c r="J314">
        <f>35+39+77+153</f>
        <v>304</v>
      </c>
      <c r="K314">
        <v>4</v>
      </c>
      <c r="L314">
        <v>153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-12.641393000000001</v>
      </c>
      <c r="P314" t="str">
        <f t="shared" si="14"/>
        <v xml:space="preserve"> </v>
      </c>
      <c r="S314">
        <f t="shared" si="15"/>
        <v>3.5298905240000003</v>
      </c>
    </row>
    <row r="315" spans="1:19">
      <c r="A315" s="9">
        <v>42639</v>
      </c>
      <c r="B315" s="8" t="s">
        <v>71</v>
      </c>
      <c r="C315" s="8">
        <v>29</v>
      </c>
      <c r="D315" s="8" t="s">
        <v>65</v>
      </c>
      <c r="E315">
        <v>256</v>
      </c>
      <c r="F315" s="8">
        <v>2.61</v>
      </c>
      <c r="H315">
        <v>24</v>
      </c>
      <c r="I315">
        <v>2.48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95.547180210000022</v>
      </c>
      <c r="P315">
        <f t="shared" si="14"/>
        <v>95.547180210000022</v>
      </c>
      <c r="S315">
        <f t="shared" si="15"/>
        <v>5.350206309749999</v>
      </c>
    </row>
    <row r="316" spans="1:19">
      <c r="A316" s="9">
        <v>42639</v>
      </c>
      <c r="B316" s="8" t="s">
        <v>71</v>
      </c>
      <c r="C316" s="8">
        <v>29</v>
      </c>
      <c r="D316" s="8" t="s">
        <v>65</v>
      </c>
      <c r="F316" s="8">
        <v>3.49</v>
      </c>
      <c r="J316">
        <f>180+241+266+281+295+296</f>
        <v>1559</v>
      </c>
      <c r="K316">
        <v>6</v>
      </c>
      <c r="L316">
        <v>296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47.898391000000011</v>
      </c>
      <c r="P316">
        <f t="shared" si="14"/>
        <v>47.898391000000011</v>
      </c>
      <c r="S316">
        <f t="shared" si="15"/>
        <v>9.5662200897500007</v>
      </c>
    </row>
    <row r="317" spans="1:19">
      <c r="A317" s="9">
        <v>42639</v>
      </c>
      <c r="B317" s="8" t="s">
        <v>71</v>
      </c>
      <c r="C317" s="8">
        <v>29</v>
      </c>
      <c r="D317" s="8" t="s">
        <v>65</v>
      </c>
      <c r="F317" s="8">
        <v>2.5099999999999998</v>
      </c>
      <c r="J317">
        <f>77+122+191+197+218</f>
        <v>805</v>
      </c>
      <c r="K317">
        <v>5</v>
      </c>
      <c r="L317">
        <v>218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7.7265840000000026</v>
      </c>
      <c r="P317">
        <f t="shared" si="14"/>
        <v>7.7265840000000026</v>
      </c>
      <c r="S317">
        <f t="shared" si="15"/>
        <v>4.948082789749999</v>
      </c>
    </row>
    <row r="318" spans="1:19">
      <c r="A318" s="9">
        <v>42639</v>
      </c>
      <c r="B318" s="8" t="s">
        <v>71</v>
      </c>
      <c r="C318" s="8">
        <v>29</v>
      </c>
      <c r="D318" s="8" t="s">
        <v>65</v>
      </c>
      <c r="F318" s="8">
        <v>2.38</v>
      </c>
      <c r="J318">
        <f>82+83+93+108+110+135</f>
        <v>611</v>
      </c>
      <c r="K318">
        <v>6</v>
      </c>
      <c r="L318">
        <v>135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7.5190960000000047</v>
      </c>
      <c r="P318">
        <f t="shared" si="14"/>
        <v>7.5190960000000047</v>
      </c>
      <c r="S318">
        <f t="shared" si="15"/>
        <v>4.4488055989999999</v>
      </c>
    </row>
    <row r="319" spans="1:19">
      <c r="A319" s="9">
        <v>42639</v>
      </c>
      <c r="B319" s="8" t="s">
        <v>71</v>
      </c>
      <c r="C319" s="8">
        <v>29</v>
      </c>
      <c r="D319" s="8" t="s">
        <v>65</v>
      </c>
      <c r="F319" s="8">
        <v>1.31</v>
      </c>
      <c r="J319">
        <f>40+66+72+86</f>
        <v>264</v>
      </c>
      <c r="K319">
        <v>4</v>
      </c>
      <c r="L319">
        <v>86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3.7918219999999998</v>
      </c>
      <c r="P319">
        <f t="shared" si="14"/>
        <v>3.7918219999999998</v>
      </c>
      <c r="S319">
        <f t="shared" si="15"/>
        <v>1.34782064975</v>
      </c>
    </row>
    <row r="320" spans="1:19">
      <c r="A320" s="9">
        <v>42639</v>
      </c>
      <c r="B320" s="8" t="s">
        <v>71</v>
      </c>
      <c r="C320" s="8">
        <v>29</v>
      </c>
      <c r="D320" s="8" t="s">
        <v>65</v>
      </c>
      <c r="F320" s="8">
        <v>0.99</v>
      </c>
      <c r="J320">
        <f>36+59+84+125</f>
        <v>304</v>
      </c>
      <c r="K320">
        <v>4</v>
      </c>
      <c r="L320">
        <v>125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-4.2065330000000003</v>
      </c>
      <c r="P320" t="str">
        <f t="shared" si="14"/>
        <v xml:space="preserve"> </v>
      </c>
      <c r="S320">
        <f t="shared" si="15"/>
        <v>0.76976808975</v>
      </c>
    </row>
    <row r="321" spans="1:19">
      <c r="A321" s="9">
        <v>42639</v>
      </c>
      <c r="B321" s="8" t="s">
        <v>71</v>
      </c>
      <c r="C321" s="8">
        <v>29</v>
      </c>
      <c r="D321" s="8" t="s">
        <v>65</v>
      </c>
      <c r="F321" s="8">
        <v>4.5</v>
      </c>
      <c r="J321">
        <f>126+135+163+181+179+221+223+225</f>
        <v>1453</v>
      </c>
      <c r="K321">
        <v>8</v>
      </c>
      <c r="L321">
        <v>225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45.304050000000025</v>
      </c>
      <c r="P321">
        <f t="shared" si="14"/>
        <v>45.304050000000025</v>
      </c>
      <c r="S321">
        <f t="shared" si="15"/>
        <v>15.904299374999999</v>
      </c>
    </row>
    <row r="322" spans="1:19">
      <c r="A322" s="9">
        <v>42639</v>
      </c>
      <c r="B322" s="8" t="s">
        <v>71</v>
      </c>
      <c r="C322" s="8">
        <v>29</v>
      </c>
      <c r="D322" s="8" t="s">
        <v>65</v>
      </c>
      <c r="E322">
        <v>232</v>
      </c>
      <c r="F322" s="8">
        <v>2.57</v>
      </c>
      <c r="H322" s="8">
        <v>40</v>
      </c>
      <c r="I322">
        <v>3.05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112.32809048999999</v>
      </c>
      <c r="P322">
        <f t="shared" si="14"/>
        <v>112.32809048999999</v>
      </c>
      <c r="S322">
        <f t="shared" si="15"/>
        <v>5.1874719477499989</v>
      </c>
    </row>
    <row r="323" spans="1:19">
      <c r="A323" s="7">
        <v>42639</v>
      </c>
      <c r="B323" s="8" t="s">
        <v>71</v>
      </c>
      <c r="C323" s="8">
        <v>29</v>
      </c>
      <c r="D323" s="8" t="s">
        <v>64</v>
      </c>
      <c r="F323" s="8">
        <v>2.42</v>
      </c>
      <c r="G323" s="8"/>
      <c r="I323" s="8"/>
      <c r="J323">
        <f>32+72+80+210+213+240</f>
        <v>847</v>
      </c>
      <c r="K323">
        <v>6</v>
      </c>
      <c r="L323">
        <v>240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-1.9854489999999956</v>
      </c>
      <c r="P323" t="str">
        <f t="shared" si="14"/>
        <v xml:space="preserve"> </v>
      </c>
      <c r="S323">
        <f t="shared" si="15"/>
        <v>4.5996019189999995</v>
      </c>
    </row>
    <row r="324" spans="1:19">
      <c r="A324" s="7">
        <v>42639</v>
      </c>
      <c r="B324" s="8" t="s">
        <v>71</v>
      </c>
      <c r="C324" s="8">
        <v>29</v>
      </c>
      <c r="D324" s="8" t="s">
        <v>64</v>
      </c>
      <c r="F324" s="8">
        <v>7.5</v>
      </c>
      <c r="G324" s="8"/>
      <c r="J324">
        <f>200+202+216+228+245+264+282+297+306+310+312+310</f>
        <v>3172</v>
      </c>
      <c r="K324">
        <v>12</v>
      </c>
      <c r="L324">
        <v>312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152.17116800000002</v>
      </c>
      <c r="P324">
        <f t="shared" si="14"/>
        <v>152.17116800000002</v>
      </c>
      <c r="S324">
        <f t="shared" si="15"/>
        <v>44.178609375000001</v>
      </c>
    </row>
    <row r="325" spans="1:19">
      <c r="A325" s="7">
        <v>42639</v>
      </c>
      <c r="B325" s="8" t="s">
        <v>71</v>
      </c>
      <c r="C325" s="8">
        <v>29</v>
      </c>
      <c r="D325" s="8" t="s">
        <v>64</v>
      </c>
      <c r="F325" s="8">
        <v>8.9</v>
      </c>
      <c r="G325" s="8"/>
      <c r="J325">
        <f>80+124+152+154+185+186+209+219+228+232+260+263+288</f>
        <v>2580</v>
      </c>
      <c r="K325">
        <v>13</v>
      </c>
      <c r="L325">
        <v>288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96.875734999999992</v>
      </c>
      <c r="P325">
        <f t="shared" si="14"/>
        <v>96.875734999999992</v>
      </c>
      <c r="S325">
        <f t="shared" si="15"/>
        <v>62.211335975000004</v>
      </c>
    </row>
    <row r="326" spans="1:19">
      <c r="A326" s="7">
        <v>42639</v>
      </c>
      <c r="B326" s="8" t="s">
        <v>71</v>
      </c>
      <c r="C326">
        <v>21</v>
      </c>
      <c r="D326" s="8" t="s">
        <v>64</v>
      </c>
      <c r="F326" s="8">
        <v>14.22</v>
      </c>
      <c r="J326">
        <f>200+232+268+267+276+277+281+288+282+292+294+293</f>
        <v>3250</v>
      </c>
      <c r="K326">
        <v>12</v>
      </c>
      <c r="L326">
        <v>294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164.90646799999999</v>
      </c>
      <c r="P326">
        <f t="shared" si="14"/>
        <v>164.90646799999999</v>
      </c>
      <c r="S326">
        <f t="shared" si="15"/>
        <v>158.813971839</v>
      </c>
    </row>
    <row r="327" spans="1:19">
      <c r="A327" s="7">
        <v>42639</v>
      </c>
      <c r="B327" s="8" t="s">
        <v>71</v>
      </c>
      <c r="C327">
        <v>21</v>
      </c>
      <c r="D327" s="8" t="s">
        <v>64</v>
      </c>
      <c r="F327" s="8">
        <v>12</v>
      </c>
      <c r="H327" s="8"/>
      <c r="J327">
        <f>123+151+201+219+236+254+256+266+269+271+273+273+278+285+287</f>
        <v>3642</v>
      </c>
      <c r="K327">
        <v>16</v>
      </c>
      <c r="L327">
        <v>287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175.67773100000002</v>
      </c>
      <c r="P327">
        <f t="shared" si="14"/>
        <v>175.67773100000002</v>
      </c>
      <c r="S327">
        <f t="shared" si="15"/>
        <v>113.09724</v>
      </c>
    </row>
    <row r="328" spans="1:19">
      <c r="A328" s="7">
        <v>42639</v>
      </c>
      <c r="B328" s="8" t="s">
        <v>71</v>
      </c>
      <c r="C328">
        <v>21</v>
      </c>
      <c r="D328" s="8" t="s">
        <v>64</v>
      </c>
      <c r="F328" s="8">
        <v>8.82</v>
      </c>
      <c r="J328">
        <f>63+200+236+226+238+251+255+264+269+272+277+280</f>
        <v>2831</v>
      </c>
      <c r="K328">
        <v>12</v>
      </c>
      <c r="L328">
        <v>280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129.84055300000003</v>
      </c>
      <c r="P328">
        <f t="shared" ref="P328:P391" si="16">IF(O328&lt;0," ",O328)</f>
        <v>129.84055300000003</v>
      </c>
      <c r="S328">
        <f t="shared" ref="S328:S391" si="17">3.14159*((F328/2)^2)</f>
        <v>61.097956478999997</v>
      </c>
    </row>
    <row r="329" spans="1:19">
      <c r="A329" s="7">
        <v>42639</v>
      </c>
      <c r="B329" s="8" t="s">
        <v>71</v>
      </c>
      <c r="C329">
        <v>21</v>
      </c>
      <c r="D329" s="8" t="s">
        <v>64</v>
      </c>
      <c r="F329" s="8">
        <v>8.42</v>
      </c>
      <c r="J329">
        <f>182+242+256+256+254+270+271+283+285+290+293</f>
        <v>2882</v>
      </c>
      <c r="K329">
        <v>11</v>
      </c>
      <c r="L329">
        <v>293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137.72822600000001</v>
      </c>
      <c r="P329">
        <f t="shared" si="16"/>
        <v>137.72822600000001</v>
      </c>
      <c r="S329">
        <f t="shared" si="17"/>
        <v>55.681855319</v>
      </c>
    </row>
    <row r="330" spans="1:19">
      <c r="A330" s="7">
        <v>42639</v>
      </c>
      <c r="B330" s="8" t="s">
        <v>71</v>
      </c>
      <c r="C330">
        <v>21</v>
      </c>
      <c r="D330" s="8" t="s">
        <v>64</v>
      </c>
      <c r="F330" s="8">
        <v>1.44</v>
      </c>
      <c r="H330" s="8"/>
      <c r="J330">
        <f>38+75+88+100</f>
        <v>301</v>
      </c>
      <c r="K330">
        <v>4</v>
      </c>
      <c r="L330">
        <v>100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3.0433270000000014</v>
      </c>
      <c r="P330">
        <f t="shared" si="16"/>
        <v>3.0433270000000014</v>
      </c>
      <c r="S330">
        <f t="shared" si="17"/>
        <v>1.6286002559999999</v>
      </c>
    </row>
    <row r="331" spans="1:19">
      <c r="A331" s="7">
        <v>42639</v>
      </c>
      <c r="B331" s="8" t="s">
        <v>71</v>
      </c>
      <c r="C331">
        <v>21</v>
      </c>
      <c r="D331" s="8" t="s">
        <v>64</v>
      </c>
      <c r="F331" s="8">
        <v>13.36</v>
      </c>
      <c r="J331">
        <f>134+172+200+220+240+233+251+253+261+263+266+267+269+269+271</f>
        <v>3569</v>
      </c>
      <c r="K331">
        <v>15</v>
      </c>
      <c r="L331">
        <v>271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180.67588900000001</v>
      </c>
      <c r="P331">
        <f t="shared" si="16"/>
        <v>180.67588900000001</v>
      </c>
      <c r="S331">
        <f t="shared" si="17"/>
        <v>140.18528561599999</v>
      </c>
    </row>
    <row r="332" spans="1:19">
      <c r="A332" s="9">
        <v>42639</v>
      </c>
      <c r="B332" s="8" t="s">
        <v>71</v>
      </c>
      <c r="C332" s="8">
        <v>13</v>
      </c>
      <c r="D332" s="8" t="s">
        <v>67</v>
      </c>
      <c r="E332">
        <v>184</v>
      </c>
      <c r="F332" s="8">
        <v>1.06</v>
      </c>
      <c r="G332">
        <v>6</v>
      </c>
      <c r="H332" s="8"/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7.0853064000000003</v>
      </c>
      <c r="P332">
        <f t="shared" si="16"/>
        <v>7.0853064000000003</v>
      </c>
      <c r="S332">
        <f t="shared" si="17"/>
        <v>0.88247263100000006</v>
      </c>
    </row>
    <row r="333" spans="1:19">
      <c r="A333" s="9">
        <v>42639</v>
      </c>
      <c r="B333" s="8" t="s">
        <v>71</v>
      </c>
      <c r="C333" s="8">
        <v>13</v>
      </c>
      <c r="D333" s="8" t="s">
        <v>67</v>
      </c>
      <c r="E333">
        <v>180</v>
      </c>
      <c r="F333" s="8">
        <v>1.35</v>
      </c>
      <c r="G333">
        <v>5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6.9312780000000007</v>
      </c>
      <c r="P333">
        <f t="shared" si="16"/>
        <v>6.9312780000000007</v>
      </c>
      <c r="S333">
        <f t="shared" si="17"/>
        <v>1.4313869437500002</v>
      </c>
    </row>
    <row r="334" spans="1:19">
      <c r="A334" s="9">
        <v>42639</v>
      </c>
      <c r="B334" s="8" t="s">
        <v>71</v>
      </c>
      <c r="C334" s="8">
        <v>13</v>
      </c>
      <c r="D334" s="8" t="s">
        <v>67</v>
      </c>
      <c r="E334">
        <v>160</v>
      </c>
      <c r="F334" s="8">
        <v>0.8</v>
      </c>
      <c r="H334" s="8"/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6.6262029999999994</v>
      </c>
      <c r="P334">
        <f t="shared" si="16"/>
        <v>6.6262029999999994</v>
      </c>
      <c r="S334">
        <f t="shared" si="17"/>
        <v>0.50265440000000006</v>
      </c>
    </row>
    <row r="335" spans="1:19">
      <c r="A335" s="9">
        <v>42639</v>
      </c>
      <c r="B335" s="8" t="s">
        <v>71</v>
      </c>
      <c r="C335" s="8">
        <v>13</v>
      </c>
      <c r="D335" s="8" t="s">
        <v>67</v>
      </c>
      <c r="E335">
        <v>192</v>
      </c>
      <c r="F335" s="8">
        <v>1.39</v>
      </c>
      <c r="G335">
        <v>5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7.3933632000000005</v>
      </c>
      <c r="P335">
        <f t="shared" si="16"/>
        <v>7.3933632000000005</v>
      </c>
      <c r="S335">
        <f t="shared" si="17"/>
        <v>1.5174665097499997</v>
      </c>
    </row>
    <row r="336" spans="1:19">
      <c r="A336" s="9">
        <v>42639</v>
      </c>
      <c r="B336" s="8" t="s">
        <v>71</v>
      </c>
      <c r="C336" s="8">
        <v>13</v>
      </c>
      <c r="D336" s="8" t="s">
        <v>65</v>
      </c>
      <c r="F336" s="8">
        <v>11.15</v>
      </c>
      <c r="H336" s="8"/>
      <c r="J336">
        <f>76+114+160+172+173+175+206+221+256+264+271+280</f>
        <v>2368</v>
      </c>
      <c r="K336">
        <v>12</v>
      </c>
      <c r="L336">
        <v>280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86.431988000000018</v>
      </c>
      <c r="P336">
        <f t="shared" si="16"/>
        <v>86.431988000000018</v>
      </c>
      <c r="S336">
        <f t="shared" si="17"/>
        <v>97.642580693750006</v>
      </c>
    </row>
    <row r="337" spans="1:19">
      <c r="A337" s="7">
        <v>42639</v>
      </c>
      <c r="B337" s="8" t="s">
        <v>71</v>
      </c>
      <c r="C337" s="8">
        <v>13</v>
      </c>
      <c r="D337" s="8" t="s">
        <v>65</v>
      </c>
      <c r="E337">
        <v>270</v>
      </c>
      <c r="F337" s="8">
        <v>2.95</v>
      </c>
      <c r="H337" s="8">
        <v>32</v>
      </c>
      <c r="I337">
        <v>2.81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119.55971303000004</v>
      </c>
      <c r="P337">
        <f t="shared" si="16"/>
        <v>119.55971303000004</v>
      </c>
      <c r="S337">
        <f t="shared" si="17"/>
        <v>6.8349217437499998</v>
      </c>
    </row>
    <row r="338" spans="1:19">
      <c r="A338" s="9">
        <v>42639</v>
      </c>
      <c r="B338" s="8" t="s">
        <v>71</v>
      </c>
      <c r="C338" s="8">
        <v>13</v>
      </c>
      <c r="D338" s="8" t="s">
        <v>64</v>
      </c>
      <c r="F338" s="8">
        <v>10.87</v>
      </c>
      <c r="J338">
        <f>182+155+235+260+265+275+269+292+301+308+309+311</f>
        <v>3162</v>
      </c>
      <c r="K338">
        <v>12</v>
      </c>
      <c r="L338">
        <v>311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151.534863</v>
      </c>
      <c r="P338">
        <f t="shared" si="16"/>
        <v>151.534863</v>
      </c>
      <c r="S338">
        <f t="shared" si="17"/>
        <v>92.800133867749977</v>
      </c>
    </row>
    <row r="339" spans="1:19">
      <c r="A339" s="9">
        <v>42639</v>
      </c>
      <c r="B339" s="8" t="s">
        <v>71</v>
      </c>
      <c r="C339" s="8">
        <v>13</v>
      </c>
      <c r="D339" s="8" t="s">
        <v>64</v>
      </c>
      <c r="F339" s="8">
        <v>3.7</v>
      </c>
      <c r="H339" s="8"/>
      <c r="J339">
        <f>73+30+116+170+172+208</f>
        <v>769</v>
      </c>
      <c r="K339">
        <v>6</v>
      </c>
      <c r="L339">
        <v>208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0.34150100000000094</v>
      </c>
      <c r="P339">
        <f t="shared" si="16"/>
        <v>0.34150100000000094</v>
      </c>
      <c r="S339">
        <f t="shared" si="17"/>
        <v>10.752091775</v>
      </c>
    </row>
    <row r="340" spans="1:19">
      <c r="A340" s="9">
        <v>42639</v>
      </c>
      <c r="B340" s="8" t="s">
        <v>71</v>
      </c>
      <c r="C340" s="8">
        <v>13</v>
      </c>
      <c r="D340" s="8" t="s">
        <v>64</v>
      </c>
      <c r="F340" s="8">
        <v>1.01</v>
      </c>
      <c r="H340" s="8"/>
      <c r="J340">
        <f>20+32+32</f>
        <v>84</v>
      </c>
      <c r="K340">
        <v>3</v>
      </c>
      <c r="L340">
        <v>32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10.205504999999995</v>
      </c>
      <c r="P340">
        <f t="shared" si="16"/>
        <v>10.205504999999995</v>
      </c>
      <c r="S340">
        <f t="shared" si="17"/>
        <v>0.80118398974999994</v>
      </c>
    </row>
    <row r="341" spans="1:19">
      <c r="A341" s="7">
        <v>42639</v>
      </c>
      <c r="B341" s="8" t="s">
        <v>71</v>
      </c>
      <c r="C341" s="8">
        <v>13</v>
      </c>
      <c r="D341" s="8" t="s">
        <v>64</v>
      </c>
      <c r="F341" s="8">
        <v>3.08</v>
      </c>
      <c r="J341">
        <f>100+123+152+158+202+228+240</f>
        <v>1203</v>
      </c>
      <c r="K341">
        <v>7</v>
      </c>
      <c r="L341">
        <v>240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24.368978000000006</v>
      </c>
      <c r="P341">
        <f t="shared" si="16"/>
        <v>24.368978000000006</v>
      </c>
      <c r="S341">
        <f t="shared" si="17"/>
        <v>7.4505948439999994</v>
      </c>
    </row>
    <row r="342" spans="1:19">
      <c r="A342" s="9">
        <v>42643</v>
      </c>
      <c r="B342" s="8" t="s">
        <v>73</v>
      </c>
      <c r="C342" s="8">
        <v>41</v>
      </c>
      <c r="D342" s="8" t="s">
        <v>65</v>
      </c>
      <c r="F342" s="8">
        <v>3.51</v>
      </c>
      <c r="J342">
        <f>196+222+265+287+292+303+311+320</f>
        <v>2196</v>
      </c>
      <c r="K342">
        <v>8</v>
      </c>
      <c r="L342">
        <v>320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86.345740000000035</v>
      </c>
      <c r="P342">
        <f t="shared" si="16"/>
        <v>86.345740000000035</v>
      </c>
      <c r="S342">
        <f t="shared" si="17"/>
        <v>9.6761757397499988</v>
      </c>
    </row>
    <row r="343" spans="1:19">
      <c r="A343" s="9">
        <v>42643</v>
      </c>
      <c r="B343" s="8" t="s">
        <v>73</v>
      </c>
      <c r="C343" s="8">
        <v>41</v>
      </c>
      <c r="D343" s="8" t="s">
        <v>65</v>
      </c>
      <c r="E343">
        <v>294</v>
      </c>
      <c r="F343" s="8">
        <v>2.78</v>
      </c>
      <c r="G343" s="8"/>
      <c r="H343">
        <v>25</v>
      </c>
      <c r="I343" s="8">
        <v>2.4300000000000002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110.42593450000004</v>
      </c>
      <c r="P343">
        <f t="shared" si="16"/>
        <v>110.42593450000004</v>
      </c>
      <c r="S343">
        <f t="shared" si="17"/>
        <v>6.069866038999999</v>
      </c>
    </row>
    <row r="344" spans="1:19">
      <c r="A344" s="9">
        <v>42643</v>
      </c>
      <c r="B344" s="8" t="s">
        <v>73</v>
      </c>
      <c r="C344" s="8">
        <v>41</v>
      </c>
      <c r="D344" s="8" t="s">
        <v>64</v>
      </c>
      <c r="F344" s="8">
        <v>2.12</v>
      </c>
      <c r="G344" s="8"/>
      <c r="J344">
        <f>85+105+137+143</f>
        <v>470</v>
      </c>
      <c r="K344">
        <v>4</v>
      </c>
      <c r="L344">
        <v>143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5.9343869999999974</v>
      </c>
      <c r="P344">
        <f t="shared" si="16"/>
        <v>5.9343869999999974</v>
      </c>
      <c r="S344">
        <f t="shared" si="17"/>
        <v>3.5298905240000003</v>
      </c>
    </row>
    <row r="345" spans="1:19">
      <c r="A345" s="9">
        <v>42643</v>
      </c>
      <c r="B345" s="8" t="s">
        <v>73</v>
      </c>
      <c r="C345" s="8">
        <v>41</v>
      </c>
      <c r="D345" s="8" t="s">
        <v>64</v>
      </c>
      <c r="F345" s="8">
        <v>9.41</v>
      </c>
      <c r="G345" s="8"/>
      <c r="J345">
        <f>125+259+285+286+313+326+318+326+323+335</f>
        <v>2896</v>
      </c>
      <c r="K345">
        <v>10</v>
      </c>
      <c r="L345">
        <v>335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133.41085900000002</v>
      </c>
      <c r="P345">
        <f t="shared" si="16"/>
        <v>133.41085900000002</v>
      </c>
      <c r="S345">
        <f t="shared" si="17"/>
        <v>69.545456369749999</v>
      </c>
    </row>
    <row r="346" spans="1:19">
      <c r="A346" s="9">
        <v>42643</v>
      </c>
      <c r="B346" s="8" t="s">
        <v>73</v>
      </c>
      <c r="C346" s="8">
        <v>41</v>
      </c>
      <c r="D346" s="8" t="s">
        <v>64</v>
      </c>
      <c r="F346" s="8">
        <v>3</v>
      </c>
      <c r="J346">
        <f>113+184+237+240+128+184</f>
        <v>1086</v>
      </c>
      <c r="K346">
        <v>6</v>
      </c>
      <c r="L346">
        <v>184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37.291716000000001</v>
      </c>
      <c r="P346">
        <f t="shared" si="16"/>
        <v>37.291716000000001</v>
      </c>
      <c r="S346">
        <f t="shared" si="17"/>
        <v>7.0685775</v>
      </c>
    </row>
    <row r="347" spans="1:19">
      <c r="A347" s="9">
        <v>42643</v>
      </c>
      <c r="B347" s="8" t="s">
        <v>73</v>
      </c>
      <c r="C347" s="8">
        <v>41</v>
      </c>
      <c r="D347" s="8" t="s">
        <v>64</v>
      </c>
      <c r="F347" s="8">
        <v>1.75</v>
      </c>
      <c r="G347" s="8"/>
      <c r="J347">
        <f>42+78+93+112</f>
        <v>325</v>
      </c>
      <c r="K347">
        <v>4</v>
      </c>
      <c r="L347">
        <v>112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1.6785069999999962</v>
      </c>
      <c r="P347">
        <f t="shared" si="16"/>
        <v>1.6785069999999962</v>
      </c>
      <c r="S347">
        <f t="shared" si="17"/>
        <v>2.4052798437499998</v>
      </c>
    </row>
    <row r="348" spans="1:19">
      <c r="A348" s="9">
        <v>42643</v>
      </c>
      <c r="B348" s="8" t="s">
        <v>73</v>
      </c>
      <c r="C348" s="8">
        <v>41</v>
      </c>
      <c r="D348" s="8" t="s">
        <v>64</v>
      </c>
      <c r="F348" s="8">
        <v>3</v>
      </c>
      <c r="G348" s="8"/>
      <c r="J348">
        <f>51+124+164+191+207</f>
        <v>737</v>
      </c>
      <c r="K348">
        <v>5</v>
      </c>
      <c r="L348">
        <v>207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4.6649390000000039</v>
      </c>
      <c r="P348">
        <f t="shared" si="16"/>
        <v>4.6649390000000039</v>
      </c>
      <c r="S348">
        <f t="shared" si="17"/>
        <v>7.0685775</v>
      </c>
    </row>
    <row r="349" spans="1:19">
      <c r="A349" s="9">
        <v>42643</v>
      </c>
      <c r="B349" s="8" t="s">
        <v>73</v>
      </c>
      <c r="C349" s="8">
        <v>41</v>
      </c>
      <c r="D349" s="8" t="s">
        <v>64</v>
      </c>
      <c r="F349" s="8">
        <v>1.43</v>
      </c>
      <c r="G349" s="8"/>
      <c r="J349">
        <f>124+126+168+193</f>
        <v>611</v>
      </c>
      <c r="K349">
        <v>4</v>
      </c>
      <c r="L349">
        <v>193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4.0915920000000021</v>
      </c>
      <c r="P349">
        <f t="shared" si="16"/>
        <v>4.0915920000000021</v>
      </c>
      <c r="S349">
        <f t="shared" si="17"/>
        <v>1.6060593477499998</v>
      </c>
    </row>
    <row r="350" spans="1:19">
      <c r="A350" s="9">
        <v>42643</v>
      </c>
      <c r="B350" s="8" t="s">
        <v>73</v>
      </c>
      <c r="C350" s="8">
        <v>41</v>
      </c>
      <c r="D350" s="8" t="s">
        <v>64</v>
      </c>
      <c r="F350" s="8">
        <v>11.35</v>
      </c>
      <c r="J350">
        <f>274+283+365+383+390+465+134+335+366+413+432+464+497</f>
        <v>4801</v>
      </c>
      <c r="K350">
        <v>13</v>
      </c>
      <c r="L350">
        <v>497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242.14538500000003</v>
      </c>
      <c r="P350">
        <f t="shared" si="16"/>
        <v>242.14538500000003</v>
      </c>
      <c r="S350">
        <f t="shared" si="17"/>
        <v>101.17686944374999</v>
      </c>
    </row>
    <row r="351" spans="1:19">
      <c r="A351" s="9">
        <v>42643</v>
      </c>
      <c r="B351" s="8" t="s">
        <v>73</v>
      </c>
      <c r="C351" s="8">
        <v>41</v>
      </c>
      <c r="D351" s="8" t="s">
        <v>64</v>
      </c>
      <c r="F351" s="8">
        <v>1.94</v>
      </c>
      <c r="J351">
        <f>50+86+92+182</f>
        <v>410</v>
      </c>
      <c r="K351">
        <v>4</v>
      </c>
      <c r="L351">
        <v>182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-11.439467999999998</v>
      </c>
      <c r="P351" t="str">
        <f t="shared" si="16"/>
        <v xml:space="preserve"> </v>
      </c>
      <c r="S351">
        <f t="shared" si="17"/>
        <v>2.9559220309999996</v>
      </c>
    </row>
    <row r="352" spans="1:19">
      <c r="A352" s="9">
        <v>42643</v>
      </c>
      <c r="B352" s="8" t="s">
        <v>73</v>
      </c>
      <c r="C352" s="8">
        <v>41</v>
      </c>
      <c r="D352" s="8" t="s">
        <v>64</v>
      </c>
      <c r="F352" s="8">
        <v>1.03</v>
      </c>
      <c r="J352">
        <f>57+55+108+136+154</f>
        <v>510</v>
      </c>
      <c r="K352">
        <v>5</v>
      </c>
      <c r="L352">
        <v>154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-0.65146099999999763</v>
      </c>
      <c r="P352" t="str">
        <f t="shared" si="16"/>
        <v xml:space="preserve"> </v>
      </c>
      <c r="S352">
        <f t="shared" si="17"/>
        <v>0.83322820774999995</v>
      </c>
    </row>
    <row r="353" spans="1:19">
      <c r="A353" s="9">
        <v>42643</v>
      </c>
      <c r="B353" s="8" t="s">
        <v>73</v>
      </c>
      <c r="C353" s="8">
        <v>41</v>
      </c>
      <c r="D353" s="8" t="s">
        <v>64</v>
      </c>
      <c r="F353" s="8">
        <v>0.76</v>
      </c>
      <c r="J353">
        <f>73+96+110</f>
        <v>279</v>
      </c>
      <c r="K353">
        <v>3</v>
      </c>
      <c r="L353">
        <v>110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4.9906199999999998</v>
      </c>
      <c r="P353">
        <f t="shared" si="16"/>
        <v>4.9906199999999998</v>
      </c>
      <c r="S353">
        <f t="shared" si="17"/>
        <v>0.45364559599999998</v>
      </c>
    </row>
    <row r="354" spans="1:19">
      <c r="A354" s="9">
        <v>42643</v>
      </c>
      <c r="B354" s="8" t="s">
        <v>73</v>
      </c>
      <c r="C354" s="8">
        <v>38</v>
      </c>
      <c r="D354" s="8" t="s">
        <v>65</v>
      </c>
      <c r="E354">
        <v>284</v>
      </c>
      <c r="F354" s="8">
        <v>2.34</v>
      </c>
      <c r="G354" s="8"/>
      <c r="H354">
        <v>34</v>
      </c>
      <c r="I354" s="8">
        <v>2.7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112.00177898000001</v>
      </c>
      <c r="P354">
        <f t="shared" si="16"/>
        <v>112.00177898000001</v>
      </c>
      <c r="S354">
        <f t="shared" si="17"/>
        <v>4.3005225509999994</v>
      </c>
    </row>
    <row r="355" spans="1:19">
      <c r="A355" s="9">
        <v>42643</v>
      </c>
      <c r="B355" s="8" t="s">
        <v>73</v>
      </c>
      <c r="C355" s="8">
        <v>38</v>
      </c>
      <c r="D355" s="8" t="s">
        <v>65</v>
      </c>
      <c r="E355">
        <v>392</v>
      </c>
      <c r="F355" s="8">
        <v>2.35</v>
      </c>
      <c r="G355" s="8"/>
      <c r="H355">
        <v>36</v>
      </c>
      <c r="I355" s="8">
        <v>2.8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148.62190794999998</v>
      </c>
      <c r="P355">
        <f t="shared" si="16"/>
        <v>148.62190794999998</v>
      </c>
      <c r="S355">
        <f t="shared" si="17"/>
        <v>4.3373576937500005</v>
      </c>
    </row>
    <row r="356" spans="1:19">
      <c r="A356" s="9">
        <v>42643</v>
      </c>
      <c r="B356" s="8" t="s">
        <v>73</v>
      </c>
      <c r="C356" s="8">
        <v>38</v>
      </c>
      <c r="D356" s="8" t="s">
        <v>65</v>
      </c>
      <c r="E356">
        <v>378</v>
      </c>
      <c r="F356" s="8">
        <v>2.2200000000000002</v>
      </c>
      <c r="H356">
        <v>35</v>
      </c>
      <c r="I356" s="8">
        <v>2.9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142.68067554000001</v>
      </c>
      <c r="P356">
        <f t="shared" si="16"/>
        <v>142.68067554000001</v>
      </c>
      <c r="S356">
        <f t="shared" si="17"/>
        <v>3.8707530390000007</v>
      </c>
    </row>
    <row r="357" spans="1:19">
      <c r="A357" s="9">
        <v>42643</v>
      </c>
      <c r="B357" s="8" t="s">
        <v>73</v>
      </c>
      <c r="C357" s="8">
        <v>38</v>
      </c>
      <c r="D357" s="8" t="s">
        <v>65</v>
      </c>
      <c r="E357">
        <v>296</v>
      </c>
      <c r="F357" s="8">
        <v>1.91</v>
      </c>
      <c r="H357">
        <v>24</v>
      </c>
      <c r="I357" s="8">
        <v>2.39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92.645631589999994</v>
      </c>
      <c r="P357">
        <f t="shared" si="16"/>
        <v>92.645631589999994</v>
      </c>
      <c r="S357">
        <f t="shared" si="17"/>
        <v>2.8652086197499997</v>
      </c>
    </row>
    <row r="358" spans="1:19">
      <c r="A358" s="9">
        <v>42643</v>
      </c>
      <c r="B358" s="8" t="s">
        <v>73</v>
      </c>
      <c r="C358" s="8">
        <v>38</v>
      </c>
      <c r="D358" s="8" t="s">
        <v>65</v>
      </c>
      <c r="E358">
        <v>192</v>
      </c>
      <c r="F358" s="8">
        <v>1.7</v>
      </c>
      <c r="G358" s="8"/>
      <c r="H358">
        <v>26</v>
      </c>
      <c r="I358" s="8">
        <v>2.2999999999999998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57.284080900000021</v>
      </c>
      <c r="P358">
        <f t="shared" si="16"/>
        <v>57.284080900000021</v>
      </c>
      <c r="S358">
        <f t="shared" si="17"/>
        <v>2.2697987749999995</v>
      </c>
    </row>
    <row r="359" spans="1:19">
      <c r="A359" s="9">
        <v>42643</v>
      </c>
      <c r="B359" s="8" t="s">
        <v>73</v>
      </c>
      <c r="C359" s="8">
        <v>38</v>
      </c>
      <c r="D359" s="8" t="s">
        <v>64</v>
      </c>
      <c r="F359" s="8">
        <v>0.86</v>
      </c>
      <c r="G359" s="8"/>
      <c r="J359">
        <f>179+176</f>
        <v>355</v>
      </c>
      <c r="K359">
        <v>2</v>
      </c>
      <c r="L359">
        <v>179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-1.6475519999999975</v>
      </c>
      <c r="P359" t="str">
        <f t="shared" si="16"/>
        <v xml:space="preserve"> </v>
      </c>
      <c r="S359">
        <f t="shared" si="17"/>
        <v>0.58087999099999987</v>
      </c>
    </row>
    <row r="360" spans="1:19">
      <c r="A360" s="9">
        <v>42643</v>
      </c>
      <c r="B360" s="8" t="s">
        <v>73</v>
      </c>
      <c r="C360" s="8">
        <v>38</v>
      </c>
      <c r="D360" s="8" t="s">
        <v>64</v>
      </c>
      <c r="F360" s="8">
        <v>2.42</v>
      </c>
      <c r="G360" s="8"/>
      <c r="J360">
        <f>55+95+124+146+144+172</f>
        <v>736</v>
      </c>
      <c r="K360">
        <v>6</v>
      </c>
      <c r="L360">
        <v>172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8.092406000000004</v>
      </c>
      <c r="P360">
        <f t="shared" si="16"/>
        <v>8.092406000000004</v>
      </c>
      <c r="S360">
        <f t="shared" si="17"/>
        <v>4.5996019189999995</v>
      </c>
    </row>
    <row r="361" spans="1:19">
      <c r="A361" s="9">
        <v>42643</v>
      </c>
      <c r="B361" s="8" t="s">
        <v>73</v>
      </c>
      <c r="C361" s="8">
        <v>38</v>
      </c>
      <c r="D361" s="8" t="s">
        <v>64</v>
      </c>
      <c r="F361" s="8">
        <v>6.75</v>
      </c>
      <c r="J361">
        <f>254+291+286+289+294+297+306+312</f>
        <v>2329</v>
      </c>
      <c r="K361">
        <v>8</v>
      </c>
      <c r="L361">
        <v>312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101.22511500000002</v>
      </c>
      <c r="P361">
        <f t="shared" si="16"/>
        <v>101.22511500000002</v>
      </c>
      <c r="S361">
        <f t="shared" si="17"/>
        <v>35.78467359375</v>
      </c>
    </row>
    <row r="362" spans="1:19">
      <c r="A362" s="9">
        <v>42643</v>
      </c>
      <c r="B362" s="8" t="s">
        <v>73</v>
      </c>
      <c r="C362" s="8">
        <v>38</v>
      </c>
      <c r="D362" s="8" t="s">
        <v>64</v>
      </c>
      <c r="E362">
        <v>375</v>
      </c>
      <c r="F362" s="8">
        <v>1.72</v>
      </c>
      <c r="G362" s="8"/>
      <c r="H362">
        <v>23</v>
      </c>
      <c r="I362" s="8">
        <v>3.1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124.46996964000002</v>
      </c>
      <c r="P362">
        <f t="shared" si="16"/>
        <v>124.46996964000002</v>
      </c>
      <c r="S362">
        <f t="shared" si="17"/>
        <v>2.3235199639999995</v>
      </c>
    </row>
    <row r="363" spans="1:19">
      <c r="A363" s="9">
        <v>42643</v>
      </c>
      <c r="B363" s="8" t="s">
        <v>73</v>
      </c>
      <c r="C363" s="8">
        <v>38</v>
      </c>
      <c r="D363" s="8" t="s">
        <v>64</v>
      </c>
      <c r="F363" s="8">
        <v>2.78</v>
      </c>
      <c r="J363">
        <f>89+133+138+182+194+206</f>
        <v>942</v>
      </c>
      <c r="K363">
        <v>6</v>
      </c>
      <c r="L363">
        <v>206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17.163606000000001</v>
      </c>
      <c r="P363">
        <f t="shared" si="16"/>
        <v>17.163606000000001</v>
      </c>
      <c r="S363">
        <f t="shared" si="17"/>
        <v>6.069866038999999</v>
      </c>
    </row>
    <row r="364" spans="1:19">
      <c r="A364" s="9">
        <v>42643</v>
      </c>
      <c r="B364" s="8" t="s">
        <v>73</v>
      </c>
      <c r="C364" s="8">
        <v>38</v>
      </c>
      <c r="D364" s="8" t="s">
        <v>64</v>
      </c>
      <c r="F364" s="8">
        <v>3.36</v>
      </c>
      <c r="G364" s="8"/>
      <c r="I364" s="8"/>
      <c r="J364">
        <f>92+154+205+212+251+275+296</f>
        <v>1485</v>
      </c>
      <c r="K364">
        <v>7</v>
      </c>
      <c r="L364">
        <v>296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33.938168000000012</v>
      </c>
      <c r="P364">
        <f t="shared" si="16"/>
        <v>33.938168000000012</v>
      </c>
      <c r="S364">
        <f t="shared" si="17"/>
        <v>8.8668236159999978</v>
      </c>
    </row>
    <row r="365" spans="1:19">
      <c r="A365" s="9">
        <v>42643</v>
      </c>
      <c r="B365" s="8" t="s">
        <v>73</v>
      </c>
      <c r="C365" s="8">
        <v>28</v>
      </c>
      <c r="D365" s="8" t="s">
        <v>64</v>
      </c>
      <c r="F365" s="8">
        <v>3.68</v>
      </c>
      <c r="J365">
        <f>76+123+157+165+184+194+198</f>
        <v>1097</v>
      </c>
      <c r="K365">
        <v>7</v>
      </c>
      <c r="L365">
        <v>198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27.083238000000009</v>
      </c>
      <c r="P365">
        <f t="shared" si="16"/>
        <v>27.083238000000009</v>
      </c>
      <c r="S365">
        <f t="shared" si="17"/>
        <v>10.636167104</v>
      </c>
    </row>
    <row r="366" spans="1:19">
      <c r="A366" s="9">
        <v>42643</v>
      </c>
      <c r="B366" s="8" t="s">
        <v>73</v>
      </c>
      <c r="C366" s="8">
        <v>28</v>
      </c>
      <c r="D366" s="8" t="s">
        <v>64</v>
      </c>
      <c r="F366" s="8">
        <v>7.23</v>
      </c>
      <c r="G366" s="8"/>
      <c r="I366" s="8"/>
      <c r="J366">
        <f>140+187+200+221+224+225+225</f>
        <v>1422</v>
      </c>
      <c r="K366">
        <v>7</v>
      </c>
      <c r="L366">
        <v>225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49.419998000000014</v>
      </c>
      <c r="P366">
        <f t="shared" si="16"/>
        <v>49.419998000000014</v>
      </c>
      <c r="S366">
        <f t="shared" si="17"/>
        <v>41.055004977750002</v>
      </c>
    </row>
    <row r="367" spans="1:19">
      <c r="A367" s="9">
        <v>42643</v>
      </c>
      <c r="B367" s="8" t="s">
        <v>73</v>
      </c>
      <c r="C367" s="8">
        <v>28</v>
      </c>
      <c r="D367" s="8" t="s">
        <v>64</v>
      </c>
      <c r="F367" s="8">
        <v>2.63</v>
      </c>
      <c r="J367">
        <f>110+133+158+185+191+201</f>
        <v>978</v>
      </c>
      <c r="K367">
        <v>6</v>
      </c>
      <c r="L367">
        <v>201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22.045011000000002</v>
      </c>
      <c r="P367">
        <f t="shared" si="16"/>
        <v>22.045011000000002</v>
      </c>
      <c r="S367">
        <f t="shared" si="17"/>
        <v>5.4325159677499988</v>
      </c>
    </row>
    <row r="368" spans="1:19">
      <c r="A368" s="9">
        <v>42643</v>
      </c>
      <c r="B368" s="8" t="s">
        <v>73</v>
      </c>
      <c r="C368" s="8">
        <v>28</v>
      </c>
      <c r="D368" s="8" t="s">
        <v>64</v>
      </c>
      <c r="F368" s="8">
        <v>8.0299999999999994</v>
      </c>
      <c r="G368" s="8"/>
      <c r="J368">
        <f>180+240+281+317+338+341+341+343+347</f>
        <v>2728</v>
      </c>
      <c r="K368">
        <v>9</v>
      </c>
      <c r="L368">
        <v>347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121.067432</v>
      </c>
      <c r="P368">
        <f t="shared" si="16"/>
        <v>121.067432</v>
      </c>
      <c r="S368">
        <f t="shared" si="17"/>
        <v>50.643137657749989</v>
      </c>
    </row>
    <row r="369" spans="1:19">
      <c r="A369" s="9">
        <v>42643</v>
      </c>
      <c r="B369" s="8" t="s">
        <v>73</v>
      </c>
      <c r="C369" s="8">
        <v>28</v>
      </c>
      <c r="D369" s="8" t="s">
        <v>64</v>
      </c>
      <c r="F369" s="8">
        <v>4.71</v>
      </c>
      <c r="J369">
        <f>120+148+176+178+201+213+222+223</f>
        <v>1481</v>
      </c>
      <c r="K369">
        <v>8</v>
      </c>
      <c r="L369">
        <v>223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48.531680000000016</v>
      </c>
      <c r="P369">
        <f t="shared" si="16"/>
        <v>48.531680000000016</v>
      </c>
      <c r="S369">
        <f t="shared" si="17"/>
        <v>17.423336679750001</v>
      </c>
    </row>
    <row r="370" spans="1:19">
      <c r="A370" s="9">
        <v>42643</v>
      </c>
      <c r="B370" s="8" t="s">
        <v>73</v>
      </c>
      <c r="C370" s="8">
        <v>28</v>
      </c>
      <c r="D370" s="8" t="s">
        <v>64</v>
      </c>
      <c r="F370" s="8">
        <v>2.83</v>
      </c>
      <c r="G370" s="8"/>
      <c r="J370">
        <f>49+52+73+120</f>
        <v>294</v>
      </c>
      <c r="K370">
        <v>4</v>
      </c>
      <c r="L370">
        <v>120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-3.6378580000000014</v>
      </c>
      <c r="P370" t="str">
        <f t="shared" si="16"/>
        <v xml:space="preserve"> </v>
      </c>
      <c r="S370">
        <f t="shared" si="17"/>
        <v>6.2901700377500003</v>
      </c>
    </row>
    <row r="371" spans="1:19">
      <c r="A371" s="9">
        <v>42643</v>
      </c>
      <c r="B371" s="8" t="s">
        <v>73</v>
      </c>
      <c r="C371" s="8">
        <v>26</v>
      </c>
      <c r="D371" s="8" t="s">
        <v>65</v>
      </c>
      <c r="E371">
        <v>371</v>
      </c>
      <c r="F371" s="8">
        <v>4.24</v>
      </c>
      <c r="G371" s="8"/>
      <c r="H371">
        <v>31</v>
      </c>
      <c r="I371" s="8">
        <v>2.9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175.74389167999999</v>
      </c>
      <c r="P371">
        <f t="shared" si="16"/>
        <v>175.74389167999999</v>
      </c>
      <c r="S371">
        <f t="shared" si="17"/>
        <v>14.119562096000001</v>
      </c>
    </row>
    <row r="372" spans="1:19">
      <c r="A372" s="9">
        <v>42643</v>
      </c>
      <c r="B372" s="8" t="s">
        <v>73</v>
      </c>
      <c r="C372" s="8">
        <v>26</v>
      </c>
      <c r="D372" s="8" t="s">
        <v>65</v>
      </c>
      <c r="E372">
        <v>221</v>
      </c>
      <c r="F372" s="8">
        <v>1.76</v>
      </c>
      <c r="G372" s="8"/>
      <c r="H372">
        <v>25</v>
      </c>
      <c r="I372" s="8">
        <v>1.1000000000000001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45.35155192000002</v>
      </c>
      <c r="P372">
        <f t="shared" si="16"/>
        <v>45.35155192000002</v>
      </c>
      <c r="S372">
        <f t="shared" si="17"/>
        <v>2.4328472959999998</v>
      </c>
    </row>
    <row r="373" spans="1:19">
      <c r="A373" s="9">
        <v>42643</v>
      </c>
      <c r="B373" s="8" t="s">
        <v>73</v>
      </c>
      <c r="C373" s="8">
        <v>26</v>
      </c>
      <c r="D373" s="8" t="s">
        <v>64</v>
      </c>
      <c r="F373" s="8">
        <v>3.52</v>
      </c>
      <c r="G373" s="8"/>
      <c r="J373">
        <f>199+252+288+287+289+301+325</f>
        <v>1941</v>
      </c>
      <c r="K373">
        <v>7</v>
      </c>
      <c r="L373">
        <v>325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67.954342999999994</v>
      </c>
      <c r="P373">
        <f t="shared" si="16"/>
        <v>67.954342999999994</v>
      </c>
      <c r="S373">
        <f t="shared" si="17"/>
        <v>9.7313891839999993</v>
      </c>
    </row>
    <row r="374" spans="1:19">
      <c r="A374" s="9">
        <v>42643</v>
      </c>
      <c r="B374" s="8" t="s">
        <v>73</v>
      </c>
      <c r="C374" s="8">
        <v>26</v>
      </c>
      <c r="D374" s="8" t="s">
        <v>64</v>
      </c>
      <c r="F374" s="8">
        <v>3.12</v>
      </c>
      <c r="G374" s="8"/>
      <c r="J374">
        <f>115+141+186+231+252+282</f>
        <v>1207</v>
      </c>
      <c r="K374">
        <v>6</v>
      </c>
      <c r="L374">
        <v>282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19.114061000000014</v>
      </c>
      <c r="P374">
        <f t="shared" si="16"/>
        <v>19.114061000000014</v>
      </c>
      <c r="S374">
        <f t="shared" si="17"/>
        <v>7.6453734240000006</v>
      </c>
    </row>
    <row r="375" spans="1:19">
      <c r="A375" s="9">
        <v>42643</v>
      </c>
      <c r="B375" s="8" t="s">
        <v>73</v>
      </c>
      <c r="C375" s="8">
        <v>26</v>
      </c>
      <c r="D375" s="8" t="s">
        <v>64</v>
      </c>
      <c r="F375" s="8">
        <v>3.37</v>
      </c>
      <c r="J375">
        <f>315+324+334+350+349</f>
        <v>1672</v>
      </c>
      <c r="K375">
        <v>5</v>
      </c>
      <c r="L375">
        <v>350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49.247829000000017</v>
      </c>
      <c r="P375">
        <f t="shared" si="16"/>
        <v>49.247829000000017</v>
      </c>
      <c r="S375">
        <f t="shared" si="17"/>
        <v>8.9196808677500012</v>
      </c>
    </row>
    <row r="376" spans="1:19">
      <c r="A376" s="9">
        <v>42643</v>
      </c>
      <c r="B376" s="8" t="s">
        <v>73</v>
      </c>
      <c r="C376" s="8">
        <v>26</v>
      </c>
      <c r="D376" s="8" t="s">
        <v>64</v>
      </c>
      <c r="F376" s="8">
        <v>7</v>
      </c>
      <c r="G376" s="8"/>
      <c r="J376">
        <f>183+220+246+276+283+298+312+316</f>
        <v>2134</v>
      </c>
      <c r="K376">
        <v>8</v>
      </c>
      <c r="L376">
        <v>316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81.737910000000028</v>
      </c>
      <c r="P376">
        <f t="shared" si="16"/>
        <v>81.737910000000028</v>
      </c>
      <c r="S376">
        <f t="shared" si="17"/>
        <v>38.484477499999997</v>
      </c>
    </row>
    <row r="377" spans="1:19">
      <c r="A377" s="9">
        <v>42643</v>
      </c>
      <c r="B377" s="8" t="s">
        <v>73</v>
      </c>
      <c r="C377" s="8">
        <v>26</v>
      </c>
      <c r="D377" s="8" t="s">
        <v>64</v>
      </c>
      <c r="F377" s="8">
        <v>3.97</v>
      </c>
      <c r="G377" s="8"/>
      <c r="J377">
        <f>112+227+265+277+313+338+355+361</f>
        <v>2248</v>
      </c>
      <c r="K377">
        <v>8</v>
      </c>
      <c r="L377">
        <v>361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78.869955000000033</v>
      </c>
      <c r="P377">
        <f t="shared" si="16"/>
        <v>78.869955000000033</v>
      </c>
      <c r="S377">
        <f t="shared" si="17"/>
        <v>12.378571457750001</v>
      </c>
    </row>
    <row r="378" spans="1:19">
      <c r="A378" s="9">
        <v>42643</v>
      </c>
      <c r="B378" s="8" t="s">
        <v>73</v>
      </c>
      <c r="C378" s="8">
        <v>26</v>
      </c>
      <c r="D378" s="8" t="s">
        <v>64</v>
      </c>
      <c r="F378" s="8">
        <v>0.98</v>
      </c>
      <c r="G378" s="8"/>
      <c r="J378">
        <f>198+199</f>
        <v>397</v>
      </c>
      <c r="K378">
        <v>2</v>
      </c>
      <c r="L378">
        <v>199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-3.73474199999999</v>
      </c>
      <c r="P378" t="str">
        <f t="shared" si="16"/>
        <v xml:space="preserve"> </v>
      </c>
      <c r="S378">
        <f t="shared" si="17"/>
        <v>0.7542957589999999</v>
      </c>
    </row>
    <row r="379" spans="1:19">
      <c r="A379" s="9">
        <v>42643</v>
      </c>
      <c r="B379" s="8" t="s">
        <v>73</v>
      </c>
      <c r="C379" s="8">
        <v>26</v>
      </c>
      <c r="D379" s="8" t="s">
        <v>64</v>
      </c>
      <c r="F379" s="8">
        <v>4.51</v>
      </c>
      <c r="J379">
        <f>330+334+365+383+389+389</f>
        <v>2190</v>
      </c>
      <c r="K379">
        <v>6</v>
      </c>
      <c r="L379">
        <v>389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79.042011000000002</v>
      </c>
      <c r="P379">
        <f t="shared" si="16"/>
        <v>79.042011000000002</v>
      </c>
      <c r="S379">
        <f t="shared" si="17"/>
        <v>15.97506368975</v>
      </c>
    </row>
    <row r="380" spans="1:19">
      <c r="A380" s="9">
        <v>42643</v>
      </c>
      <c r="B380" s="8" t="s">
        <v>73</v>
      </c>
      <c r="C380" s="8">
        <v>26</v>
      </c>
      <c r="D380" s="8" t="s">
        <v>64</v>
      </c>
      <c r="F380" s="8">
        <v>4.2</v>
      </c>
      <c r="G380" s="8"/>
      <c r="J380">
        <f>245+268+308+320+326+326</f>
        <v>1793</v>
      </c>
      <c r="K380">
        <v>6</v>
      </c>
      <c r="L380">
        <v>326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60.799711000000023</v>
      </c>
      <c r="P380">
        <f t="shared" si="16"/>
        <v>60.799711000000023</v>
      </c>
      <c r="S380">
        <f t="shared" si="17"/>
        <v>13.854411900000001</v>
      </c>
    </row>
    <row r="381" spans="1:19">
      <c r="A381" s="9">
        <v>42643</v>
      </c>
      <c r="B381" s="8" t="s">
        <v>73</v>
      </c>
      <c r="C381" s="8">
        <v>6</v>
      </c>
      <c r="D381" s="8"/>
      <c r="F381" s="8"/>
      <c r="G381" s="8"/>
      <c r="M381" t="s">
        <v>74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0</v>
      </c>
      <c r="P381">
        <f t="shared" si="16"/>
        <v>0</v>
      </c>
      <c r="S381">
        <f t="shared" si="17"/>
        <v>0</v>
      </c>
    </row>
    <row r="382" spans="1:19">
      <c r="A382" s="9">
        <v>42643</v>
      </c>
      <c r="B382" s="8" t="s">
        <v>75</v>
      </c>
      <c r="C382" s="8">
        <v>48</v>
      </c>
      <c r="D382" s="8" t="s">
        <v>67</v>
      </c>
      <c r="E382">
        <v>411</v>
      </c>
      <c r="F382" s="8">
        <v>1.66</v>
      </c>
      <c r="I382" s="8"/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24.222558000000003</v>
      </c>
      <c r="P382">
        <f t="shared" si="16"/>
        <v>24.222558000000003</v>
      </c>
      <c r="S382">
        <f t="shared" si="17"/>
        <v>2.1642413509999998</v>
      </c>
    </row>
    <row r="383" spans="1:19">
      <c r="A383" s="9">
        <v>42643</v>
      </c>
      <c r="B383" s="8" t="s">
        <v>75</v>
      </c>
      <c r="C383" s="8">
        <v>48</v>
      </c>
      <c r="D383" s="8" t="s">
        <v>67</v>
      </c>
      <c r="E383">
        <v>278</v>
      </c>
      <c r="F383" s="8">
        <v>1.58</v>
      </c>
      <c r="G383" s="8"/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14.898593000000002</v>
      </c>
      <c r="P383">
        <f t="shared" si="16"/>
        <v>14.898593000000002</v>
      </c>
      <c r="S383">
        <f t="shared" si="17"/>
        <v>1.9606663190000002</v>
      </c>
    </row>
    <row r="384" spans="1:19">
      <c r="A384" s="9">
        <v>42643</v>
      </c>
      <c r="B384" s="8" t="s">
        <v>75</v>
      </c>
      <c r="C384" s="8">
        <v>48</v>
      </c>
      <c r="D384" s="8" t="s">
        <v>67</v>
      </c>
      <c r="E384">
        <v>280</v>
      </c>
      <c r="F384" s="8">
        <v>2</v>
      </c>
      <c r="G384" s="8"/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15.038803000000001</v>
      </c>
      <c r="P384">
        <f t="shared" si="16"/>
        <v>15.038803000000001</v>
      </c>
      <c r="S384">
        <f t="shared" si="17"/>
        <v>3.1415899999999999</v>
      </c>
    </row>
    <row r="385" spans="1:19">
      <c r="A385" s="9">
        <v>42643</v>
      </c>
      <c r="B385" s="8" t="s">
        <v>75</v>
      </c>
      <c r="C385" s="8">
        <v>48</v>
      </c>
      <c r="D385" s="8" t="s">
        <v>69</v>
      </c>
      <c r="E385">
        <v>420</v>
      </c>
      <c r="F385" s="8">
        <v>1.84</v>
      </c>
      <c r="G385" s="8"/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24.853503</v>
      </c>
      <c r="P385">
        <f t="shared" si="16"/>
        <v>24.853503</v>
      </c>
      <c r="S385">
        <f t="shared" si="17"/>
        <v>2.659041776</v>
      </c>
    </row>
    <row r="386" spans="1:19">
      <c r="A386" s="9">
        <v>42643</v>
      </c>
      <c r="B386" s="8" t="s">
        <v>75</v>
      </c>
      <c r="C386" s="8">
        <v>48</v>
      </c>
      <c r="D386" s="8" t="s">
        <v>69</v>
      </c>
      <c r="E386">
        <v>343</v>
      </c>
      <c r="F386" s="8">
        <v>1.73</v>
      </c>
      <c r="G386" s="8"/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19.455418000000002</v>
      </c>
      <c r="P386">
        <f t="shared" si="16"/>
        <v>19.455418000000002</v>
      </c>
      <c r="S386">
        <f t="shared" si="17"/>
        <v>2.3506161777500001</v>
      </c>
    </row>
    <row r="387" spans="1:19">
      <c r="A387" s="9">
        <v>42643</v>
      </c>
      <c r="B387" s="8" t="s">
        <v>75</v>
      </c>
      <c r="C387" s="8">
        <v>48</v>
      </c>
      <c r="D387" s="8" t="s">
        <v>69</v>
      </c>
      <c r="E387">
        <v>116</v>
      </c>
      <c r="F387" s="8">
        <v>1.85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3.5415830000000001</v>
      </c>
      <c r="P387">
        <f t="shared" si="16"/>
        <v>3.5415830000000001</v>
      </c>
      <c r="S387">
        <f t="shared" si="17"/>
        <v>2.6880229437500001</v>
      </c>
    </row>
    <row r="388" spans="1:19">
      <c r="A388" s="9">
        <v>42643</v>
      </c>
      <c r="B388" s="8" t="s">
        <v>75</v>
      </c>
      <c r="C388" s="8">
        <v>48</v>
      </c>
      <c r="D388" s="8" t="s">
        <v>69</v>
      </c>
      <c r="E388">
        <v>363</v>
      </c>
      <c r="F388" s="8">
        <v>1.17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20.857518000000002</v>
      </c>
      <c r="P388">
        <f t="shared" si="16"/>
        <v>20.857518000000002</v>
      </c>
      <c r="S388">
        <f t="shared" si="17"/>
        <v>1.0751306377499998</v>
      </c>
    </row>
    <row r="389" spans="1:19">
      <c r="A389" s="9">
        <v>42643</v>
      </c>
      <c r="B389" s="8" t="s">
        <v>75</v>
      </c>
      <c r="C389" s="8">
        <v>48</v>
      </c>
      <c r="D389" s="8" t="s">
        <v>69</v>
      </c>
      <c r="E389">
        <v>376</v>
      </c>
      <c r="F389" s="8">
        <v>1.76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21.768883000000002</v>
      </c>
      <c r="P389">
        <f t="shared" si="16"/>
        <v>21.768883000000002</v>
      </c>
      <c r="S389">
        <f t="shared" si="17"/>
        <v>2.4328472959999998</v>
      </c>
    </row>
    <row r="390" spans="1:19">
      <c r="A390" s="9">
        <v>42643</v>
      </c>
      <c r="B390" s="8" t="s">
        <v>75</v>
      </c>
      <c r="C390" s="8">
        <v>48</v>
      </c>
      <c r="D390" s="8" t="s">
        <v>69</v>
      </c>
      <c r="E390">
        <v>371</v>
      </c>
      <c r="F390" s="8">
        <v>2.2999999999999998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21.418358000000001</v>
      </c>
      <c r="P390">
        <f t="shared" si="16"/>
        <v>21.418358000000001</v>
      </c>
      <c r="S390">
        <f t="shared" si="17"/>
        <v>4.1547527749999995</v>
      </c>
    </row>
    <row r="391" spans="1:19">
      <c r="A391" s="9">
        <v>42643</v>
      </c>
      <c r="B391" s="8" t="s">
        <v>75</v>
      </c>
      <c r="C391" s="8">
        <v>48</v>
      </c>
      <c r="D391" s="8" t="s">
        <v>69</v>
      </c>
      <c r="E391">
        <v>165</v>
      </c>
      <c r="F391" s="8">
        <v>1.1399999999999999</v>
      </c>
      <c r="H391" s="8"/>
      <c r="I391" s="8"/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6.9767280000000005</v>
      </c>
      <c r="P391">
        <f t="shared" si="16"/>
        <v>6.9767280000000005</v>
      </c>
      <c r="S391">
        <f t="shared" si="17"/>
        <v>1.0207025909999998</v>
      </c>
    </row>
    <row r="392" spans="1:19">
      <c r="A392" s="9">
        <v>42643</v>
      </c>
      <c r="B392" s="8" t="s">
        <v>75</v>
      </c>
      <c r="C392" s="8">
        <v>48</v>
      </c>
      <c r="D392" s="8" t="s">
        <v>64</v>
      </c>
      <c r="F392" s="8">
        <v>6.82</v>
      </c>
      <c r="G392" s="8"/>
      <c r="J392">
        <f>350+365+388+391+406+409</f>
        <v>2309</v>
      </c>
      <c r="K392">
        <v>6</v>
      </c>
      <c r="L392">
        <v>409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84.173956000000004</v>
      </c>
      <c r="P392">
        <f t="shared" ref="P392:P455" si="18">IF(O392&lt;0," ",O392)</f>
        <v>84.173956000000004</v>
      </c>
      <c r="S392">
        <f t="shared" ref="S392:S455" si="19">3.14159*((F392/2)^2)</f>
        <v>36.530722679000007</v>
      </c>
    </row>
    <row r="393" spans="1:19">
      <c r="A393" s="9">
        <v>42643</v>
      </c>
      <c r="B393" s="8" t="s">
        <v>75</v>
      </c>
      <c r="C393" s="8">
        <v>48</v>
      </c>
      <c r="D393" s="8" t="s">
        <v>64</v>
      </c>
      <c r="F393" s="8">
        <v>7.28</v>
      </c>
      <c r="G393" s="8"/>
      <c r="J393">
        <f>331+329+333+342+344+343+350+358</f>
        <v>2730</v>
      </c>
      <c r="K393">
        <v>8</v>
      </c>
      <c r="L393">
        <v>358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124.96360000000001</v>
      </c>
      <c r="P393">
        <f t="shared" si="18"/>
        <v>124.96360000000001</v>
      </c>
      <c r="S393">
        <f t="shared" si="19"/>
        <v>41.624810864000004</v>
      </c>
    </row>
    <row r="394" spans="1:19">
      <c r="A394" s="9">
        <v>42643</v>
      </c>
      <c r="B394" s="8" t="s">
        <v>75</v>
      </c>
      <c r="C394" s="8">
        <v>48</v>
      </c>
      <c r="D394" s="8" t="s">
        <v>64</v>
      </c>
      <c r="F394" s="8">
        <v>2.12</v>
      </c>
      <c r="J394">
        <f>74+74</f>
        <v>148</v>
      </c>
      <c r="K394">
        <v>2</v>
      </c>
      <c r="L394">
        <v>74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10.575887999999999</v>
      </c>
      <c r="P394">
        <f t="shared" si="18"/>
        <v>10.575887999999999</v>
      </c>
      <c r="S394">
        <f t="shared" si="19"/>
        <v>3.5298905240000003</v>
      </c>
    </row>
    <row r="395" spans="1:19">
      <c r="A395" s="9">
        <v>42643</v>
      </c>
      <c r="B395" s="8" t="s">
        <v>75</v>
      </c>
      <c r="C395" s="8">
        <v>48</v>
      </c>
      <c r="D395" s="8" t="s">
        <v>64</v>
      </c>
      <c r="F395" s="8">
        <v>4.58</v>
      </c>
      <c r="G395" s="8"/>
      <c r="I395" s="8"/>
      <c r="J395">
        <f>234+311+344+345</f>
        <v>1234</v>
      </c>
      <c r="K395">
        <v>4</v>
      </c>
      <c r="L395">
        <v>345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16.711717000000014</v>
      </c>
      <c r="P395">
        <f t="shared" si="18"/>
        <v>16.711717000000014</v>
      </c>
      <c r="S395">
        <f t="shared" si="19"/>
        <v>16.474812118999999</v>
      </c>
    </row>
    <row r="396" spans="1:19">
      <c r="A396" s="9">
        <v>42643</v>
      </c>
      <c r="B396" s="8" t="s">
        <v>75</v>
      </c>
      <c r="C396" s="8">
        <v>48</v>
      </c>
      <c r="D396" s="8" t="s">
        <v>64</v>
      </c>
      <c r="F396" s="8">
        <v>4.22</v>
      </c>
      <c r="J396">
        <f>338+346+385+394+421</f>
        <v>1884</v>
      </c>
      <c r="K396">
        <v>5</v>
      </c>
      <c r="L396">
        <v>421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47.735494000000024</v>
      </c>
      <c r="P396">
        <f t="shared" si="18"/>
        <v>47.735494000000024</v>
      </c>
      <c r="S396">
        <f t="shared" si="19"/>
        <v>13.986672838999999</v>
      </c>
    </row>
    <row r="397" spans="1:19">
      <c r="A397" s="9">
        <v>42643</v>
      </c>
      <c r="B397" s="8" t="s">
        <v>75</v>
      </c>
      <c r="C397" s="8">
        <v>48</v>
      </c>
      <c r="D397" s="8" t="s">
        <v>64</v>
      </c>
      <c r="F397" s="8">
        <v>0.66</v>
      </c>
      <c r="G397" s="8"/>
      <c r="J397">
        <f>46+68+67</f>
        <v>181</v>
      </c>
      <c r="K397">
        <v>3</v>
      </c>
      <c r="L397">
        <v>68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8.4549199999999978</v>
      </c>
      <c r="P397">
        <f t="shared" si="18"/>
        <v>8.4549199999999978</v>
      </c>
      <c r="S397">
        <f t="shared" si="19"/>
        <v>0.34211915100000001</v>
      </c>
    </row>
    <row r="398" spans="1:19">
      <c r="A398" s="9">
        <v>42643</v>
      </c>
      <c r="B398" s="8" t="s">
        <v>75</v>
      </c>
      <c r="C398" s="8">
        <v>48</v>
      </c>
      <c r="D398" s="8" t="s">
        <v>64</v>
      </c>
      <c r="F398" s="8">
        <v>2.73</v>
      </c>
      <c r="J398">
        <f>326+393+406+478</f>
        <v>1603</v>
      </c>
      <c r="K398">
        <v>4</v>
      </c>
      <c r="L398">
        <v>478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11.241727000000019</v>
      </c>
      <c r="P398">
        <f t="shared" si="18"/>
        <v>11.241727000000019</v>
      </c>
      <c r="S398">
        <f t="shared" si="19"/>
        <v>5.8534890277499994</v>
      </c>
    </row>
    <row r="399" spans="1:19">
      <c r="A399" s="9">
        <v>42643</v>
      </c>
      <c r="B399" s="8" t="s">
        <v>75</v>
      </c>
      <c r="C399" s="8">
        <v>45</v>
      </c>
      <c r="D399" s="8"/>
      <c r="F399" s="8"/>
      <c r="G399" s="8"/>
      <c r="I399" s="8"/>
      <c r="M399" t="s">
        <v>76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0</v>
      </c>
      <c r="P399">
        <f t="shared" si="18"/>
        <v>0</v>
      </c>
      <c r="S399">
        <f t="shared" si="19"/>
        <v>0</v>
      </c>
    </row>
    <row r="400" spans="1:19">
      <c r="A400" s="9">
        <v>42643</v>
      </c>
      <c r="B400" s="8" t="s">
        <v>75</v>
      </c>
      <c r="C400" s="8">
        <v>33</v>
      </c>
      <c r="D400" s="8" t="s">
        <v>67</v>
      </c>
      <c r="E400">
        <v>204</v>
      </c>
      <c r="F400" s="8">
        <v>1.64</v>
      </c>
      <c r="G400" s="8"/>
      <c r="I400" s="8"/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9.7108230000000013</v>
      </c>
      <c r="P400">
        <f t="shared" si="18"/>
        <v>9.7108230000000013</v>
      </c>
      <c r="S400">
        <f t="shared" si="19"/>
        <v>2.1124051159999997</v>
      </c>
    </row>
    <row r="401" spans="1:19">
      <c r="A401" s="9">
        <v>42643</v>
      </c>
      <c r="B401" s="8" t="s">
        <v>75</v>
      </c>
      <c r="C401" s="8">
        <v>33</v>
      </c>
      <c r="D401" s="8" t="s">
        <v>67</v>
      </c>
      <c r="E401">
        <v>2.39</v>
      </c>
      <c r="F401" s="8">
        <v>1.73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-4.42304605</v>
      </c>
      <c r="P401" t="str">
        <f t="shared" si="18"/>
        <v xml:space="preserve"> </v>
      </c>
      <c r="S401">
        <f t="shared" si="19"/>
        <v>2.3506161777500001</v>
      </c>
    </row>
    <row r="402" spans="1:19">
      <c r="A402" s="9">
        <v>42643</v>
      </c>
      <c r="B402" s="8" t="s">
        <v>75</v>
      </c>
      <c r="C402" s="8">
        <v>33</v>
      </c>
      <c r="D402" s="8" t="s">
        <v>67</v>
      </c>
      <c r="E402">
        <v>285</v>
      </c>
      <c r="F402" s="8">
        <v>1.51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15.389328000000003</v>
      </c>
      <c r="P402">
        <f t="shared" si="18"/>
        <v>15.389328000000003</v>
      </c>
      <c r="S402">
        <f t="shared" si="19"/>
        <v>1.7907848397499999</v>
      </c>
    </row>
    <row r="403" spans="1:19">
      <c r="A403" s="9">
        <v>42643</v>
      </c>
      <c r="B403" s="8" t="s">
        <v>75</v>
      </c>
      <c r="C403" s="8">
        <v>33</v>
      </c>
      <c r="D403" s="8" t="s">
        <v>67</v>
      </c>
      <c r="E403">
        <v>38</v>
      </c>
      <c r="F403" s="8">
        <v>0.85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-1.9266069999999997</v>
      </c>
      <c r="P403" t="str">
        <f t="shared" si="18"/>
        <v xml:space="preserve"> </v>
      </c>
      <c r="S403">
        <f t="shared" si="19"/>
        <v>0.56744969374999987</v>
      </c>
    </row>
    <row r="404" spans="1:19">
      <c r="A404" s="9">
        <v>42643</v>
      </c>
      <c r="B404" s="8" t="s">
        <v>75</v>
      </c>
      <c r="C404" s="8">
        <v>33</v>
      </c>
      <c r="D404" s="8" t="s">
        <v>67</v>
      </c>
      <c r="E404">
        <v>72</v>
      </c>
      <c r="F404" s="8">
        <v>0.53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0.45696300000000001</v>
      </c>
      <c r="P404">
        <f t="shared" si="18"/>
        <v>0.45696300000000001</v>
      </c>
      <c r="S404">
        <f t="shared" si="19"/>
        <v>0.22061815775000002</v>
      </c>
    </row>
    <row r="405" spans="1:19">
      <c r="A405" s="9">
        <v>42643</v>
      </c>
      <c r="B405" s="8" t="s">
        <v>75</v>
      </c>
      <c r="C405" s="8">
        <v>33</v>
      </c>
      <c r="D405" s="8" t="s">
        <v>67</v>
      </c>
      <c r="E405">
        <v>81</v>
      </c>
      <c r="F405" s="8">
        <v>0.73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1.0879080000000005</v>
      </c>
      <c r="P405">
        <f t="shared" si="18"/>
        <v>1.0879080000000005</v>
      </c>
      <c r="S405">
        <f t="shared" si="19"/>
        <v>0.41853832774999994</v>
      </c>
    </row>
    <row r="406" spans="1:19">
      <c r="A406" s="9">
        <v>42643</v>
      </c>
      <c r="B406" s="8" t="s">
        <v>75</v>
      </c>
      <c r="C406" s="8">
        <v>33</v>
      </c>
      <c r="D406" s="8" t="s">
        <v>67</v>
      </c>
      <c r="E406">
        <v>180</v>
      </c>
      <c r="F406" s="8">
        <v>1.5</v>
      </c>
      <c r="G406" s="8"/>
      <c r="I406" s="8"/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8.0283030000000011</v>
      </c>
      <c r="P406">
        <f t="shared" si="18"/>
        <v>8.0283030000000011</v>
      </c>
      <c r="S406">
        <f t="shared" si="19"/>
        <v>1.767144375</v>
      </c>
    </row>
    <row r="407" spans="1:19">
      <c r="A407" s="9">
        <v>42643</v>
      </c>
      <c r="B407" s="8" t="s">
        <v>75</v>
      </c>
      <c r="C407" s="8">
        <v>33</v>
      </c>
      <c r="D407" s="8" t="s">
        <v>67</v>
      </c>
      <c r="E407">
        <v>105</v>
      </c>
      <c r="F407" s="8">
        <v>1.1299999999999999</v>
      </c>
      <c r="G407" s="8"/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2.7704279999999999</v>
      </c>
      <c r="P407">
        <f t="shared" si="18"/>
        <v>2.7704279999999999</v>
      </c>
      <c r="S407">
        <f t="shared" si="19"/>
        <v>1.0028740677499997</v>
      </c>
    </row>
    <row r="408" spans="1:19">
      <c r="A408" s="9">
        <v>42643</v>
      </c>
      <c r="B408" s="8" t="s">
        <v>75</v>
      </c>
      <c r="C408" s="8">
        <v>33</v>
      </c>
      <c r="D408" s="8" t="s">
        <v>67</v>
      </c>
      <c r="E408">
        <v>54</v>
      </c>
      <c r="F408" s="8">
        <v>2.98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-0.80492699999999973</v>
      </c>
      <c r="P408" t="str">
        <f t="shared" si="18"/>
        <v xml:space="preserve"> </v>
      </c>
      <c r="S408">
        <f t="shared" si="19"/>
        <v>6.9746439589999998</v>
      </c>
    </row>
    <row r="409" spans="1:19">
      <c r="A409" s="9">
        <v>42643</v>
      </c>
      <c r="B409" s="8" t="s">
        <v>75</v>
      </c>
      <c r="C409" s="8">
        <v>33</v>
      </c>
      <c r="D409" s="8" t="s">
        <v>67</v>
      </c>
      <c r="E409">
        <v>119</v>
      </c>
      <c r="F409" s="8">
        <v>1.52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3.7518979999999997</v>
      </c>
      <c r="P409">
        <f t="shared" si="18"/>
        <v>3.7518979999999997</v>
      </c>
      <c r="S409">
        <f t="shared" si="19"/>
        <v>1.8145823839999999</v>
      </c>
    </row>
    <row r="410" spans="1:19">
      <c r="A410" s="9">
        <v>42643</v>
      </c>
      <c r="B410" s="8" t="s">
        <v>75</v>
      </c>
      <c r="C410" s="8">
        <v>33</v>
      </c>
      <c r="D410" s="8" t="s">
        <v>67</v>
      </c>
      <c r="E410">
        <v>92</v>
      </c>
      <c r="F410" s="8">
        <v>0.54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1.8590629999999999</v>
      </c>
      <c r="P410">
        <f t="shared" si="18"/>
        <v>1.8590629999999999</v>
      </c>
      <c r="S410">
        <f t="shared" si="19"/>
        <v>0.22902191100000002</v>
      </c>
    </row>
    <row r="411" spans="1:19">
      <c r="A411" s="9">
        <v>42643</v>
      </c>
      <c r="B411" s="8" t="s">
        <v>75</v>
      </c>
      <c r="C411" s="8">
        <v>33</v>
      </c>
      <c r="D411" s="8" t="s">
        <v>67</v>
      </c>
      <c r="E411">
        <v>88</v>
      </c>
      <c r="F411" s="8">
        <v>1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1.5786430000000005</v>
      </c>
      <c r="P411">
        <f t="shared" si="18"/>
        <v>1.5786430000000005</v>
      </c>
      <c r="S411">
        <f t="shared" si="19"/>
        <v>0.78539749999999997</v>
      </c>
    </row>
    <row r="412" spans="1:19">
      <c r="A412" s="9">
        <v>42643</v>
      </c>
      <c r="B412" s="8" t="s">
        <v>75</v>
      </c>
      <c r="C412" s="8">
        <v>33</v>
      </c>
      <c r="D412" s="8" t="s">
        <v>67</v>
      </c>
      <c r="E412">
        <v>221</v>
      </c>
      <c r="F412" s="8">
        <v>1.44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10.902608000000001</v>
      </c>
      <c r="P412">
        <f t="shared" si="18"/>
        <v>10.902608000000001</v>
      </c>
      <c r="S412">
        <f t="shared" si="19"/>
        <v>1.6286002559999999</v>
      </c>
    </row>
    <row r="413" spans="1:19">
      <c r="A413" s="9">
        <v>42643</v>
      </c>
      <c r="B413" s="8" t="s">
        <v>75</v>
      </c>
      <c r="C413" s="8">
        <v>33</v>
      </c>
      <c r="D413" s="8" t="s">
        <v>67</v>
      </c>
      <c r="E413">
        <v>253</v>
      </c>
      <c r="F413" s="8">
        <v>0.95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13.145968</v>
      </c>
      <c r="P413">
        <f t="shared" si="18"/>
        <v>13.145968</v>
      </c>
      <c r="S413">
        <f t="shared" si="19"/>
        <v>0.70882124375</v>
      </c>
    </row>
    <row r="414" spans="1:19">
      <c r="A414" s="9">
        <v>42643</v>
      </c>
      <c r="B414" s="8" t="s">
        <v>75</v>
      </c>
      <c r="C414" s="8">
        <v>33</v>
      </c>
      <c r="D414" s="8" t="s">
        <v>67</v>
      </c>
      <c r="E414">
        <v>2.4</v>
      </c>
      <c r="F414" s="8">
        <v>1.3</v>
      </c>
      <c r="G414" s="8"/>
      <c r="I414" s="8"/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-4.422345</v>
      </c>
      <c r="P414" t="str">
        <f t="shared" si="18"/>
        <v xml:space="preserve"> </v>
      </c>
      <c r="S414">
        <f t="shared" si="19"/>
        <v>1.3273217750000001</v>
      </c>
    </row>
    <row r="415" spans="1:19">
      <c r="A415" s="9">
        <v>42643</v>
      </c>
      <c r="B415" s="8" t="s">
        <v>75</v>
      </c>
      <c r="C415" s="8">
        <v>33</v>
      </c>
      <c r="D415" s="8" t="s">
        <v>67</v>
      </c>
      <c r="E415">
        <v>164</v>
      </c>
      <c r="F415" s="8">
        <v>1.66</v>
      </c>
      <c r="G415" s="8"/>
      <c r="I415" s="8"/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6.9066230000000006</v>
      </c>
      <c r="P415">
        <f t="shared" si="18"/>
        <v>6.9066230000000006</v>
      </c>
      <c r="S415">
        <f t="shared" si="19"/>
        <v>2.1642413509999998</v>
      </c>
    </row>
    <row r="416" spans="1:19">
      <c r="A416" s="9">
        <v>42643</v>
      </c>
      <c r="B416" s="8" t="s">
        <v>75</v>
      </c>
      <c r="C416" s="8">
        <v>33</v>
      </c>
      <c r="D416" s="8" t="s">
        <v>65</v>
      </c>
      <c r="E416">
        <v>370</v>
      </c>
      <c r="F416" s="8">
        <v>2.4500000000000002</v>
      </c>
      <c r="H416">
        <v>26</v>
      </c>
      <c r="I416">
        <v>2.4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127.57029204999998</v>
      </c>
      <c r="P416">
        <f t="shared" si="18"/>
        <v>127.57029204999998</v>
      </c>
      <c r="S416">
        <f t="shared" si="19"/>
        <v>4.7143484937500011</v>
      </c>
    </row>
    <row r="417" spans="1:19">
      <c r="A417" s="9">
        <v>42643</v>
      </c>
      <c r="B417" s="8" t="s">
        <v>75</v>
      </c>
      <c r="C417" s="8">
        <v>33</v>
      </c>
      <c r="D417" s="8" t="s">
        <v>65</v>
      </c>
      <c r="E417">
        <v>357</v>
      </c>
      <c r="F417" s="8">
        <v>2.82</v>
      </c>
      <c r="H417">
        <v>28</v>
      </c>
      <c r="I417">
        <v>2.7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137.85024053999999</v>
      </c>
      <c r="P417">
        <f t="shared" si="18"/>
        <v>137.85024053999999</v>
      </c>
      <c r="S417">
        <f t="shared" si="19"/>
        <v>6.2457950789999988</v>
      </c>
    </row>
    <row r="418" spans="1:19">
      <c r="A418" s="9">
        <v>42643</v>
      </c>
      <c r="B418" s="8" t="s">
        <v>75</v>
      </c>
      <c r="C418" s="8">
        <v>33</v>
      </c>
      <c r="D418" s="8" t="s">
        <v>65</v>
      </c>
      <c r="E418">
        <v>335</v>
      </c>
      <c r="F418" s="8">
        <v>2.08</v>
      </c>
      <c r="H418">
        <v>22</v>
      </c>
      <c r="I418">
        <v>2.2999999999999998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104.33857915999999</v>
      </c>
      <c r="P418">
        <f t="shared" si="18"/>
        <v>104.33857915999999</v>
      </c>
      <c r="S418">
        <f t="shared" si="19"/>
        <v>3.3979437440000004</v>
      </c>
    </row>
    <row r="419" spans="1:19">
      <c r="A419" s="9">
        <v>42643</v>
      </c>
      <c r="B419" s="8" t="s">
        <v>75</v>
      </c>
      <c r="C419" s="8">
        <v>33</v>
      </c>
      <c r="D419" s="8" t="s">
        <v>65</v>
      </c>
      <c r="E419">
        <v>316</v>
      </c>
      <c r="F419" s="8">
        <v>2.2000000000000002</v>
      </c>
      <c r="H419">
        <v>19</v>
      </c>
      <c r="I419">
        <v>2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92.842992400000014</v>
      </c>
      <c r="P419">
        <f t="shared" si="18"/>
        <v>92.842992400000014</v>
      </c>
      <c r="S419">
        <f t="shared" si="19"/>
        <v>3.8013239000000003</v>
      </c>
    </row>
    <row r="420" spans="1:19">
      <c r="A420" s="9">
        <v>42643</v>
      </c>
      <c r="B420" s="8" t="s">
        <v>75</v>
      </c>
      <c r="C420" s="8">
        <v>33</v>
      </c>
      <c r="D420" s="8" t="s">
        <v>65</v>
      </c>
      <c r="E420">
        <v>323</v>
      </c>
      <c r="F420" s="8">
        <v>3.86</v>
      </c>
      <c r="G420" s="8"/>
      <c r="H420">
        <v>36</v>
      </c>
      <c r="I420" s="8">
        <v>1.84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139.96447014</v>
      </c>
      <c r="P420">
        <f t="shared" si="18"/>
        <v>139.96447014</v>
      </c>
      <c r="S420">
        <f t="shared" si="19"/>
        <v>11.702108591</v>
      </c>
    </row>
    <row r="421" spans="1:19">
      <c r="A421" s="9">
        <v>42643</v>
      </c>
      <c r="B421" s="8" t="s">
        <v>75</v>
      </c>
      <c r="C421" s="8">
        <v>33</v>
      </c>
      <c r="D421" s="8" t="s">
        <v>64</v>
      </c>
      <c r="F421" s="8">
        <v>0.7</v>
      </c>
      <c r="G421" s="8"/>
      <c r="I421" s="8"/>
      <c r="J421">
        <f>28+41</f>
        <v>69</v>
      </c>
      <c r="K421">
        <v>2</v>
      </c>
      <c r="L421">
        <v>41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13.110327999999999</v>
      </c>
      <c r="P421">
        <f t="shared" si="18"/>
        <v>13.110327999999999</v>
      </c>
      <c r="S421">
        <f t="shared" si="19"/>
        <v>0.38484477499999992</v>
      </c>
    </row>
    <row r="422" spans="1:19">
      <c r="A422" s="9">
        <v>42643</v>
      </c>
      <c r="B422" s="8" t="s">
        <v>75</v>
      </c>
      <c r="C422" s="8">
        <v>33</v>
      </c>
      <c r="D422" s="8" t="s">
        <v>64</v>
      </c>
      <c r="F422" s="8">
        <v>2.3199999999999998</v>
      </c>
      <c r="J422">
        <f>153+205+251+249+265</f>
        <v>1123</v>
      </c>
      <c r="K422">
        <v>5</v>
      </c>
      <c r="L422">
        <v>265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23.382159000000009</v>
      </c>
      <c r="P422">
        <f t="shared" si="18"/>
        <v>23.382159000000009</v>
      </c>
      <c r="S422">
        <f t="shared" si="19"/>
        <v>4.2273235039999992</v>
      </c>
    </row>
    <row r="423" spans="1:19">
      <c r="A423" s="9">
        <v>42643</v>
      </c>
      <c r="B423" s="8" t="s">
        <v>75</v>
      </c>
      <c r="C423" s="8">
        <v>33</v>
      </c>
      <c r="D423" s="8" t="s">
        <v>64</v>
      </c>
      <c r="F423" s="8">
        <v>0.65</v>
      </c>
      <c r="G423" s="8"/>
      <c r="I423" s="8"/>
      <c r="J423">
        <f>192+197</f>
        <v>389</v>
      </c>
      <c r="K423">
        <v>2</v>
      </c>
      <c r="L423">
        <v>197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-3.8822919999999996</v>
      </c>
      <c r="P423" t="str">
        <f t="shared" si="18"/>
        <v xml:space="preserve"> </v>
      </c>
      <c r="S423">
        <f t="shared" si="19"/>
        <v>0.33183044375000004</v>
      </c>
    </row>
    <row r="424" spans="1:19">
      <c r="A424" s="9">
        <v>42643</v>
      </c>
      <c r="B424" s="8" t="s">
        <v>75</v>
      </c>
      <c r="C424" s="8">
        <v>28</v>
      </c>
      <c r="D424" s="8" t="s">
        <v>65</v>
      </c>
      <c r="E424">
        <v>269</v>
      </c>
      <c r="F424" s="8">
        <v>1.7</v>
      </c>
      <c r="G424" s="8"/>
      <c r="H424" s="8">
        <v>20</v>
      </c>
      <c r="I424" s="8">
        <v>2.1800000000000002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73.004758140000007</v>
      </c>
      <c r="P424">
        <f t="shared" si="18"/>
        <v>73.004758140000007</v>
      </c>
      <c r="S424">
        <f t="shared" si="19"/>
        <v>2.2697987749999995</v>
      </c>
    </row>
    <row r="425" spans="1:19">
      <c r="A425" s="9">
        <v>42643</v>
      </c>
      <c r="B425" s="8" t="s">
        <v>75</v>
      </c>
      <c r="C425" s="8">
        <v>28</v>
      </c>
      <c r="D425" s="8" t="s">
        <v>65</v>
      </c>
      <c r="E425">
        <v>356</v>
      </c>
      <c r="F425" s="8">
        <v>2.02</v>
      </c>
      <c r="H425">
        <v>22</v>
      </c>
      <c r="I425" s="8">
        <v>2.2000000000000002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107.81680554000002</v>
      </c>
      <c r="P425">
        <f t="shared" si="18"/>
        <v>107.81680554000002</v>
      </c>
      <c r="S425">
        <f t="shared" si="19"/>
        <v>3.2047359589999997</v>
      </c>
    </row>
    <row r="426" spans="1:19">
      <c r="A426" s="9">
        <v>42643</v>
      </c>
      <c r="B426" s="8" t="s">
        <v>75</v>
      </c>
      <c r="C426" s="8">
        <v>28</v>
      </c>
      <c r="D426" s="8" t="s">
        <v>64</v>
      </c>
      <c r="F426" s="8">
        <v>1</v>
      </c>
      <c r="G426" s="8"/>
      <c r="J426">
        <f>43+58+61+65+80</f>
        <v>307</v>
      </c>
      <c r="K426">
        <v>5</v>
      </c>
      <c r="L426">
        <v>80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2.6084040000000002</v>
      </c>
      <c r="P426">
        <f t="shared" si="18"/>
        <v>2.6084040000000002</v>
      </c>
      <c r="S426">
        <f t="shared" si="19"/>
        <v>0.78539749999999997</v>
      </c>
    </row>
    <row r="427" spans="1:19">
      <c r="A427" s="9">
        <v>42643</v>
      </c>
      <c r="B427" s="8" t="s">
        <v>75</v>
      </c>
      <c r="C427" s="8">
        <v>28</v>
      </c>
      <c r="D427" s="8" t="s">
        <v>64</v>
      </c>
      <c r="F427" s="8">
        <v>0.7</v>
      </c>
      <c r="I427" s="8"/>
      <c r="J427">
        <f>22+26</f>
        <v>48</v>
      </c>
      <c r="K427">
        <v>2</v>
      </c>
      <c r="L427">
        <v>26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15.660148</v>
      </c>
      <c r="P427">
        <f t="shared" si="18"/>
        <v>15.660148</v>
      </c>
      <c r="S427">
        <f t="shared" si="19"/>
        <v>0.38484477499999992</v>
      </c>
    </row>
    <row r="428" spans="1:19">
      <c r="A428" s="9">
        <v>42643</v>
      </c>
      <c r="B428" s="8" t="s">
        <v>75</v>
      </c>
      <c r="C428" s="8">
        <v>28</v>
      </c>
      <c r="D428" s="8" t="s">
        <v>64</v>
      </c>
      <c r="F428" s="8">
        <v>1.26</v>
      </c>
      <c r="I428" s="8"/>
      <c r="J428">
        <f>160+180+182+249+263</f>
        <v>1034</v>
      </c>
      <c r="K428">
        <v>5</v>
      </c>
      <c r="L428">
        <v>263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15.640454000000005</v>
      </c>
      <c r="P428">
        <f t="shared" si="18"/>
        <v>15.640454000000005</v>
      </c>
      <c r="S428">
        <f t="shared" si="19"/>
        <v>1.246897071</v>
      </c>
    </row>
    <row r="429" spans="1:19">
      <c r="A429" s="9">
        <v>42643</v>
      </c>
      <c r="B429" s="8" t="s">
        <v>75</v>
      </c>
      <c r="C429" s="8">
        <v>28</v>
      </c>
      <c r="D429" s="8" t="s">
        <v>64</v>
      </c>
      <c r="F429" s="8">
        <v>1.5</v>
      </c>
      <c r="G429" s="8"/>
      <c r="J429">
        <f>48+48+57</f>
        <v>153</v>
      </c>
      <c r="K429">
        <v>3</v>
      </c>
      <c r="L429">
        <v>57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9.1434749999999987</v>
      </c>
      <c r="P429">
        <f t="shared" si="18"/>
        <v>9.1434749999999987</v>
      </c>
      <c r="S429">
        <f t="shared" si="19"/>
        <v>1.767144375</v>
      </c>
    </row>
    <row r="430" spans="1:19">
      <c r="A430" s="9">
        <v>42643</v>
      </c>
      <c r="B430" s="8" t="s">
        <v>75</v>
      </c>
      <c r="C430" s="8">
        <v>28</v>
      </c>
      <c r="D430" s="8" t="s">
        <v>64</v>
      </c>
      <c r="F430" s="8">
        <v>1.56</v>
      </c>
      <c r="G430" s="8"/>
      <c r="J430">
        <f>95+122+151+175+194</f>
        <v>737</v>
      </c>
      <c r="K430">
        <v>5</v>
      </c>
      <c r="L430">
        <v>194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8.5811240000000026</v>
      </c>
      <c r="P430">
        <f t="shared" si="18"/>
        <v>8.5811240000000026</v>
      </c>
      <c r="S430">
        <f t="shared" si="19"/>
        <v>1.9113433560000002</v>
      </c>
    </row>
    <row r="431" spans="1:19">
      <c r="A431" s="9">
        <v>42643</v>
      </c>
      <c r="B431" s="8" t="s">
        <v>75</v>
      </c>
      <c r="C431" s="8">
        <v>16</v>
      </c>
      <c r="D431" s="8" t="s">
        <v>65</v>
      </c>
      <c r="F431" s="8"/>
      <c r="G431" s="8"/>
      <c r="M431" t="s">
        <v>77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0</v>
      </c>
      <c r="P431">
        <f t="shared" si="18"/>
        <v>0</v>
      </c>
      <c r="S431">
        <f t="shared" si="19"/>
        <v>0</v>
      </c>
    </row>
    <row r="432" spans="1:19">
      <c r="A432" s="9">
        <v>42639</v>
      </c>
      <c r="B432" s="8" t="s">
        <v>72</v>
      </c>
      <c r="C432" s="8">
        <v>38</v>
      </c>
      <c r="D432" s="8" t="s">
        <v>65</v>
      </c>
      <c r="F432" s="8">
        <v>5.12</v>
      </c>
      <c r="J432">
        <f>278+280+304+332+339+368+371+408+416+419</f>
        <v>3515</v>
      </c>
      <c r="K432">
        <v>10</v>
      </c>
      <c r="L432">
        <v>419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166.14062400000003</v>
      </c>
      <c r="P432">
        <f t="shared" si="18"/>
        <v>166.14062400000003</v>
      </c>
      <c r="S432">
        <f t="shared" si="19"/>
        <v>20.588724224</v>
      </c>
    </row>
    <row r="433" spans="1:19">
      <c r="A433" s="9">
        <v>42639</v>
      </c>
      <c r="B433" s="8" t="s">
        <v>72</v>
      </c>
      <c r="C433" s="8">
        <v>38</v>
      </c>
      <c r="D433" s="8" t="s">
        <v>65</v>
      </c>
      <c r="F433" s="8">
        <v>2.75</v>
      </c>
      <c r="H433" s="8"/>
      <c r="J433">
        <f>162+275+291+313+325+340</f>
        <v>1706</v>
      </c>
      <c r="K433">
        <v>6</v>
      </c>
      <c r="L433">
        <v>340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48.425596000000006</v>
      </c>
      <c r="P433">
        <f t="shared" si="18"/>
        <v>48.425596000000006</v>
      </c>
      <c r="S433">
        <f t="shared" si="19"/>
        <v>5.9395685937499998</v>
      </c>
    </row>
    <row r="434" spans="1:19">
      <c r="A434" s="9">
        <v>42639</v>
      </c>
      <c r="B434" s="8" t="s">
        <v>72</v>
      </c>
      <c r="C434" s="8">
        <v>38</v>
      </c>
      <c r="D434" s="8" t="s">
        <v>65</v>
      </c>
      <c r="F434" s="8">
        <v>0.83</v>
      </c>
      <c r="H434" s="8"/>
      <c r="J434">
        <f>13+12+19</f>
        <v>44</v>
      </c>
      <c r="K434">
        <v>3</v>
      </c>
      <c r="L434">
        <v>19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10.371489999999994</v>
      </c>
      <c r="P434">
        <f t="shared" si="18"/>
        <v>10.371489999999994</v>
      </c>
      <c r="S434">
        <f t="shared" si="19"/>
        <v>0.54106033774999995</v>
      </c>
    </row>
    <row r="435" spans="1:19">
      <c r="A435" s="9">
        <v>42639</v>
      </c>
      <c r="B435" s="8" t="s">
        <v>72</v>
      </c>
      <c r="C435" s="8">
        <v>38</v>
      </c>
      <c r="D435" s="8" t="s">
        <v>65</v>
      </c>
      <c r="F435" s="8">
        <v>6.51</v>
      </c>
      <c r="H435" s="8"/>
      <c r="J435">
        <f>292+302+367+379+387+418+419+431</f>
        <v>2995</v>
      </c>
      <c r="K435">
        <v>8</v>
      </c>
      <c r="L435">
        <v>431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127.81779</v>
      </c>
      <c r="P435">
        <f t="shared" si="18"/>
        <v>127.81779</v>
      </c>
      <c r="S435">
        <f t="shared" si="19"/>
        <v>33.285224589750001</v>
      </c>
    </row>
    <row r="436" spans="1:19">
      <c r="A436" s="9">
        <v>42639</v>
      </c>
      <c r="B436" s="8" t="s">
        <v>72</v>
      </c>
      <c r="C436" s="8">
        <v>38</v>
      </c>
      <c r="D436" s="8" t="s">
        <v>65</v>
      </c>
      <c r="F436" s="8">
        <v>1.19</v>
      </c>
      <c r="H436" s="8"/>
      <c r="J436">
        <f>38+70+78</f>
        <v>186</v>
      </c>
      <c r="K436">
        <v>3</v>
      </c>
      <c r="L436">
        <v>78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5.9112449999999974</v>
      </c>
      <c r="P436">
        <f t="shared" si="18"/>
        <v>5.9112449999999974</v>
      </c>
      <c r="S436">
        <f t="shared" si="19"/>
        <v>1.11220139975</v>
      </c>
    </row>
    <row r="437" spans="1:19">
      <c r="A437" s="9">
        <v>42639</v>
      </c>
      <c r="B437" s="8" t="s">
        <v>72</v>
      </c>
      <c r="C437" s="8">
        <v>38</v>
      </c>
      <c r="D437" s="8" t="s">
        <v>65</v>
      </c>
      <c r="E437">
        <v>350</v>
      </c>
      <c r="F437" s="8">
        <v>3.75</v>
      </c>
      <c r="H437">
        <v>33</v>
      </c>
      <c r="I437">
        <v>2.2400000000000002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150.24998827000002</v>
      </c>
      <c r="P437">
        <f t="shared" si="18"/>
        <v>150.24998827000002</v>
      </c>
      <c r="S437">
        <f t="shared" si="19"/>
        <v>11.04465234375</v>
      </c>
    </row>
    <row r="438" spans="1:19">
      <c r="A438" s="9">
        <v>42639</v>
      </c>
      <c r="B438" s="8" t="s">
        <v>72</v>
      </c>
      <c r="C438" s="8">
        <v>38</v>
      </c>
      <c r="D438" s="8" t="s">
        <v>65</v>
      </c>
      <c r="E438">
        <v>440</v>
      </c>
      <c r="F438" s="8">
        <v>2.86</v>
      </c>
      <c r="H438">
        <v>39</v>
      </c>
      <c r="I438">
        <v>2.94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178.26973994000002</v>
      </c>
      <c r="P438">
        <f t="shared" si="18"/>
        <v>178.26973994000002</v>
      </c>
      <c r="S438">
        <f t="shared" si="19"/>
        <v>6.4242373909999992</v>
      </c>
    </row>
    <row r="439" spans="1:19">
      <c r="A439" s="9">
        <v>42639</v>
      </c>
      <c r="B439" s="8" t="s">
        <v>72</v>
      </c>
      <c r="C439" s="8">
        <v>38</v>
      </c>
      <c r="D439" s="8" t="s">
        <v>65</v>
      </c>
      <c r="E439">
        <v>355</v>
      </c>
      <c r="F439" s="8">
        <v>2.42</v>
      </c>
      <c r="H439">
        <v>34</v>
      </c>
      <c r="I439">
        <v>0.52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97.021773100000019</v>
      </c>
      <c r="P439">
        <f t="shared" si="18"/>
        <v>97.021773100000019</v>
      </c>
      <c r="S439">
        <f t="shared" si="19"/>
        <v>4.5996019189999995</v>
      </c>
    </row>
    <row r="440" spans="1:19">
      <c r="A440" s="9">
        <v>42639</v>
      </c>
      <c r="B440" s="8" t="s">
        <v>72</v>
      </c>
      <c r="C440" s="8">
        <v>38</v>
      </c>
      <c r="D440" s="8" t="s">
        <v>65</v>
      </c>
      <c r="F440" s="8">
        <v>2.81</v>
      </c>
      <c r="H440" s="8"/>
      <c r="J440">
        <f>43+46+139+215+223+260</f>
        <v>926</v>
      </c>
      <c r="K440">
        <v>6</v>
      </c>
      <c r="L440">
        <v>260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-0.60370400000000046</v>
      </c>
      <c r="P440" t="str">
        <f t="shared" si="18"/>
        <v xml:space="preserve"> </v>
      </c>
      <c r="S440">
        <f t="shared" si="19"/>
        <v>6.20157719975</v>
      </c>
    </row>
    <row r="441" spans="1:19">
      <c r="A441" s="9">
        <v>42639</v>
      </c>
      <c r="B441" s="8" t="s">
        <v>72</v>
      </c>
      <c r="C441" s="8">
        <v>34</v>
      </c>
      <c r="D441" s="8" t="s">
        <v>65</v>
      </c>
      <c r="E441">
        <v>319</v>
      </c>
      <c r="F441" s="8">
        <v>2.59</v>
      </c>
      <c r="G441" s="8"/>
      <c r="H441">
        <v>25</v>
      </c>
      <c r="I441" s="8">
        <v>2.14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109.29513995000002</v>
      </c>
      <c r="P441">
        <f t="shared" si="18"/>
        <v>109.29513995000002</v>
      </c>
      <c r="S441">
        <f t="shared" si="19"/>
        <v>5.2685249697499987</v>
      </c>
    </row>
    <row r="442" spans="1:19">
      <c r="A442" s="9">
        <v>42639</v>
      </c>
      <c r="B442" s="8" t="s">
        <v>72</v>
      </c>
      <c r="C442" s="8">
        <v>34</v>
      </c>
      <c r="D442" s="8" t="s">
        <v>65</v>
      </c>
      <c r="E442">
        <v>293</v>
      </c>
      <c r="F442" s="8">
        <v>3.41</v>
      </c>
      <c r="H442">
        <v>37</v>
      </c>
      <c r="I442">
        <v>2.54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135.34273429000001</v>
      </c>
      <c r="P442">
        <f t="shared" si="18"/>
        <v>135.34273429000001</v>
      </c>
      <c r="S442">
        <f t="shared" si="19"/>
        <v>9.1326806697500018</v>
      </c>
    </row>
    <row r="443" spans="1:19">
      <c r="A443" s="9">
        <v>42639</v>
      </c>
      <c r="B443" s="8" t="s">
        <v>72</v>
      </c>
      <c r="C443" s="8">
        <v>34</v>
      </c>
      <c r="D443" s="8" t="s">
        <v>65</v>
      </c>
      <c r="E443">
        <v>286</v>
      </c>
      <c r="F443" s="8">
        <v>2.92</v>
      </c>
      <c r="G443" s="8"/>
      <c r="H443">
        <v>33</v>
      </c>
      <c r="I443" s="8">
        <v>2.4900000000000002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119.18199736000003</v>
      </c>
      <c r="P443">
        <f t="shared" si="18"/>
        <v>119.18199736000003</v>
      </c>
      <c r="S443">
        <f t="shared" si="19"/>
        <v>6.696613243999999</v>
      </c>
    </row>
    <row r="444" spans="1:19">
      <c r="A444" s="9">
        <v>42639</v>
      </c>
      <c r="B444" s="8" t="s">
        <v>72</v>
      </c>
      <c r="C444" s="8">
        <v>34</v>
      </c>
      <c r="D444" s="8" t="s">
        <v>65</v>
      </c>
      <c r="E444">
        <v>295</v>
      </c>
      <c r="F444" s="8">
        <v>2.58</v>
      </c>
      <c r="H444">
        <v>32</v>
      </c>
      <c r="I444" s="8">
        <v>2.4500000000000002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113.73828286000003</v>
      </c>
      <c r="P444">
        <f t="shared" si="18"/>
        <v>113.73828286000003</v>
      </c>
      <c r="S444">
        <f t="shared" si="19"/>
        <v>5.2279199190000005</v>
      </c>
    </row>
    <row r="445" spans="1:19">
      <c r="A445" s="9">
        <v>42639</v>
      </c>
      <c r="B445" s="8" t="s">
        <v>72</v>
      </c>
      <c r="C445" s="8">
        <v>34</v>
      </c>
      <c r="D445" s="8" t="s">
        <v>65</v>
      </c>
      <c r="E445">
        <v>334</v>
      </c>
      <c r="F445" s="8">
        <v>2.59</v>
      </c>
      <c r="H445" s="8">
        <v>32</v>
      </c>
      <c r="I445">
        <v>2.17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120.88922658999999</v>
      </c>
      <c r="P445">
        <f t="shared" si="18"/>
        <v>120.88922658999999</v>
      </c>
      <c r="S445">
        <f t="shared" si="19"/>
        <v>5.2685249697499987</v>
      </c>
    </row>
    <row r="446" spans="1:19">
      <c r="A446" s="9">
        <v>42639</v>
      </c>
      <c r="B446" s="8" t="s">
        <v>72</v>
      </c>
      <c r="C446" s="8">
        <v>34</v>
      </c>
      <c r="D446" s="8" t="s">
        <v>65</v>
      </c>
      <c r="E446">
        <v>245</v>
      </c>
      <c r="F446" s="8">
        <v>2.63</v>
      </c>
      <c r="H446">
        <v>28</v>
      </c>
      <c r="I446">
        <v>2.0299999999999998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88.446579550000024</v>
      </c>
      <c r="P446">
        <f t="shared" si="18"/>
        <v>88.446579550000024</v>
      </c>
      <c r="S446">
        <f t="shared" si="19"/>
        <v>5.4325159677499988</v>
      </c>
    </row>
    <row r="447" spans="1:19">
      <c r="A447" s="9">
        <v>42639</v>
      </c>
      <c r="B447" s="8" t="s">
        <v>72</v>
      </c>
      <c r="C447" s="8">
        <v>34</v>
      </c>
      <c r="D447" s="8" t="s">
        <v>64</v>
      </c>
      <c r="E447">
        <v>262</v>
      </c>
      <c r="F447" s="8">
        <v>4.0199999999999996</v>
      </c>
      <c r="G447" s="8"/>
      <c r="H447" s="8">
        <v>30</v>
      </c>
      <c r="I447" s="8">
        <v>2.35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127.84084354000001</v>
      </c>
      <c r="P447">
        <f t="shared" si="18"/>
        <v>127.84084354000001</v>
      </c>
      <c r="S447">
        <f t="shared" si="19"/>
        <v>12.692337758999996</v>
      </c>
    </row>
    <row r="448" spans="1:19">
      <c r="A448" s="9">
        <v>42639</v>
      </c>
      <c r="B448" s="8" t="s">
        <v>72</v>
      </c>
      <c r="C448" s="8">
        <v>34</v>
      </c>
      <c r="D448" s="8" t="s">
        <v>64</v>
      </c>
      <c r="F448" s="8">
        <v>5.4</v>
      </c>
      <c r="G448" s="8"/>
      <c r="H448" s="8"/>
      <c r="I448" s="8"/>
      <c r="J448">
        <f>344+345+348+366+371</f>
        <v>1774</v>
      </c>
      <c r="K448">
        <v>5</v>
      </c>
      <c r="L448">
        <v>371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52.484694000000012</v>
      </c>
      <c r="P448">
        <f t="shared" si="18"/>
        <v>52.484694000000012</v>
      </c>
      <c r="S448">
        <f t="shared" si="19"/>
        <v>22.902191100000003</v>
      </c>
    </row>
    <row r="449" spans="1:19">
      <c r="A449" s="9">
        <v>42639</v>
      </c>
      <c r="B449" s="8" t="s">
        <v>72</v>
      </c>
      <c r="C449" s="8">
        <v>34</v>
      </c>
      <c r="D449" s="8" t="s">
        <v>64</v>
      </c>
      <c r="F449" s="8">
        <v>4.0599999999999996</v>
      </c>
      <c r="G449" s="8"/>
      <c r="I449" s="8"/>
      <c r="J449">
        <f>284+333+368</f>
        <v>985</v>
      </c>
      <c r="K449">
        <v>3</v>
      </c>
      <c r="L449">
        <v>368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-6.5395600000000016</v>
      </c>
      <c r="P449" t="str">
        <f t="shared" si="18"/>
        <v xml:space="preserve"> </v>
      </c>
      <c r="S449">
        <f t="shared" si="19"/>
        <v>12.946178230999996</v>
      </c>
    </row>
    <row r="450" spans="1:19">
      <c r="A450" s="9">
        <v>42639</v>
      </c>
      <c r="B450" s="8" t="s">
        <v>72</v>
      </c>
      <c r="C450" s="8">
        <v>34</v>
      </c>
      <c r="D450" s="8" t="s">
        <v>64</v>
      </c>
      <c r="F450" s="8">
        <v>1.39</v>
      </c>
      <c r="G450" s="8"/>
      <c r="I450" s="8"/>
      <c r="J450">
        <f>262+291+296</f>
        <v>849</v>
      </c>
      <c r="K450">
        <v>3</v>
      </c>
      <c r="L450">
        <v>296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2.3993999999999929</v>
      </c>
      <c r="P450">
        <f t="shared" si="18"/>
        <v>2.3993999999999929</v>
      </c>
      <c r="S450">
        <f t="shared" si="19"/>
        <v>1.5174665097499997</v>
      </c>
    </row>
    <row r="451" spans="1:19">
      <c r="A451" s="9">
        <v>42639</v>
      </c>
      <c r="B451" s="8" t="s">
        <v>72</v>
      </c>
      <c r="C451" s="8">
        <v>34</v>
      </c>
      <c r="D451" s="8" t="s">
        <v>64</v>
      </c>
      <c r="F451" s="8">
        <v>1.81</v>
      </c>
      <c r="G451" s="8"/>
      <c r="J451">
        <f>297+331+347</f>
        <v>975</v>
      </c>
      <c r="K451">
        <v>3</v>
      </c>
      <c r="L451">
        <v>347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-1.1509650000000065</v>
      </c>
      <c r="P451" t="str">
        <f t="shared" si="18"/>
        <v xml:space="preserve"> </v>
      </c>
      <c r="S451">
        <f t="shared" si="19"/>
        <v>2.5730407497500001</v>
      </c>
    </row>
    <row r="452" spans="1:19">
      <c r="A452" s="9">
        <v>42639</v>
      </c>
      <c r="B452" s="8" t="s">
        <v>72</v>
      </c>
      <c r="C452" s="8">
        <v>34</v>
      </c>
      <c r="D452" s="8" t="s">
        <v>64</v>
      </c>
      <c r="F452" s="8">
        <v>3.03</v>
      </c>
      <c r="G452" s="8"/>
      <c r="I452" s="8"/>
      <c r="J452">
        <f>267+297+330+407+432+474</f>
        <v>2207</v>
      </c>
      <c r="K452">
        <v>6</v>
      </c>
      <c r="L452">
        <v>474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55.030021000000012</v>
      </c>
      <c r="P452">
        <f t="shared" si="18"/>
        <v>55.030021000000012</v>
      </c>
      <c r="S452">
        <f t="shared" si="19"/>
        <v>7.2106559077499996</v>
      </c>
    </row>
    <row r="453" spans="1:19">
      <c r="A453" s="9">
        <v>42639</v>
      </c>
      <c r="B453" s="8" t="s">
        <v>72</v>
      </c>
      <c r="C453" s="8">
        <v>34</v>
      </c>
      <c r="D453" s="8" t="s">
        <v>64</v>
      </c>
      <c r="E453">
        <v>321</v>
      </c>
      <c r="F453" s="8">
        <v>2.41</v>
      </c>
      <c r="H453">
        <v>23</v>
      </c>
      <c r="I453">
        <v>2.2200000000000002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105.97316953000001</v>
      </c>
      <c r="P453">
        <f t="shared" si="18"/>
        <v>105.97316953000001</v>
      </c>
      <c r="S453">
        <f t="shared" si="19"/>
        <v>4.5616672197500003</v>
      </c>
    </row>
    <row r="454" spans="1:19">
      <c r="A454" s="9">
        <v>42639</v>
      </c>
      <c r="B454" s="8" t="s">
        <v>72</v>
      </c>
      <c r="C454" s="8">
        <v>34</v>
      </c>
      <c r="D454" s="8" t="s">
        <v>64</v>
      </c>
      <c r="F454" s="8">
        <v>4.97</v>
      </c>
      <c r="J454">
        <f>120+185+240+248+298+305+309</f>
        <v>1705</v>
      </c>
      <c r="K454">
        <v>7</v>
      </c>
      <c r="L454">
        <v>309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50.648083000000021</v>
      </c>
      <c r="P454">
        <f t="shared" si="18"/>
        <v>50.648083000000021</v>
      </c>
      <c r="S454">
        <f t="shared" si="19"/>
        <v>19.400025107749997</v>
      </c>
    </row>
    <row r="455" spans="1:19">
      <c r="A455" s="9">
        <v>42639</v>
      </c>
      <c r="B455" s="8" t="s">
        <v>72</v>
      </c>
      <c r="C455" s="8">
        <v>29</v>
      </c>
      <c r="D455" s="8" t="s">
        <v>65</v>
      </c>
      <c r="E455">
        <v>267</v>
      </c>
      <c r="F455" s="8">
        <v>2.5499999999999998</v>
      </c>
      <c r="H455">
        <v>30</v>
      </c>
      <c r="I455">
        <v>2.5499999999999998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104.53875115</v>
      </c>
      <c r="P455">
        <f t="shared" si="18"/>
        <v>104.53875115</v>
      </c>
      <c r="S455">
        <f t="shared" si="19"/>
        <v>5.1070472437499994</v>
      </c>
    </row>
    <row r="456" spans="1:19">
      <c r="A456" s="9">
        <v>42639</v>
      </c>
      <c r="B456" s="8" t="s">
        <v>72</v>
      </c>
      <c r="C456" s="8">
        <v>29</v>
      </c>
      <c r="D456" s="8" t="s">
        <v>65</v>
      </c>
      <c r="E456">
        <v>280</v>
      </c>
      <c r="F456" s="8">
        <v>2.74</v>
      </c>
      <c r="H456" s="8">
        <v>39</v>
      </c>
      <c r="I456">
        <v>2.5499999999999998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120.52121878000003</v>
      </c>
      <c r="P456">
        <f t="shared" ref="P456:P519" si="20">IF(O456&lt;0," ",O456)</f>
        <v>120.52121878000003</v>
      </c>
      <c r="S456">
        <f t="shared" ref="S456:S519" si="21">3.14159*((F456/2)^2)</f>
        <v>5.8964502710000009</v>
      </c>
    </row>
    <row r="457" spans="1:19">
      <c r="A457" s="9">
        <v>42639</v>
      </c>
      <c r="B457" s="8" t="s">
        <v>72</v>
      </c>
      <c r="C457" s="8">
        <v>29</v>
      </c>
      <c r="D457" s="8" t="s">
        <v>65</v>
      </c>
      <c r="E457">
        <v>296</v>
      </c>
      <c r="F457" s="8">
        <v>3.53</v>
      </c>
      <c r="G457" s="8"/>
      <c r="H457">
        <v>32</v>
      </c>
      <c r="I457" s="8">
        <v>2.5499999999999998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134.08959400999998</v>
      </c>
      <c r="P457">
        <f t="shared" si="20"/>
        <v>134.08959400999998</v>
      </c>
      <c r="S457">
        <f t="shared" si="21"/>
        <v>9.786759707749999</v>
      </c>
    </row>
    <row r="458" spans="1:19">
      <c r="A458" s="9">
        <v>42639</v>
      </c>
      <c r="B458" s="8" t="s">
        <v>72</v>
      </c>
      <c r="C458" s="8">
        <v>29</v>
      </c>
      <c r="D458" s="8" t="s">
        <v>65</v>
      </c>
      <c r="E458">
        <v>275</v>
      </c>
      <c r="F458" s="8">
        <v>2.78</v>
      </c>
      <c r="H458">
        <v>37</v>
      </c>
      <c r="I458">
        <v>2.66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119.83419093999998</v>
      </c>
      <c r="P458">
        <f t="shared" si="20"/>
        <v>119.83419093999998</v>
      </c>
      <c r="S458">
        <f t="shared" si="21"/>
        <v>6.069866038999999</v>
      </c>
    </row>
    <row r="459" spans="1:19">
      <c r="A459" s="9">
        <v>42639</v>
      </c>
      <c r="B459" s="8" t="s">
        <v>72</v>
      </c>
      <c r="C459" s="8">
        <v>29</v>
      </c>
      <c r="D459" s="8" t="s">
        <v>65</v>
      </c>
      <c r="E459">
        <v>339</v>
      </c>
      <c r="F459" s="8">
        <v>2.63</v>
      </c>
      <c r="G459" s="8"/>
      <c r="H459">
        <v>33</v>
      </c>
      <c r="I459" s="8">
        <v>2.61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131.79865799000001</v>
      </c>
      <c r="P459">
        <f t="shared" si="20"/>
        <v>131.79865799000001</v>
      </c>
      <c r="S459">
        <f t="shared" si="21"/>
        <v>5.4325159677499988</v>
      </c>
    </row>
    <row r="460" spans="1:19">
      <c r="A460" s="9">
        <v>42639</v>
      </c>
      <c r="B460" s="8" t="s">
        <v>72</v>
      </c>
      <c r="C460" s="8">
        <v>29</v>
      </c>
      <c r="D460" s="8" t="s">
        <v>64</v>
      </c>
      <c r="F460" s="8">
        <v>9.5</v>
      </c>
      <c r="J460">
        <f>178+131+161+174+198+210+215+241</f>
        <v>1508</v>
      </c>
      <c r="K460">
        <v>8</v>
      </c>
      <c r="L460">
        <v>241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45.640655000000017</v>
      </c>
      <c r="P460">
        <f t="shared" si="20"/>
        <v>45.640655000000017</v>
      </c>
      <c r="S460">
        <f t="shared" si="21"/>
        <v>70.882124375000004</v>
      </c>
    </row>
    <row r="461" spans="1:19">
      <c r="A461" s="9">
        <v>42639</v>
      </c>
      <c r="B461" s="8" t="s">
        <v>72</v>
      </c>
      <c r="C461" s="8">
        <v>19</v>
      </c>
      <c r="D461" s="8" t="s">
        <v>65</v>
      </c>
      <c r="E461">
        <v>347</v>
      </c>
      <c r="F461" s="8">
        <v>3.2</v>
      </c>
      <c r="H461" s="8">
        <v>37</v>
      </c>
      <c r="I461">
        <v>2.29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143.33834552000002</v>
      </c>
      <c r="P461">
        <f t="shared" si="20"/>
        <v>143.33834552000002</v>
      </c>
      <c r="S461">
        <f t="shared" si="21"/>
        <v>8.0424704000000009</v>
      </c>
    </row>
    <row r="462" spans="1:19">
      <c r="A462" s="9">
        <v>42639</v>
      </c>
      <c r="B462" s="8" t="s">
        <v>72</v>
      </c>
      <c r="C462" s="8">
        <v>19</v>
      </c>
      <c r="D462" s="8" t="s">
        <v>65</v>
      </c>
      <c r="E462">
        <v>333</v>
      </c>
      <c r="F462" s="8">
        <v>2.86</v>
      </c>
      <c r="H462">
        <v>34</v>
      </c>
      <c r="I462">
        <v>2.54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134.11277633999998</v>
      </c>
      <c r="P462">
        <f t="shared" si="20"/>
        <v>134.11277633999998</v>
      </c>
      <c r="S462">
        <f t="shared" si="21"/>
        <v>6.4242373909999992</v>
      </c>
    </row>
    <row r="463" spans="1:19">
      <c r="A463" s="9">
        <v>42639</v>
      </c>
      <c r="B463" s="8" t="s">
        <v>72</v>
      </c>
      <c r="C463" s="8">
        <v>19</v>
      </c>
      <c r="D463" s="8" t="s">
        <v>65</v>
      </c>
      <c r="E463">
        <v>285</v>
      </c>
      <c r="F463" s="8">
        <v>2.35</v>
      </c>
      <c r="H463">
        <v>34</v>
      </c>
      <c r="I463">
        <v>2.34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106.20707447000001</v>
      </c>
      <c r="P463">
        <f t="shared" si="20"/>
        <v>106.20707447000001</v>
      </c>
      <c r="S463">
        <f t="shared" si="21"/>
        <v>4.3373576937500005</v>
      </c>
    </row>
    <row r="464" spans="1:19">
      <c r="A464" s="9">
        <v>42639</v>
      </c>
      <c r="B464" s="8" t="s">
        <v>72</v>
      </c>
      <c r="C464" s="8">
        <v>19</v>
      </c>
      <c r="D464" s="8" t="s">
        <v>65</v>
      </c>
      <c r="E464" s="8">
        <v>331</v>
      </c>
      <c r="F464" s="8">
        <v>2.75</v>
      </c>
      <c r="H464" s="8">
        <v>33</v>
      </c>
      <c r="I464" s="8">
        <v>2.61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131.67914643000003</v>
      </c>
      <c r="P464">
        <f t="shared" si="20"/>
        <v>131.67914643000003</v>
      </c>
      <c r="S464">
        <f t="shared" si="21"/>
        <v>5.9395685937499998</v>
      </c>
    </row>
    <row r="465" spans="1:19">
      <c r="A465" s="9">
        <v>42639</v>
      </c>
      <c r="B465" s="8" t="s">
        <v>72</v>
      </c>
      <c r="C465" s="8">
        <v>19</v>
      </c>
      <c r="D465" s="8" t="s">
        <v>64</v>
      </c>
      <c r="F465" s="8">
        <v>1.95</v>
      </c>
      <c r="J465">
        <f>174+247</f>
        <v>421</v>
      </c>
      <c r="K465">
        <v>2</v>
      </c>
      <c r="L465">
        <v>247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-15.94438199999999</v>
      </c>
      <c r="P465" t="str">
        <f t="shared" si="20"/>
        <v xml:space="preserve"> </v>
      </c>
      <c r="S465">
        <f t="shared" si="21"/>
        <v>2.9864739937499998</v>
      </c>
    </row>
    <row r="466" spans="1:19">
      <c r="A466" s="9">
        <v>42639</v>
      </c>
      <c r="B466" s="8" t="s">
        <v>72</v>
      </c>
      <c r="C466" s="8">
        <v>19</v>
      </c>
      <c r="D466" s="8" t="s">
        <v>64</v>
      </c>
      <c r="F466" s="8">
        <v>1.27</v>
      </c>
      <c r="J466">
        <f>33+50+55</f>
        <v>138</v>
      </c>
      <c r="K466">
        <v>3</v>
      </c>
      <c r="L466">
        <v>55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8.3396399999999957</v>
      </c>
      <c r="P466">
        <f t="shared" si="20"/>
        <v>8.3396399999999957</v>
      </c>
      <c r="S466">
        <f t="shared" si="21"/>
        <v>1.26676762775</v>
      </c>
    </row>
    <row r="467" spans="1:19">
      <c r="A467" s="9">
        <v>42639</v>
      </c>
      <c r="B467" s="8" t="s">
        <v>72</v>
      </c>
      <c r="C467" s="8">
        <v>19</v>
      </c>
      <c r="D467" s="8" t="s">
        <v>64</v>
      </c>
      <c r="F467" s="8">
        <v>1.1399999999999999</v>
      </c>
      <c r="J467">
        <f>40+48+75+85</f>
        <v>248</v>
      </c>
      <c r="K467">
        <v>4</v>
      </c>
      <c r="L467">
        <v>85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2.5929870000000008</v>
      </c>
      <c r="P467">
        <f t="shared" si="20"/>
        <v>2.5929870000000008</v>
      </c>
      <c r="S467">
        <f t="shared" si="21"/>
        <v>1.0207025909999998</v>
      </c>
    </row>
    <row r="468" spans="1:19">
      <c r="A468" s="9">
        <v>42639</v>
      </c>
      <c r="B468" s="8" t="s">
        <v>72</v>
      </c>
      <c r="C468" s="8">
        <v>19</v>
      </c>
      <c r="D468" s="8" t="s">
        <v>64</v>
      </c>
      <c r="F468" s="8">
        <v>2.52</v>
      </c>
      <c r="J468">
        <f>89+134+184+197+238+267</f>
        <v>1109</v>
      </c>
      <c r="K468">
        <v>6</v>
      </c>
      <c r="L468">
        <v>267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14.444746000000016</v>
      </c>
      <c r="P468">
        <f t="shared" si="20"/>
        <v>14.444746000000016</v>
      </c>
      <c r="S468">
        <f t="shared" si="21"/>
        <v>4.9875882840000001</v>
      </c>
    </row>
    <row r="469" spans="1:19">
      <c r="A469" s="9">
        <v>42639</v>
      </c>
      <c r="B469" s="8" t="s">
        <v>72</v>
      </c>
      <c r="C469" s="8">
        <v>19</v>
      </c>
      <c r="D469" s="8" t="s">
        <v>64</v>
      </c>
      <c r="F469" s="8">
        <v>1.8</v>
      </c>
      <c r="H469" s="8"/>
      <c r="J469">
        <f>261+283+309+310</f>
        <v>1163</v>
      </c>
      <c r="K469">
        <v>4</v>
      </c>
      <c r="L469">
        <v>310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20.59868700000002</v>
      </c>
      <c r="P469">
        <f t="shared" si="20"/>
        <v>20.59868700000002</v>
      </c>
      <c r="S469">
        <f t="shared" si="21"/>
        <v>2.5446879</v>
      </c>
    </row>
    <row r="470" spans="1:19">
      <c r="A470" s="9">
        <v>42639</v>
      </c>
      <c r="B470" s="8" t="s">
        <v>72</v>
      </c>
      <c r="C470" s="8">
        <v>4</v>
      </c>
      <c r="D470" s="8" t="s">
        <v>69</v>
      </c>
      <c r="E470">
        <v>41</v>
      </c>
      <c r="F470" s="8">
        <v>0.71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-1.7162919999999997</v>
      </c>
      <c r="P470" t="str">
        <f t="shared" si="20"/>
        <v xml:space="preserve"> </v>
      </c>
      <c r="S470">
        <f t="shared" si="21"/>
        <v>0.39591887974999995</v>
      </c>
    </row>
    <row r="471" spans="1:19">
      <c r="A471" s="9">
        <v>42639</v>
      </c>
      <c r="B471" s="8" t="s">
        <v>72</v>
      </c>
      <c r="C471" s="8">
        <v>4</v>
      </c>
      <c r="D471" s="8" t="s">
        <v>69</v>
      </c>
      <c r="E471">
        <v>164</v>
      </c>
      <c r="F471" s="8">
        <v>1.52</v>
      </c>
      <c r="G471" s="8"/>
      <c r="I471" s="8"/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6.9066230000000006</v>
      </c>
      <c r="P471">
        <f t="shared" si="20"/>
        <v>6.9066230000000006</v>
      </c>
      <c r="S471">
        <f t="shared" si="21"/>
        <v>1.8145823839999999</v>
      </c>
    </row>
    <row r="472" spans="1:19">
      <c r="A472" s="9">
        <v>42639</v>
      </c>
      <c r="B472" s="8" t="s">
        <v>72</v>
      </c>
      <c r="C472" s="8">
        <v>4</v>
      </c>
      <c r="D472" s="8" t="s">
        <v>69</v>
      </c>
      <c r="E472">
        <v>96</v>
      </c>
      <c r="F472" s="8">
        <v>2.16</v>
      </c>
      <c r="G472" s="8">
        <v>8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2.3513856</v>
      </c>
      <c r="P472">
        <f t="shared" si="20"/>
        <v>2.3513856</v>
      </c>
      <c r="S472">
        <f t="shared" si="21"/>
        <v>3.6643505760000004</v>
      </c>
    </row>
    <row r="473" spans="1:19">
      <c r="A473" s="9">
        <v>42639</v>
      </c>
      <c r="B473" s="8" t="s">
        <v>72</v>
      </c>
      <c r="C473" s="8">
        <v>4</v>
      </c>
      <c r="D473" s="8" t="s">
        <v>69</v>
      </c>
      <c r="E473">
        <v>138</v>
      </c>
      <c r="F473" s="8">
        <v>1.33</v>
      </c>
      <c r="G473" s="8"/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5.0838930000000007</v>
      </c>
      <c r="P473">
        <f t="shared" si="20"/>
        <v>5.0838930000000007</v>
      </c>
      <c r="S473">
        <f t="shared" si="21"/>
        <v>1.3892896377500001</v>
      </c>
    </row>
    <row r="474" spans="1:19">
      <c r="A474" s="9">
        <v>42639</v>
      </c>
      <c r="B474" s="8" t="s">
        <v>72</v>
      </c>
      <c r="C474" s="8">
        <v>4</v>
      </c>
      <c r="D474" s="8" t="s">
        <v>69</v>
      </c>
      <c r="E474">
        <v>216</v>
      </c>
      <c r="F474" s="8">
        <v>2.5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10.552083</v>
      </c>
      <c r="P474">
        <f t="shared" si="20"/>
        <v>10.552083</v>
      </c>
      <c r="S474">
        <f t="shared" si="21"/>
        <v>4.9087343749999999</v>
      </c>
    </row>
    <row r="475" spans="1:19">
      <c r="A475" s="9">
        <v>42639</v>
      </c>
      <c r="B475" s="8" t="s">
        <v>72</v>
      </c>
      <c r="C475" s="8">
        <v>4</v>
      </c>
      <c r="D475" s="8" t="s">
        <v>69</v>
      </c>
      <c r="E475">
        <v>241</v>
      </c>
      <c r="F475" s="8">
        <v>2.46</v>
      </c>
      <c r="G475" s="8"/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12.304708000000002</v>
      </c>
      <c r="P475">
        <f t="shared" si="20"/>
        <v>12.304708000000002</v>
      </c>
      <c r="S475">
        <f t="shared" si="21"/>
        <v>4.7529115109999998</v>
      </c>
    </row>
    <row r="476" spans="1:19">
      <c r="A476" s="9">
        <v>42639</v>
      </c>
      <c r="B476" s="8" t="s">
        <v>72</v>
      </c>
      <c r="C476" s="8">
        <v>4</v>
      </c>
      <c r="D476" s="8" t="s">
        <v>69</v>
      </c>
      <c r="E476">
        <v>48</v>
      </c>
      <c r="F476" s="8">
        <v>0.61</v>
      </c>
      <c r="G476" s="8"/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-1.2255569999999998</v>
      </c>
      <c r="P476" t="str">
        <f t="shared" si="20"/>
        <v xml:space="preserve"> </v>
      </c>
      <c r="S476">
        <f t="shared" si="21"/>
        <v>0.29224640974999999</v>
      </c>
    </row>
    <row r="477" spans="1:19">
      <c r="A477" s="9">
        <v>42639</v>
      </c>
      <c r="B477" s="8" t="s">
        <v>72</v>
      </c>
      <c r="C477" s="8">
        <v>4</v>
      </c>
      <c r="D477" s="8" t="s">
        <v>69</v>
      </c>
      <c r="E477">
        <v>182</v>
      </c>
      <c r="F477" s="8">
        <v>2.21</v>
      </c>
      <c r="G477" s="8"/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8.1685130000000008</v>
      </c>
      <c r="P477">
        <f t="shared" si="20"/>
        <v>8.1685130000000008</v>
      </c>
      <c r="S477">
        <f t="shared" si="21"/>
        <v>3.83595992975</v>
      </c>
    </row>
    <row r="478" spans="1:19">
      <c r="A478" s="9">
        <v>42639</v>
      </c>
      <c r="B478" s="8" t="s">
        <v>72</v>
      </c>
      <c r="C478" s="8">
        <v>4</v>
      </c>
      <c r="D478" s="8" t="s">
        <v>69</v>
      </c>
      <c r="E478">
        <v>76</v>
      </c>
      <c r="F478" s="8">
        <v>0.81</v>
      </c>
      <c r="G478" s="8"/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0.73738300000000034</v>
      </c>
      <c r="P478">
        <f t="shared" si="20"/>
        <v>0.73738300000000034</v>
      </c>
      <c r="S478">
        <f t="shared" si="21"/>
        <v>0.51529929975000011</v>
      </c>
    </row>
    <row r="479" spans="1:19">
      <c r="A479" s="9">
        <v>42639</v>
      </c>
      <c r="B479" s="8" t="s">
        <v>72</v>
      </c>
      <c r="C479" s="8">
        <v>4</v>
      </c>
      <c r="D479" s="8" t="s">
        <v>69</v>
      </c>
      <c r="E479">
        <v>174</v>
      </c>
      <c r="F479" s="8">
        <v>2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7.607673000000001</v>
      </c>
      <c r="P479">
        <f t="shared" si="20"/>
        <v>7.607673000000001</v>
      </c>
      <c r="S479">
        <f t="shared" si="21"/>
        <v>3.1415899999999999</v>
      </c>
    </row>
    <row r="480" spans="1:19">
      <c r="A480" s="9">
        <v>42639</v>
      </c>
      <c r="B480" s="8" t="s">
        <v>72</v>
      </c>
      <c r="C480" s="8">
        <v>4</v>
      </c>
      <c r="D480" s="8" t="s">
        <v>69</v>
      </c>
      <c r="E480">
        <v>143</v>
      </c>
      <c r="F480" s="8">
        <v>2.44</v>
      </c>
      <c r="G480" s="8"/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5.434418</v>
      </c>
      <c r="P480">
        <f t="shared" si="20"/>
        <v>5.434418</v>
      </c>
      <c r="S480">
        <f t="shared" si="21"/>
        <v>4.6759425559999999</v>
      </c>
    </row>
    <row r="481" spans="1:19">
      <c r="A481" s="9">
        <v>42639</v>
      </c>
      <c r="B481" s="8" t="s">
        <v>72</v>
      </c>
      <c r="C481" s="8">
        <v>4</v>
      </c>
      <c r="D481" s="8" t="s">
        <v>69</v>
      </c>
      <c r="E481">
        <v>76</v>
      </c>
      <c r="F481" s="8">
        <v>1.95</v>
      </c>
      <c r="G481" s="8"/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0.73738300000000034</v>
      </c>
      <c r="P481">
        <f t="shared" si="20"/>
        <v>0.73738300000000034</v>
      </c>
      <c r="S481">
        <f t="shared" si="21"/>
        <v>2.9864739937499998</v>
      </c>
    </row>
    <row r="482" spans="1:19">
      <c r="A482" s="9">
        <v>42639</v>
      </c>
      <c r="B482" s="8" t="s">
        <v>72</v>
      </c>
      <c r="C482" s="8">
        <v>4</v>
      </c>
      <c r="D482" s="8" t="s">
        <v>69</v>
      </c>
      <c r="E482">
        <v>144</v>
      </c>
      <c r="F482" s="8">
        <v>1.25</v>
      </c>
      <c r="G482" s="8"/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5.5045229999999998</v>
      </c>
      <c r="P482">
        <f t="shared" si="20"/>
        <v>5.5045229999999998</v>
      </c>
      <c r="S482">
        <f t="shared" si="21"/>
        <v>1.22718359375</v>
      </c>
    </row>
    <row r="483" spans="1:19">
      <c r="A483" s="9">
        <v>42639</v>
      </c>
      <c r="B483" s="8" t="s">
        <v>72</v>
      </c>
      <c r="C483" s="8">
        <v>4</v>
      </c>
      <c r="D483" s="8" t="s">
        <v>69</v>
      </c>
      <c r="E483">
        <v>237</v>
      </c>
      <c r="F483" s="8">
        <v>3.94</v>
      </c>
      <c r="G483" s="8"/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12.024288000000002</v>
      </c>
      <c r="P483">
        <f t="shared" si="20"/>
        <v>12.024288000000002</v>
      </c>
      <c r="S483">
        <f t="shared" si="21"/>
        <v>12.192196631</v>
      </c>
    </row>
    <row r="484" spans="1:19">
      <c r="A484" s="9">
        <v>42639</v>
      </c>
      <c r="B484" s="8" t="s">
        <v>72</v>
      </c>
      <c r="C484" s="8">
        <v>4</v>
      </c>
      <c r="D484" s="8" t="s">
        <v>69</v>
      </c>
      <c r="E484">
        <v>172</v>
      </c>
      <c r="F484" s="8">
        <v>2.2000000000000002</v>
      </c>
      <c r="G484" s="8"/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7.4674629999999995</v>
      </c>
      <c r="P484">
        <f t="shared" si="20"/>
        <v>7.4674629999999995</v>
      </c>
      <c r="S484">
        <f t="shared" si="21"/>
        <v>3.8013239000000003</v>
      </c>
    </row>
    <row r="485" spans="1:19">
      <c r="A485" s="9">
        <v>42639</v>
      </c>
      <c r="B485" s="8" t="s">
        <v>72</v>
      </c>
      <c r="C485" s="8">
        <v>4</v>
      </c>
      <c r="D485" s="8" t="s">
        <v>69</v>
      </c>
      <c r="E485">
        <v>219</v>
      </c>
      <c r="F485" s="8">
        <v>1.55</v>
      </c>
      <c r="G485" s="8"/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10.762398000000001</v>
      </c>
      <c r="P485">
        <f t="shared" si="20"/>
        <v>10.762398000000001</v>
      </c>
      <c r="S485">
        <f t="shared" si="21"/>
        <v>1.8869174937500002</v>
      </c>
    </row>
    <row r="486" spans="1:19">
      <c r="A486" s="9">
        <v>42639</v>
      </c>
      <c r="B486" s="8" t="s">
        <v>72</v>
      </c>
      <c r="C486" s="8">
        <v>4</v>
      </c>
      <c r="D486" s="8" t="s">
        <v>69</v>
      </c>
      <c r="E486">
        <v>216</v>
      </c>
      <c r="F486" s="8">
        <v>2.7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10.552083</v>
      </c>
      <c r="P486">
        <f t="shared" si="20"/>
        <v>10.552083</v>
      </c>
      <c r="S486">
        <f t="shared" si="21"/>
        <v>5.7255477750000008</v>
      </c>
    </row>
    <row r="487" spans="1:19">
      <c r="A487" s="9">
        <v>42639</v>
      </c>
      <c r="B487" s="8" t="s">
        <v>72</v>
      </c>
      <c r="C487" s="8">
        <v>4</v>
      </c>
      <c r="D487" s="8" t="s">
        <v>69</v>
      </c>
      <c r="E487">
        <v>187</v>
      </c>
      <c r="F487" s="8">
        <v>2.65</v>
      </c>
      <c r="G487" s="8"/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8.5190380000000019</v>
      </c>
      <c r="P487">
        <f t="shared" si="20"/>
        <v>8.5190380000000019</v>
      </c>
      <c r="S487">
        <f t="shared" si="21"/>
        <v>5.5154539437499999</v>
      </c>
    </row>
    <row r="488" spans="1:19">
      <c r="A488" s="9">
        <v>42639</v>
      </c>
      <c r="B488" s="8" t="s">
        <v>72</v>
      </c>
      <c r="C488" s="8">
        <v>4</v>
      </c>
      <c r="D488" s="8" t="s">
        <v>69</v>
      </c>
      <c r="E488">
        <v>134</v>
      </c>
      <c r="F488" s="8">
        <v>2.1</v>
      </c>
      <c r="G488" s="8"/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4.8034729999999994</v>
      </c>
      <c r="P488">
        <f t="shared" si="20"/>
        <v>4.8034729999999994</v>
      </c>
      <c r="S488">
        <f t="shared" si="21"/>
        <v>3.4636029750000001</v>
      </c>
    </row>
    <row r="489" spans="1:19">
      <c r="A489" s="9">
        <v>42639</v>
      </c>
      <c r="B489" s="8" t="s">
        <v>72</v>
      </c>
      <c r="C489" s="8">
        <v>4</v>
      </c>
      <c r="D489" s="8" t="s">
        <v>69</v>
      </c>
      <c r="E489">
        <v>153</v>
      </c>
      <c r="F489" s="8">
        <v>1</v>
      </c>
      <c r="G489" s="8"/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6.1354680000000004</v>
      </c>
      <c r="P489">
        <f t="shared" si="20"/>
        <v>6.1354680000000004</v>
      </c>
      <c r="S489">
        <f t="shared" si="21"/>
        <v>0.78539749999999997</v>
      </c>
    </row>
    <row r="490" spans="1:19">
      <c r="A490" s="9">
        <v>42639</v>
      </c>
      <c r="B490" s="8" t="s">
        <v>72</v>
      </c>
      <c r="C490" s="8">
        <v>4</v>
      </c>
      <c r="D490" s="8" t="s">
        <v>69</v>
      </c>
      <c r="E490">
        <v>244</v>
      </c>
      <c r="F490" s="8">
        <v>1.9</v>
      </c>
      <c r="H490" s="8"/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12.515023000000003</v>
      </c>
      <c r="P490">
        <f t="shared" si="20"/>
        <v>12.515023000000003</v>
      </c>
      <c r="S490">
        <f t="shared" si="21"/>
        <v>2.835284975</v>
      </c>
    </row>
    <row r="491" spans="1:19">
      <c r="A491" s="9">
        <v>42639</v>
      </c>
      <c r="B491" s="8" t="s">
        <v>72</v>
      </c>
      <c r="C491" s="8">
        <v>4</v>
      </c>
      <c r="D491" s="8" t="s">
        <v>69</v>
      </c>
      <c r="E491">
        <v>230</v>
      </c>
      <c r="F491" s="8">
        <v>2.4300000000000002</v>
      </c>
      <c r="H491" s="8"/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11.533553000000001</v>
      </c>
      <c r="P491">
        <f t="shared" si="20"/>
        <v>11.533553000000001</v>
      </c>
      <c r="S491">
        <f t="shared" si="21"/>
        <v>4.6376936977500005</v>
      </c>
    </row>
    <row r="492" spans="1:19">
      <c r="A492" s="9">
        <v>42639</v>
      </c>
      <c r="B492" s="8" t="s">
        <v>72</v>
      </c>
      <c r="C492" s="8">
        <v>4</v>
      </c>
      <c r="D492" s="8" t="s">
        <v>69</v>
      </c>
      <c r="E492">
        <v>234</v>
      </c>
      <c r="F492" s="8">
        <v>2.83</v>
      </c>
      <c r="G492" s="8">
        <v>4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5.7315024000000001</v>
      </c>
      <c r="P492">
        <f t="shared" si="20"/>
        <v>5.7315024000000001</v>
      </c>
      <c r="S492">
        <f t="shared" si="21"/>
        <v>6.2901700377500003</v>
      </c>
    </row>
    <row r="493" spans="1:19">
      <c r="A493" s="9">
        <v>42639</v>
      </c>
      <c r="B493" s="8" t="s">
        <v>72</v>
      </c>
      <c r="C493" s="8">
        <v>4</v>
      </c>
      <c r="D493" s="8" t="s">
        <v>69</v>
      </c>
      <c r="E493">
        <v>318</v>
      </c>
      <c r="F493" s="8">
        <v>2.39</v>
      </c>
      <c r="H493" s="8"/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17.702793</v>
      </c>
      <c r="P493">
        <f t="shared" si="20"/>
        <v>17.702793</v>
      </c>
      <c r="S493">
        <f t="shared" si="21"/>
        <v>4.4862690597500006</v>
      </c>
    </row>
    <row r="494" spans="1:19">
      <c r="A494" s="9">
        <v>42639</v>
      </c>
      <c r="B494" s="8" t="s">
        <v>72</v>
      </c>
      <c r="C494" s="8">
        <v>4</v>
      </c>
      <c r="D494" s="8" t="s">
        <v>69</v>
      </c>
      <c r="E494">
        <v>250</v>
      </c>
      <c r="F494" s="8">
        <v>2.35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12.935653000000002</v>
      </c>
      <c r="P494">
        <f t="shared" si="20"/>
        <v>12.935653000000002</v>
      </c>
      <c r="S494">
        <f t="shared" si="21"/>
        <v>4.3373576937500005</v>
      </c>
    </row>
    <row r="495" spans="1:19">
      <c r="A495" s="9">
        <v>42639</v>
      </c>
      <c r="B495" s="8" t="s">
        <v>72</v>
      </c>
      <c r="C495" s="8">
        <v>4</v>
      </c>
      <c r="D495" s="8" t="s">
        <v>69</v>
      </c>
      <c r="E495">
        <v>330</v>
      </c>
      <c r="F495" s="8">
        <v>1.91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18.544053000000002</v>
      </c>
      <c r="P495">
        <f t="shared" si="20"/>
        <v>18.544053000000002</v>
      </c>
      <c r="S495">
        <f t="shared" si="21"/>
        <v>2.8652086197499997</v>
      </c>
    </row>
    <row r="496" spans="1:19">
      <c r="A496" s="9">
        <v>42639</v>
      </c>
      <c r="B496" s="8" t="s">
        <v>72</v>
      </c>
      <c r="C496" s="8">
        <v>4</v>
      </c>
      <c r="D496" s="8" t="s">
        <v>69</v>
      </c>
      <c r="E496">
        <v>234</v>
      </c>
      <c r="F496" s="8">
        <v>1.98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11.813973000000001</v>
      </c>
      <c r="P496">
        <f t="shared" si="20"/>
        <v>11.813973000000001</v>
      </c>
      <c r="S496">
        <f t="shared" si="21"/>
        <v>3.079072359</v>
      </c>
    </row>
    <row r="497" spans="1:19">
      <c r="A497" s="9">
        <v>42639</v>
      </c>
      <c r="B497" s="8" t="s">
        <v>72</v>
      </c>
      <c r="C497" s="8">
        <v>4</v>
      </c>
      <c r="D497" s="8" t="s">
        <v>69</v>
      </c>
      <c r="E497">
        <v>91</v>
      </c>
      <c r="F497" s="8">
        <v>0.94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1.788958</v>
      </c>
      <c r="P497">
        <f t="shared" si="20"/>
        <v>1.788958</v>
      </c>
      <c r="S497">
        <f t="shared" si="21"/>
        <v>0.69397723099999997</v>
      </c>
    </row>
    <row r="498" spans="1:19">
      <c r="A498" s="9">
        <v>42639</v>
      </c>
      <c r="B498" s="8" t="s">
        <v>72</v>
      </c>
      <c r="C498" s="8">
        <v>4</v>
      </c>
      <c r="D498" s="8" t="s">
        <v>69</v>
      </c>
      <c r="E498">
        <v>239</v>
      </c>
      <c r="F498" s="8">
        <v>2.06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12.164498000000002</v>
      </c>
      <c r="P498">
        <f t="shared" si="20"/>
        <v>12.164498000000002</v>
      </c>
      <c r="S498">
        <f t="shared" si="21"/>
        <v>3.3329128309999998</v>
      </c>
    </row>
    <row r="499" spans="1:19">
      <c r="A499" s="9">
        <v>42639</v>
      </c>
      <c r="B499" s="8" t="s">
        <v>72</v>
      </c>
      <c r="C499" s="8">
        <v>4</v>
      </c>
      <c r="D499" s="8" t="s">
        <v>65</v>
      </c>
      <c r="F499" s="8">
        <v>1.37</v>
      </c>
      <c r="J499">
        <f>52+60+76+82</f>
        <v>270</v>
      </c>
      <c r="K499">
        <v>4</v>
      </c>
      <c r="L499">
        <v>82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5.5593320000000013</v>
      </c>
      <c r="P499">
        <f t="shared" si="20"/>
        <v>5.5593320000000013</v>
      </c>
      <c r="S499">
        <f t="shared" si="21"/>
        <v>1.4741125677500002</v>
      </c>
    </row>
    <row r="500" spans="1:19">
      <c r="A500" s="9">
        <v>42639</v>
      </c>
      <c r="B500" s="8" t="s">
        <v>72</v>
      </c>
      <c r="C500" s="8">
        <v>4</v>
      </c>
      <c r="D500" s="8" t="s">
        <v>64</v>
      </c>
      <c r="F500" s="8">
        <v>8.82</v>
      </c>
      <c r="J500">
        <f>266+267+277+285+292+295+312+329+339+343</f>
        <v>3005</v>
      </c>
      <c r="K500">
        <v>10</v>
      </c>
      <c r="L500">
        <v>343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141.22019400000005</v>
      </c>
      <c r="P500">
        <f t="shared" si="20"/>
        <v>141.22019400000005</v>
      </c>
      <c r="S500">
        <f t="shared" si="21"/>
        <v>61.097956478999997</v>
      </c>
    </row>
    <row r="501" spans="1:19">
      <c r="A501" s="9">
        <v>42639</v>
      </c>
      <c r="B501" s="8" t="s">
        <v>72</v>
      </c>
      <c r="C501" s="8">
        <v>4</v>
      </c>
      <c r="D501" s="8" t="s">
        <v>64</v>
      </c>
      <c r="F501" s="8">
        <v>7.91</v>
      </c>
      <c r="J501">
        <f>185+241+282+329+361+371+377+383+390</f>
        <v>2919</v>
      </c>
      <c r="K501">
        <v>9</v>
      </c>
      <c r="L501">
        <v>390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126.02110200000004</v>
      </c>
      <c r="P501">
        <f t="shared" si="20"/>
        <v>126.02110200000004</v>
      </c>
      <c r="S501">
        <f t="shared" si="21"/>
        <v>49.140829319749997</v>
      </c>
    </row>
    <row r="502" spans="1:19">
      <c r="A502" s="9">
        <v>42643</v>
      </c>
      <c r="B502" s="8" t="s">
        <v>78</v>
      </c>
      <c r="C502" s="8">
        <v>48</v>
      </c>
      <c r="D502" s="8" t="s">
        <v>65</v>
      </c>
      <c r="E502">
        <v>410</v>
      </c>
      <c r="F502" s="8">
        <v>4.2</v>
      </c>
      <c r="H502">
        <v>33</v>
      </c>
      <c r="I502">
        <v>3.22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194.27749376000003</v>
      </c>
      <c r="P502">
        <f t="shared" si="20"/>
        <v>194.27749376000003</v>
      </c>
      <c r="S502">
        <f t="shared" si="21"/>
        <v>13.854411900000001</v>
      </c>
    </row>
    <row r="503" spans="1:19">
      <c r="A503" s="9">
        <v>42643</v>
      </c>
      <c r="B503" s="8" t="s">
        <v>78</v>
      </c>
      <c r="C503" s="8">
        <v>48</v>
      </c>
      <c r="D503" s="8" t="s">
        <v>64</v>
      </c>
      <c r="F503" s="8">
        <v>4.1500000000000004</v>
      </c>
      <c r="J503">
        <f>127+195+245+295+305</f>
        <v>1167</v>
      </c>
      <c r="K503">
        <v>5</v>
      </c>
      <c r="L503">
        <v>305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15.457579000000003</v>
      </c>
      <c r="P503">
        <f t="shared" si="20"/>
        <v>15.457579000000003</v>
      </c>
      <c r="S503">
        <f t="shared" si="21"/>
        <v>13.526508443750002</v>
      </c>
    </row>
    <row r="504" spans="1:19">
      <c r="A504" s="9">
        <v>42643</v>
      </c>
      <c r="B504" s="8" t="s">
        <v>78</v>
      </c>
      <c r="C504" s="8">
        <v>48</v>
      </c>
      <c r="D504" s="8" t="s">
        <v>64</v>
      </c>
      <c r="F504" s="8">
        <v>3.74</v>
      </c>
      <c r="G504" s="8"/>
      <c r="J504">
        <f>137+208+273+395</f>
        <v>1013</v>
      </c>
      <c r="K504">
        <v>4</v>
      </c>
      <c r="L504">
        <v>295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11.054112000000011</v>
      </c>
      <c r="P504">
        <f t="shared" si="20"/>
        <v>11.054112000000011</v>
      </c>
      <c r="S504">
        <f t="shared" si="21"/>
        <v>10.985826071000002</v>
      </c>
    </row>
    <row r="505" spans="1:19">
      <c r="A505" s="9">
        <v>42643</v>
      </c>
      <c r="B505" s="8" t="s">
        <v>78</v>
      </c>
      <c r="C505" s="8">
        <v>48</v>
      </c>
      <c r="D505" s="8" t="s">
        <v>64</v>
      </c>
      <c r="F505" s="8">
        <v>2.86</v>
      </c>
      <c r="H505" s="8"/>
      <c r="J505">
        <f>88+94+161+227+227+265</f>
        <v>1062</v>
      </c>
      <c r="K505">
        <v>6</v>
      </c>
      <c r="L505">
        <v>265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10.640751000000002</v>
      </c>
      <c r="P505">
        <f t="shared" si="20"/>
        <v>10.640751000000002</v>
      </c>
      <c r="S505">
        <f t="shared" si="21"/>
        <v>6.4242373909999992</v>
      </c>
    </row>
    <row r="506" spans="1:19">
      <c r="A506" s="9">
        <v>42643</v>
      </c>
      <c r="B506" s="8" t="s">
        <v>78</v>
      </c>
      <c r="C506" s="8">
        <v>48</v>
      </c>
      <c r="D506" s="8" t="s">
        <v>64</v>
      </c>
      <c r="F506" s="8">
        <v>6.25</v>
      </c>
      <c r="J506">
        <f>283+369+398+413+422</f>
        <v>1885</v>
      </c>
      <c r="K506">
        <v>5</v>
      </c>
      <c r="L506">
        <v>422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47.528004000000031</v>
      </c>
      <c r="P506">
        <f t="shared" si="20"/>
        <v>47.528004000000031</v>
      </c>
      <c r="S506">
        <f t="shared" si="21"/>
        <v>30.679589843749998</v>
      </c>
    </row>
    <row r="507" spans="1:19">
      <c r="A507" s="9">
        <v>42643</v>
      </c>
      <c r="B507" s="8" t="s">
        <v>78</v>
      </c>
      <c r="C507" s="8">
        <v>48</v>
      </c>
      <c r="D507" s="8" t="s">
        <v>64</v>
      </c>
      <c r="F507" s="8">
        <v>1</v>
      </c>
      <c r="J507">
        <f>57+71+80</f>
        <v>208</v>
      </c>
      <c r="K507">
        <v>3</v>
      </c>
      <c r="L507">
        <v>80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7.3713649999999973</v>
      </c>
      <c r="P507">
        <f t="shared" si="20"/>
        <v>7.3713649999999973</v>
      </c>
      <c r="S507">
        <f t="shared" si="21"/>
        <v>0.78539749999999997</v>
      </c>
    </row>
    <row r="508" spans="1:19">
      <c r="A508" s="9">
        <v>42643</v>
      </c>
      <c r="B508" s="8" t="s">
        <v>78</v>
      </c>
      <c r="C508" s="8">
        <v>48</v>
      </c>
      <c r="D508" s="8" t="s">
        <v>64</v>
      </c>
      <c r="F508" s="8">
        <v>2.68</v>
      </c>
      <c r="J508">
        <f>62+110+113+165+182</f>
        <v>632</v>
      </c>
      <c r="K508">
        <v>5</v>
      </c>
      <c r="L508">
        <v>182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2.3517890000000037</v>
      </c>
      <c r="P508">
        <f t="shared" si="20"/>
        <v>2.3517890000000037</v>
      </c>
      <c r="S508">
        <f t="shared" si="21"/>
        <v>5.6410390040000005</v>
      </c>
    </row>
    <row r="509" spans="1:19">
      <c r="A509" s="9">
        <v>42643</v>
      </c>
      <c r="B509" s="8" t="s">
        <v>78</v>
      </c>
      <c r="C509" s="8">
        <v>48</v>
      </c>
      <c r="D509" s="8" t="s">
        <v>64</v>
      </c>
      <c r="F509" s="8">
        <v>3.96</v>
      </c>
      <c r="J509">
        <f>258+309+348+352+370+373</f>
        <v>2010</v>
      </c>
      <c r="K509">
        <v>6</v>
      </c>
      <c r="L509">
        <v>373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66.986030999999997</v>
      </c>
      <c r="P509">
        <f t="shared" si="20"/>
        <v>66.986030999999997</v>
      </c>
      <c r="S509">
        <f t="shared" si="21"/>
        <v>12.316289436</v>
      </c>
    </row>
    <row r="510" spans="1:19">
      <c r="A510" s="9">
        <v>42643</v>
      </c>
      <c r="B510" s="8" t="s">
        <v>78</v>
      </c>
      <c r="C510" s="8">
        <v>48</v>
      </c>
      <c r="D510" s="8" t="s">
        <v>64</v>
      </c>
      <c r="F510" s="8">
        <v>3.5</v>
      </c>
      <c r="J510">
        <f>114+182+217+221+246</f>
        <v>980</v>
      </c>
      <c r="K510">
        <v>5</v>
      </c>
      <c r="L510">
        <v>246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15.69884900000001</v>
      </c>
      <c r="P510">
        <f t="shared" si="20"/>
        <v>15.69884900000001</v>
      </c>
      <c r="S510">
        <f t="shared" si="21"/>
        <v>9.6211193749999993</v>
      </c>
    </row>
    <row r="511" spans="1:19">
      <c r="A511" s="9">
        <v>42643</v>
      </c>
      <c r="B511" s="8" t="s">
        <v>78</v>
      </c>
      <c r="C511" s="8">
        <v>48</v>
      </c>
      <c r="D511" s="8" t="s">
        <v>64</v>
      </c>
      <c r="F511" s="8">
        <v>8.3000000000000007</v>
      </c>
      <c r="J511">
        <f>255+289+308+315+324</f>
        <v>1491</v>
      </c>
      <c r="K511">
        <v>5</v>
      </c>
      <c r="L511">
        <v>324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40.110544000000026</v>
      </c>
      <c r="P511">
        <f t="shared" si="20"/>
        <v>40.110544000000026</v>
      </c>
      <c r="S511">
        <f t="shared" si="21"/>
        <v>54.106033775000007</v>
      </c>
    </row>
    <row r="512" spans="1:19">
      <c r="A512" s="9">
        <v>42643</v>
      </c>
      <c r="B512" s="8" t="s">
        <v>78</v>
      </c>
      <c r="C512" s="8">
        <v>48</v>
      </c>
      <c r="D512" s="8" t="s">
        <v>64</v>
      </c>
      <c r="F512" s="8">
        <v>1.05</v>
      </c>
      <c r="J512">
        <f>56+91+108</f>
        <v>255</v>
      </c>
      <c r="K512">
        <v>3</v>
      </c>
      <c r="L512">
        <v>108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3.3429900000000004</v>
      </c>
      <c r="P512">
        <f t="shared" si="20"/>
        <v>3.3429900000000004</v>
      </c>
      <c r="S512">
        <f t="shared" si="21"/>
        <v>0.86590074375000003</v>
      </c>
    </row>
    <row r="513" spans="1:19">
      <c r="A513" s="9">
        <v>42643</v>
      </c>
      <c r="B513" s="8" t="s">
        <v>78</v>
      </c>
      <c r="C513">
        <v>28</v>
      </c>
      <c r="D513" s="8" t="s">
        <v>64</v>
      </c>
      <c r="F513" s="8">
        <v>8.4499999999999993</v>
      </c>
      <c r="J513">
        <f>161+185+193+211+168+184+187+196+207+212+214+239</f>
        <v>2357</v>
      </c>
      <c r="K513">
        <v>12</v>
      </c>
      <c r="L513">
        <v>239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97.751728000000014</v>
      </c>
      <c r="P513">
        <f t="shared" si="20"/>
        <v>97.751728000000014</v>
      </c>
      <c r="S513">
        <f t="shared" si="21"/>
        <v>56.079344993749991</v>
      </c>
    </row>
    <row r="514" spans="1:19">
      <c r="A514" s="9">
        <v>42643</v>
      </c>
      <c r="B514" s="8" t="s">
        <v>78</v>
      </c>
      <c r="C514">
        <v>28</v>
      </c>
      <c r="D514" s="8" t="s">
        <v>64</v>
      </c>
      <c r="F514" s="8">
        <v>4.32</v>
      </c>
      <c r="J514">
        <f>133+151+154+171+189+190+215+222</f>
        <v>1425</v>
      </c>
      <c r="K514">
        <v>8</v>
      </c>
      <c r="L514">
        <v>222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43.582645000000007</v>
      </c>
      <c r="P514">
        <f t="shared" si="20"/>
        <v>43.582645000000007</v>
      </c>
      <c r="S514">
        <f t="shared" si="21"/>
        <v>14.657402304000001</v>
      </c>
    </row>
    <row r="515" spans="1:19">
      <c r="A515" s="9">
        <v>42643</v>
      </c>
      <c r="B515" s="8" t="s">
        <v>78</v>
      </c>
      <c r="C515">
        <v>28</v>
      </c>
      <c r="D515" s="8" t="s">
        <v>64</v>
      </c>
      <c r="F515" s="8">
        <v>2.4</v>
      </c>
      <c r="J515">
        <f>139+178+183+200</f>
        <v>700</v>
      </c>
      <c r="K515">
        <v>4</v>
      </c>
      <c r="L515">
        <v>200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10.327072000000008</v>
      </c>
      <c r="P515">
        <f t="shared" si="20"/>
        <v>10.327072000000008</v>
      </c>
      <c r="S515">
        <f t="shared" si="21"/>
        <v>4.5238895999999995</v>
      </c>
    </row>
    <row r="516" spans="1:19">
      <c r="A516" s="9">
        <v>42643</v>
      </c>
      <c r="B516" s="8" t="s">
        <v>78</v>
      </c>
      <c r="C516">
        <v>28</v>
      </c>
      <c r="D516" s="8" t="s">
        <v>64</v>
      </c>
      <c r="F516" s="8">
        <v>3.98</v>
      </c>
      <c r="J516">
        <f>153+189+192+194+195+197+202+203</f>
        <v>1525</v>
      </c>
      <c r="K516">
        <v>8</v>
      </c>
      <c r="L516">
        <v>203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58.681800000000024</v>
      </c>
      <c r="P516">
        <f t="shared" si="20"/>
        <v>58.681800000000024</v>
      </c>
      <c r="S516">
        <f t="shared" si="21"/>
        <v>12.441010559</v>
      </c>
    </row>
    <row r="517" spans="1:19">
      <c r="A517" s="9">
        <v>42643</v>
      </c>
      <c r="B517" s="8" t="s">
        <v>78</v>
      </c>
      <c r="C517">
        <v>28</v>
      </c>
      <c r="D517" s="8" t="s">
        <v>64</v>
      </c>
      <c r="F517" s="8">
        <v>4.9000000000000004</v>
      </c>
      <c r="H517" s="8"/>
      <c r="J517">
        <f>120+149+150+160+161+189+192+204+213</f>
        <v>1538</v>
      </c>
      <c r="K517">
        <v>9</v>
      </c>
      <c r="L517">
        <v>213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49.865811999999998</v>
      </c>
      <c r="P517">
        <f t="shared" si="20"/>
        <v>49.865811999999998</v>
      </c>
      <c r="S517">
        <f t="shared" si="21"/>
        <v>18.857393975000004</v>
      </c>
    </row>
    <row r="518" spans="1:19">
      <c r="A518" s="9">
        <v>42643</v>
      </c>
      <c r="B518" s="8" t="s">
        <v>78</v>
      </c>
      <c r="C518">
        <v>28</v>
      </c>
      <c r="D518" s="8" t="s">
        <v>64</v>
      </c>
      <c r="F518" s="8">
        <v>5.51</v>
      </c>
      <c r="J518">
        <f>179+184+188+207+210+217+222+229+236</f>
        <v>1872</v>
      </c>
      <c r="K518">
        <v>9</v>
      </c>
      <c r="L518">
        <v>236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74.25134700000001</v>
      </c>
      <c r="P518">
        <f t="shared" si="20"/>
        <v>74.25134700000001</v>
      </c>
      <c r="S518">
        <f t="shared" si="21"/>
        <v>23.844746639749999</v>
      </c>
    </row>
    <row r="519" spans="1:19">
      <c r="A519" s="9">
        <v>42643</v>
      </c>
      <c r="B519" s="8" t="s">
        <v>78</v>
      </c>
      <c r="C519">
        <v>28</v>
      </c>
      <c r="D519" s="8" t="s">
        <v>64</v>
      </c>
      <c r="F519" s="8">
        <v>1.2</v>
      </c>
      <c r="J519">
        <f>41+42+44+54</f>
        <v>181</v>
      </c>
      <c r="K519">
        <v>4</v>
      </c>
      <c r="L519">
        <v>54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5.649996999999999</v>
      </c>
      <c r="P519">
        <f t="shared" si="20"/>
        <v>5.649996999999999</v>
      </c>
      <c r="S519">
        <f t="shared" si="21"/>
        <v>1.1309723999999999</v>
      </c>
    </row>
    <row r="520" spans="1:19">
      <c r="A520" s="9">
        <v>42643</v>
      </c>
      <c r="B520" s="8" t="s">
        <v>78</v>
      </c>
      <c r="C520">
        <v>28</v>
      </c>
      <c r="D520" s="8" t="s">
        <v>64</v>
      </c>
      <c r="F520" s="8">
        <v>7.1</v>
      </c>
      <c r="J520">
        <f>183+189+186+174+174+209+215+220</f>
        <v>1550</v>
      </c>
      <c r="K520">
        <v>8</v>
      </c>
      <c r="L520">
        <v>220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55.904510000000023</v>
      </c>
      <c r="P520">
        <f t="shared" ref="P520:P560" si="22">IF(O520&lt;0," ",O520)</f>
        <v>55.904510000000023</v>
      </c>
      <c r="S520">
        <f t="shared" ref="S520:S560" si="23">3.14159*((F520/2)^2)</f>
        <v>39.591887974999999</v>
      </c>
    </row>
    <row r="521" spans="1:19">
      <c r="A521" s="9">
        <v>42643</v>
      </c>
      <c r="B521" s="8" t="s">
        <v>78</v>
      </c>
      <c r="C521">
        <v>28</v>
      </c>
      <c r="D521" s="8" t="s">
        <v>64</v>
      </c>
      <c r="F521" s="8">
        <v>1.8</v>
      </c>
      <c r="J521">
        <f>98+110+128+132+134</f>
        <v>602</v>
      </c>
      <c r="K521">
        <v>5</v>
      </c>
      <c r="L521">
        <v>134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13.998899000000002</v>
      </c>
      <c r="P521">
        <f t="shared" si="22"/>
        <v>13.998899000000002</v>
      </c>
      <c r="S521">
        <f t="shared" si="23"/>
        <v>2.5446879</v>
      </c>
    </row>
    <row r="522" spans="1:19">
      <c r="A522" s="9">
        <v>42643</v>
      </c>
      <c r="B522" s="8" t="s">
        <v>78</v>
      </c>
      <c r="C522">
        <v>17</v>
      </c>
      <c r="D522" s="8" t="s">
        <v>65</v>
      </c>
      <c r="E522">
        <v>382</v>
      </c>
      <c r="F522" s="8">
        <v>2.41</v>
      </c>
      <c r="H522">
        <v>27</v>
      </c>
      <c r="I522">
        <v>2.41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131.55136005</v>
      </c>
      <c r="P522">
        <f t="shared" si="22"/>
        <v>131.55136005</v>
      </c>
      <c r="S522">
        <f t="shared" si="23"/>
        <v>4.5616672197500003</v>
      </c>
    </row>
    <row r="523" spans="1:19">
      <c r="A523" s="9">
        <v>42643</v>
      </c>
      <c r="B523" s="8" t="s">
        <v>78</v>
      </c>
      <c r="C523">
        <v>17</v>
      </c>
      <c r="D523" s="8" t="s">
        <v>65</v>
      </c>
      <c r="E523">
        <v>255</v>
      </c>
      <c r="F523" s="8">
        <v>2</v>
      </c>
      <c r="H523">
        <v>35</v>
      </c>
      <c r="I523">
        <v>2.4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92.327251199999978</v>
      </c>
      <c r="P523">
        <f t="shared" si="22"/>
        <v>92.327251199999978</v>
      </c>
      <c r="S523">
        <f t="shared" si="23"/>
        <v>3.1415899999999999</v>
      </c>
    </row>
    <row r="524" spans="1:19">
      <c r="A524" s="9">
        <v>42643</v>
      </c>
      <c r="B524" s="8" t="s">
        <v>78</v>
      </c>
      <c r="C524">
        <v>17</v>
      </c>
      <c r="D524" s="8" t="s">
        <v>65</v>
      </c>
      <c r="E524">
        <v>250</v>
      </c>
      <c r="F524" s="8">
        <v>1.7</v>
      </c>
      <c r="H524">
        <v>35</v>
      </c>
      <c r="I524">
        <v>2.4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85.028925099999981</v>
      </c>
      <c r="P524">
        <f t="shared" si="22"/>
        <v>85.028925099999981</v>
      </c>
      <c r="S524">
        <f t="shared" si="23"/>
        <v>2.2697987749999995</v>
      </c>
    </row>
    <row r="525" spans="1:19">
      <c r="A525" s="9">
        <v>42643</v>
      </c>
      <c r="B525" s="8" t="s">
        <v>78</v>
      </c>
      <c r="C525">
        <v>17</v>
      </c>
      <c r="D525" s="8" t="s">
        <v>65</v>
      </c>
      <c r="E525">
        <v>259</v>
      </c>
      <c r="F525" s="8">
        <v>1.81</v>
      </c>
      <c r="H525">
        <v>21</v>
      </c>
      <c r="I525">
        <v>2.8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83.849947170000007</v>
      </c>
      <c r="P525">
        <f t="shared" si="22"/>
        <v>83.849947170000007</v>
      </c>
      <c r="S525">
        <f t="shared" si="23"/>
        <v>2.5730407497500001</v>
      </c>
    </row>
    <row r="526" spans="1:19">
      <c r="A526" s="9">
        <v>42643</v>
      </c>
      <c r="B526" s="8" t="s">
        <v>78</v>
      </c>
      <c r="C526">
        <v>17</v>
      </c>
      <c r="D526" s="8" t="s">
        <v>65</v>
      </c>
      <c r="E526">
        <v>295</v>
      </c>
      <c r="F526" s="8">
        <v>2.1</v>
      </c>
      <c r="H526">
        <v>25</v>
      </c>
      <c r="I526">
        <v>2.3199999999999998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95.708650260000013</v>
      </c>
      <c r="P526">
        <f t="shared" si="22"/>
        <v>95.708650260000013</v>
      </c>
      <c r="S526">
        <f t="shared" si="23"/>
        <v>3.4636029750000001</v>
      </c>
    </row>
    <row r="527" spans="1:19">
      <c r="A527" s="9">
        <v>42643</v>
      </c>
      <c r="B527" s="8" t="s">
        <v>78</v>
      </c>
      <c r="C527">
        <v>17</v>
      </c>
      <c r="D527" s="8" t="s">
        <v>65</v>
      </c>
      <c r="E527">
        <v>200</v>
      </c>
      <c r="F527" s="8">
        <v>1.8</v>
      </c>
      <c r="H527">
        <v>13</v>
      </c>
      <c r="I527">
        <v>1.8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40.810763600000001</v>
      </c>
      <c r="P527">
        <f t="shared" si="22"/>
        <v>40.810763600000001</v>
      </c>
      <c r="S527">
        <f t="shared" si="23"/>
        <v>2.5446879</v>
      </c>
    </row>
    <row r="528" spans="1:19">
      <c r="A528" s="9">
        <v>42643</v>
      </c>
      <c r="B528" s="8" t="s">
        <v>78</v>
      </c>
      <c r="C528">
        <v>17</v>
      </c>
      <c r="D528" s="8" t="s">
        <v>65</v>
      </c>
      <c r="E528">
        <v>277</v>
      </c>
      <c r="F528" s="8">
        <v>2.13</v>
      </c>
      <c r="G528" s="8"/>
      <c r="H528">
        <v>19</v>
      </c>
      <c r="I528" s="8">
        <v>2.33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85.41004805</v>
      </c>
      <c r="P528">
        <f t="shared" si="22"/>
        <v>85.41004805</v>
      </c>
      <c r="S528">
        <f t="shared" si="23"/>
        <v>3.5632699177499991</v>
      </c>
    </row>
    <row r="529" spans="1:19">
      <c r="A529" s="9">
        <v>42643</v>
      </c>
      <c r="B529" s="8" t="s">
        <v>78</v>
      </c>
      <c r="C529">
        <v>17</v>
      </c>
      <c r="D529" s="8" t="s">
        <v>65</v>
      </c>
      <c r="E529">
        <v>312</v>
      </c>
      <c r="F529" s="8">
        <v>2.97</v>
      </c>
      <c r="H529">
        <v>29</v>
      </c>
      <c r="I529">
        <v>2.59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126.07280940999999</v>
      </c>
      <c r="P529">
        <f t="shared" si="22"/>
        <v>126.07280940999999</v>
      </c>
      <c r="S529">
        <f t="shared" si="23"/>
        <v>6.9279128077500012</v>
      </c>
    </row>
    <row r="530" spans="1:19">
      <c r="A530" s="9">
        <v>42643</v>
      </c>
      <c r="B530" s="8" t="s">
        <v>78</v>
      </c>
      <c r="C530">
        <v>17</v>
      </c>
      <c r="D530" s="8" t="s">
        <v>65</v>
      </c>
      <c r="E530">
        <v>243</v>
      </c>
      <c r="F530" s="8">
        <v>2</v>
      </c>
      <c r="G530" s="8"/>
      <c r="H530">
        <v>36</v>
      </c>
      <c r="I530" s="8">
        <v>2.6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93.105984599999999</v>
      </c>
      <c r="P530">
        <f t="shared" si="22"/>
        <v>93.105984599999999</v>
      </c>
      <c r="S530">
        <f t="shared" si="23"/>
        <v>3.1415899999999999</v>
      </c>
    </row>
    <row r="531" spans="1:19">
      <c r="A531" s="9">
        <v>42643</v>
      </c>
      <c r="B531" s="8" t="s">
        <v>78</v>
      </c>
      <c r="C531">
        <v>17</v>
      </c>
      <c r="D531" s="8" t="s">
        <v>65</v>
      </c>
      <c r="E531">
        <v>280</v>
      </c>
      <c r="F531" s="8">
        <v>2.2000000000000002</v>
      </c>
      <c r="G531" s="8"/>
      <c r="H531">
        <v>25</v>
      </c>
      <c r="I531" s="8">
        <v>2.7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99.717420000000033</v>
      </c>
      <c r="P531">
        <f t="shared" si="22"/>
        <v>99.717420000000033</v>
      </c>
      <c r="S531">
        <f t="shared" si="23"/>
        <v>3.8013239000000003</v>
      </c>
    </row>
    <row r="532" spans="1:19">
      <c r="A532" s="9">
        <v>42643</v>
      </c>
      <c r="B532" s="8" t="s">
        <v>78</v>
      </c>
      <c r="C532">
        <v>17</v>
      </c>
      <c r="D532" s="8" t="s">
        <v>65</v>
      </c>
      <c r="E532">
        <v>277</v>
      </c>
      <c r="F532" s="8">
        <v>2.35</v>
      </c>
      <c r="H532">
        <v>30</v>
      </c>
      <c r="I532">
        <v>2.6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104.59877015000001</v>
      </c>
      <c r="P532">
        <f t="shared" si="22"/>
        <v>104.59877015000001</v>
      </c>
      <c r="S532">
        <f t="shared" si="23"/>
        <v>4.3373576937500005</v>
      </c>
    </row>
    <row r="533" spans="1:19">
      <c r="A533" s="9">
        <v>42643</v>
      </c>
      <c r="B533" s="8" t="s">
        <v>78</v>
      </c>
      <c r="C533">
        <v>17</v>
      </c>
      <c r="D533" s="8" t="s">
        <v>65</v>
      </c>
      <c r="E533">
        <v>272</v>
      </c>
      <c r="F533" s="8">
        <v>2.2000000000000002</v>
      </c>
      <c r="G533" s="8"/>
      <c r="H533">
        <v>30</v>
      </c>
      <c r="I533" s="8">
        <v>2.8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103.6850182</v>
      </c>
      <c r="P533">
        <f t="shared" si="22"/>
        <v>103.6850182</v>
      </c>
      <c r="S533">
        <f t="shared" si="23"/>
        <v>3.8013239000000003</v>
      </c>
    </row>
    <row r="534" spans="1:19">
      <c r="A534" s="9">
        <v>42643</v>
      </c>
      <c r="B534" s="8" t="s">
        <v>78</v>
      </c>
      <c r="C534">
        <v>17</v>
      </c>
      <c r="D534" s="8" t="s">
        <v>64</v>
      </c>
      <c r="F534" s="8">
        <v>1.6</v>
      </c>
      <c r="J534">
        <f>183+200+220+221</f>
        <v>824</v>
      </c>
      <c r="K534">
        <v>4</v>
      </c>
      <c r="L534">
        <v>221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15.626547000000009</v>
      </c>
      <c r="P534">
        <f t="shared" si="22"/>
        <v>15.626547000000009</v>
      </c>
      <c r="S534">
        <f t="shared" si="23"/>
        <v>2.0106176000000002</v>
      </c>
    </row>
    <row r="535" spans="1:19">
      <c r="A535" s="9">
        <v>42643</v>
      </c>
      <c r="B535" s="8" t="s">
        <v>78</v>
      </c>
      <c r="C535">
        <v>17</v>
      </c>
      <c r="D535" s="8" t="s">
        <v>64</v>
      </c>
      <c r="F535" s="8">
        <v>0.75</v>
      </c>
      <c r="J535">
        <f>40+54+68</f>
        <v>162</v>
      </c>
      <c r="K535">
        <v>3</v>
      </c>
      <c r="L535">
        <v>68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6.6735749999999996</v>
      </c>
      <c r="P535">
        <f t="shared" si="22"/>
        <v>6.6735749999999996</v>
      </c>
      <c r="S535">
        <f t="shared" si="23"/>
        <v>0.44178609375</v>
      </c>
    </row>
    <row r="536" spans="1:19">
      <c r="A536" s="9">
        <v>42643</v>
      </c>
      <c r="B536" s="8" t="s">
        <v>78</v>
      </c>
      <c r="C536">
        <v>17</v>
      </c>
      <c r="D536" s="8" t="s">
        <v>64</v>
      </c>
      <c r="F536" s="8">
        <v>1.62</v>
      </c>
      <c r="J536">
        <f>40+70+78</f>
        <v>188</v>
      </c>
      <c r="K536">
        <v>3</v>
      </c>
      <c r="L536">
        <v>78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6.098754999999997</v>
      </c>
      <c r="P536">
        <f t="shared" si="22"/>
        <v>6.098754999999997</v>
      </c>
      <c r="S536">
        <f t="shared" si="23"/>
        <v>2.0611971990000004</v>
      </c>
    </row>
    <row r="537" spans="1:19">
      <c r="A537" s="9">
        <v>42643</v>
      </c>
      <c r="B537" s="8" t="s">
        <v>78</v>
      </c>
      <c r="C537">
        <v>17</v>
      </c>
      <c r="D537" s="8" t="s">
        <v>64</v>
      </c>
      <c r="F537" s="8">
        <v>3.6</v>
      </c>
      <c r="J537">
        <f>78+111+129+155+163</f>
        <v>636</v>
      </c>
      <c r="K537">
        <v>5</v>
      </c>
      <c r="L537">
        <v>163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8.4504640000000038</v>
      </c>
      <c r="P537">
        <f t="shared" si="22"/>
        <v>8.4504640000000038</v>
      </c>
      <c r="S537">
        <f t="shared" si="23"/>
        <v>10.1787516</v>
      </c>
    </row>
    <row r="538" spans="1:19">
      <c r="A538" s="9">
        <v>42643</v>
      </c>
      <c r="B538" s="8" t="s">
        <v>78</v>
      </c>
      <c r="C538">
        <v>17</v>
      </c>
      <c r="D538" s="8" t="s">
        <v>64</v>
      </c>
      <c r="F538" s="8">
        <v>1.4</v>
      </c>
      <c r="J538">
        <f>152+191+205</f>
        <v>548</v>
      </c>
      <c r="K538">
        <v>3</v>
      </c>
      <c r="L538">
        <v>205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1.5924400000000034</v>
      </c>
      <c r="P538">
        <f t="shared" si="22"/>
        <v>1.5924400000000034</v>
      </c>
      <c r="S538">
        <f t="shared" si="23"/>
        <v>1.5393790999999997</v>
      </c>
    </row>
    <row r="539" spans="1:19">
      <c r="A539" s="9">
        <v>42643</v>
      </c>
      <c r="B539" s="8" t="s">
        <v>78</v>
      </c>
      <c r="C539">
        <v>17</v>
      </c>
      <c r="D539" s="8" t="s">
        <v>64</v>
      </c>
      <c r="F539" s="8">
        <v>4.03</v>
      </c>
      <c r="J539">
        <f>240+251+293+300+320+338+332</f>
        <v>2074</v>
      </c>
      <c r="K539">
        <v>7</v>
      </c>
      <c r="L539">
        <v>338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76.507573000000008</v>
      </c>
      <c r="P539">
        <f t="shared" si="22"/>
        <v>76.507573000000008</v>
      </c>
      <c r="S539">
        <f t="shared" si="23"/>
        <v>12.755562257750002</v>
      </c>
    </row>
    <row r="540" spans="1:19">
      <c r="A540" s="9">
        <v>42643</v>
      </c>
      <c r="B540" s="8" t="s">
        <v>78</v>
      </c>
      <c r="C540">
        <v>17</v>
      </c>
      <c r="D540" s="8" t="s">
        <v>64</v>
      </c>
      <c r="F540" s="8">
        <v>1.3</v>
      </c>
      <c r="J540">
        <f>155+189+214</f>
        <v>558</v>
      </c>
      <c r="K540">
        <v>3</v>
      </c>
      <c r="L540">
        <v>214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-0.18121500000000168</v>
      </c>
      <c r="P540" t="str">
        <f t="shared" si="22"/>
        <v xml:space="preserve"> </v>
      </c>
      <c r="S540">
        <f t="shared" si="23"/>
        <v>1.3273217750000001</v>
      </c>
    </row>
    <row r="541" spans="1:19">
      <c r="A541" s="9">
        <v>42643</v>
      </c>
      <c r="B541" s="8" t="s">
        <v>78</v>
      </c>
      <c r="C541">
        <v>17</v>
      </c>
      <c r="D541" s="8" t="s">
        <v>64</v>
      </c>
      <c r="F541" s="8">
        <v>2.61</v>
      </c>
      <c r="J541">
        <f>70+101+135+147+151</f>
        <v>604</v>
      </c>
      <c r="K541">
        <v>5</v>
      </c>
      <c r="L541">
        <v>151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9.065244000000007</v>
      </c>
      <c r="P541">
        <f t="shared" si="22"/>
        <v>9.065244000000007</v>
      </c>
      <c r="S541">
        <f t="shared" si="23"/>
        <v>5.350206309749999</v>
      </c>
    </row>
    <row r="542" spans="1:19">
      <c r="A542" s="9">
        <v>42643</v>
      </c>
      <c r="B542" s="8" t="s">
        <v>78</v>
      </c>
      <c r="C542">
        <v>17</v>
      </c>
      <c r="D542" s="8" t="s">
        <v>64</v>
      </c>
      <c r="F542" s="8">
        <v>0.73</v>
      </c>
      <c r="J542">
        <f>20+21</f>
        <v>41</v>
      </c>
      <c r="K542">
        <v>2</v>
      </c>
      <c r="L542">
        <v>21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16.510087999999996</v>
      </c>
      <c r="P542">
        <f t="shared" si="22"/>
        <v>16.510087999999996</v>
      </c>
      <c r="S542">
        <f t="shared" si="23"/>
        <v>0.41853832774999994</v>
      </c>
    </row>
    <row r="543" spans="1:19">
      <c r="A543" s="9">
        <v>42643</v>
      </c>
      <c r="B543" s="8" t="s">
        <v>78</v>
      </c>
      <c r="C543">
        <v>17</v>
      </c>
      <c r="D543" s="8" t="s">
        <v>64</v>
      </c>
      <c r="F543" s="8">
        <v>0.7</v>
      </c>
      <c r="J543">
        <f>27+42+60+65</f>
        <v>194</v>
      </c>
      <c r="K543">
        <v>4</v>
      </c>
      <c r="L543">
        <v>65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3.5551169999999992</v>
      </c>
      <c r="P543">
        <f t="shared" si="22"/>
        <v>3.5551169999999992</v>
      </c>
      <c r="S543">
        <f t="shared" si="23"/>
        <v>0.38484477499999992</v>
      </c>
    </row>
    <row r="544" spans="1:19">
      <c r="A544" s="9">
        <v>42643</v>
      </c>
      <c r="B544" s="8" t="s">
        <v>78</v>
      </c>
      <c r="C544">
        <v>17</v>
      </c>
      <c r="D544" s="8" t="s">
        <v>64</v>
      </c>
      <c r="F544" s="8">
        <v>2.62</v>
      </c>
      <c r="J544">
        <f>72+114+146+158+162</f>
        <v>652</v>
      </c>
      <c r="K544">
        <v>5</v>
      </c>
      <c r="L544">
        <v>162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10.251789000000002</v>
      </c>
      <c r="P544">
        <f t="shared" si="22"/>
        <v>10.251789000000002</v>
      </c>
      <c r="S544">
        <f t="shared" si="23"/>
        <v>5.3912825990000002</v>
      </c>
    </row>
    <row r="545" spans="1:19">
      <c r="A545" s="9">
        <v>42643</v>
      </c>
      <c r="B545" s="8" t="s">
        <v>78</v>
      </c>
      <c r="C545">
        <v>17</v>
      </c>
      <c r="D545" s="8" t="s">
        <v>64</v>
      </c>
      <c r="F545" s="8">
        <v>0.74</v>
      </c>
      <c r="G545" s="8"/>
      <c r="I545" s="8"/>
      <c r="J545">
        <f>30+33+63</f>
        <v>126</v>
      </c>
      <c r="K545">
        <v>3</v>
      </c>
      <c r="L545">
        <v>63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4.8046199999999999</v>
      </c>
      <c r="P545">
        <f t="shared" si="22"/>
        <v>4.8046199999999999</v>
      </c>
      <c r="S545">
        <f t="shared" si="23"/>
        <v>0.43008367099999995</v>
      </c>
    </row>
    <row r="546" spans="1:19">
      <c r="A546" s="9">
        <v>42643</v>
      </c>
      <c r="B546" s="8" t="s">
        <v>78</v>
      </c>
      <c r="C546">
        <v>17</v>
      </c>
      <c r="D546" s="8" t="s">
        <v>64</v>
      </c>
      <c r="F546" s="8">
        <v>1.56</v>
      </c>
      <c r="I546" s="8"/>
      <c r="J546">
        <f>40+75+80+93</f>
        <v>288</v>
      </c>
      <c r="K546">
        <v>4</v>
      </c>
      <c r="L546">
        <v>93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3.9332270000000022</v>
      </c>
      <c r="P546">
        <f t="shared" si="22"/>
        <v>3.9332270000000022</v>
      </c>
      <c r="S546">
        <f t="shared" si="23"/>
        <v>1.9113433560000002</v>
      </c>
    </row>
    <row r="547" spans="1:19">
      <c r="A547" s="9">
        <v>42643</v>
      </c>
      <c r="B547" s="8" t="s">
        <v>78</v>
      </c>
      <c r="C547">
        <v>17</v>
      </c>
      <c r="D547" s="8" t="s">
        <v>64</v>
      </c>
      <c r="F547" s="8">
        <v>2.79</v>
      </c>
      <c r="J547">
        <f>249+256+257+287+305</f>
        <v>1354</v>
      </c>
      <c r="K547">
        <v>5</v>
      </c>
      <c r="L547">
        <v>305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32.989764000000001</v>
      </c>
      <c r="P547">
        <f t="shared" si="22"/>
        <v>32.989764000000001</v>
      </c>
      <c r="S547">
        <f t="shared" si="23"/>
        <v>6.1136126797500001</v>
      </c>
    </row>
    <row r="548" spans="1:19">
      <c r="A548" s="9">
        <v>42643</v>
      </c>
      <c r="B548" s="8" t="s">
        <v>78</v>
      </c>
      <c r="C548">
        <v>17</v>
      </c>
      <c r="D548" s="8" t="s">
        <v>64</v>
      </c>
      <c r="F548" s="8">
        <v>3.5</v>
      </c>
      <c r="J548">
        <f>227+258+271+273+274+294</f>
        <v>1597</v>
      </c>
      <c r="K548">
        <v>6</v>
      </c>
      <c r="L548">
        <v>294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52.063571000000017</v>
      </c>
      <c r="P548">
        <f t="shared" si="22"/>
        <v>52.063571000000017</v>
      </c>
      <c r="S548">
        <f t="shared" si="23"/>
        <v>9.6211193749999993</v>
      </c>
    </row>
    <row r="549" spans="1:19">
      <c r="A549" s="9">
        <v>42643</v>
      </c>
      <c r="B549" s="8" t="s">
        <v>78</v>
      </c>
      <c r="C549" s="8">
        <v>6</v>
      </c>
      <c r="D549" s="8"/>
      <c r="F549" s="8"/>
      <c r="M549" t="s">
        <v>74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0</v>
      </c>
      <c r="P549">
        <f t="shared" si="22"/>
        <v>0</v>
      </c>
      <c r="S549">
        <f t="shared" si="23"/>
        <v>0</v>
      </c>
    </row>
    <row r="550" spans="1:19">
      <c r="A550" s="9">
        <v>42643</v>
      </c>
      <c r="B550" s="8" t="s">
        <v>78</v>
      </c>
      <c r="C550" s="8">
        <v>2</v>
      </c>
      <c r="D550" s="8" t="s">
        <v>65</v>
      </c>
      <c r="F550" s="8">
        <v>2.6</v>
      </c>
      <c r="H550" s="8"/>
      <c r="J550">
        <f>188+207+209+224+230</f>
        <v>1058</v>
      </c>
      <c r="K550">
        <v>5</v>
      </c>
      <c r="L550">
        <v>230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27.831659000000009</v>
      </c>
      <c r="P550">
        <f t="shared" si="22"/>
        <v>27.831659000000009</v>
      </c>
      <c r="S550">
        <f t="shared" si="23"/>
        <v>5.3092871000000006</v>
      </c>
    </row>
    <row r="551" spans="1:19">
      <c r="A551" s="9">
        <v>42643</v>
      </c>
      <c r="B551" s="8" t="s">
        <v>78</v>
      </c>
      <c r="C551" s="8">
        <v>2</v>
      </c>
      <c r="D551" s="8" t="s">
        <v>65</v>
      </c>
      <c r="F551" s="8">
        <v>2.37</v>
      </c>
      <c r="J551">
        <f>175+225+227+235+241+257</f>
        <v>1360</v>
      </c>
      <c r="K551">
        <v>6</v>
      </c>
      <c r="L551">
        <v>257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40.989701000000018</v>
      </c>
      <c r="P551">
        <f t="shared" si="22"/>
        <v>40.989701000000018</v>
      </c>
      <c r="S551">
        <f t="shared" si="23"/>
        <v>4.4114992177500003</v>
      </c>
    </row>
    <row r="552" spans="1:19">
      <c r="A552" s="9">
        <v>42643</v>
      </c>
      <c r="B552" s="8" t="s">
        <v>78</v>
      </c>
      <c r="C552" s="8">
        <v>2</v>
      </c>
      <c r="D552" s="8" t="s">
        <v>64</v>
      </c>
      <c r="F552" s="8">
        <v>2.48</v>
      </c>
      <c r="J552">
        <f>55+119+151+154+166+177</f>
        <v>822</v>
      </c>
      <c r="K552">
        <v>6</v>
      </c>
      <c r="L552">
        <v>177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14.649110999999998</v>
      </c>
      <c r="P552">
        <f t="shared" si="22"/>
        <v>14.649110999999998</v>
      </c>
      <c r="S552">
        <f t="shared" si="23"/>
        <v>4.8305087840000001</v>
      </c>
    </row>
    <row r="553" spans="1:19">
      <c r="A553" s="9">
        <v>42643</v>
      </c>
      <c r="B553" s="8" t="s">
        <v>78</v>
      </c>
      <c r="C553" s="8">
        <v>2</v>
      </c>
      <c r="D553" s="8" t="s">
        <v>64</v>
      </c>
      <c r="F553" s="8">
        <v>0.7</v>
      </c>
      <c r="J553">
        <f>45+115</f>
        <v>160</v>
      </c>
      <c r="K553">
        <v>2</v>
      </c>
      <c r="L553">
        <v>115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-0.65009700000000237</v>
      </c>
      <c r="P553" t="str">
        <f t="shared" si="22"/>
        <v xml:space="preserve"> </v>
      </c>
      <c r="S553">
        <f t="shared" si="23"/>
        <v>0.38484477499999992</v>
      </c>
    </row>
    <row r="554" spans="1:19">
      <c r="A554" s="9">
        <v>42643</v>
      </c>
      <c r="B554" s="8" t="s">
        <v>78</v>
      </c>
      <c r="C554" s="8">
        <v>2</v>
      </c>
      <c r="D554" s="8" t="s">
        <v>64</v>
      </c>
      <c r="F554" s="8">
        <v>2.9</v>
      </c>
      <c r="J554">
        <f>182+224+228+238+244</f>
        <v>1116</v>
      </c>
      <c r="K554">
        <v>5</v>
      </c>
      <c r="L554">
        <v>244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29.052019000000023</v>
      </c>
      <c r="P554">
        <f t="shared" si="22"/>
        <v>29.052019000000023</v>
      </c>
      <c r="S554">
        <f t="shared" si="23"/>
        <v>6.6051929749999996</v>
      </c>
    </row>
    <row r="555" spans="1:19">
      <c r="A555" s="9">
        <v>42643</v>
      </c>
      <c r="B555" s="8" t="s">
        <v>78</v>
      </c>
      <c r="C555" s="8">
        <v>2</v>
      </c>
      <c r="D555" s="8" t="s">
        <v>64</v>
      </c>
      <c r="F555" s="8">
        <v>1.68</v>
      </c>
      <c r="J555">
        <f>95+200+221</f>
        <v>516</v>
      </c>
      <c r="K555">
        <v>3</v>
      </c>
      <c r="L555">
        <v>221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-6.2276399999999938</v>
      </c>
      <c r="P555" t="str">
        <f t="shared" si="22"/>
        <v xml:space="preserve"> </v>
      </c>
      <c r="S555">
        <f t="shared" si="23"/>
        <v>2.2167059039999994</v>
      </c>
    </row>
    <row r="556" spans="1:19">
      <c r="A556" s="9">
        <v>42643</v>
      </c>
      <c r="B556" s="8" t="s">
        <v>78</v>
      </c>
      <c r="C556" s="8">
        <v>2</v>
      </c>
      <c r="D556" s="8" t="s">
        <v>64</v>
      </c>
      <c r="F556" s="8">
        <v>5.03</v>
      </c>
      <c r="J556">
        <f>180+195+213+225+236</f>
        <v>1049</v>
      </c>
      <c r="K556">
        <v>5</v>
      </c>
      <c r="L556">
        <v>236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25.180394000000007</v>
      </c>
      <c r="P556">
        <f t="shared" si="22"/>
        <v>25.180394000000007</v>
      </c>
      <c r="S556">
        <f t="shared" si="23"/>
        <v>19.871263607750002</v>
      </c>
    </row>
    <row r="557" spans="1:19">
      <c r="A557" s="9">
        <v>42643</v>
      </c>
      <c r="B557" s="8" t="s">
        <v>78</v>
      </c>
      <c r="C557" s="8">
        <v>2</v>
      </c>
      <c r="D557" s="8" t="s">
        <v>64</v>
      </c>
      <c r="F557" s="8">
        <v>2.11</v>
      </c>
      <c r="J557">
        <f>68+148+174+188+190+210</f>
        <v>978</v>
      </c>
      <c r="K557">
        <v>6</v>
      </c>
      <c r="L557">
        <v>210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19.333806000000003</v>
      </c>
      <c r="P557">
        <f t="shared" si="22"/>
        <v>19.333806000000003</v>
      </c>
      <c r="S557">
        <f t="shared" si="23"/>
        <v>3.4966682097499997</v>
      </c>
    </row>
    <row r="558" spans="1:19">
      <c r="A558" s="9">
        <v>42643</v>
      </c>
      <c r="B558" s="8" t="s">
        <v>78</v>
      </c>
      <c r="C558" s="8">
        <v>2</v>
      </c>
      <c r="D558" s="8" t="s">
        <v>64</v>
      </c>
      <c r="F558" s="8">
        <v>1.1000000000000001</v>
      </c>
      <c r="J558">
        <f>18+23+138</f>
        <v>179</v>
      </c>
      <c r="K558">
        <v>3</v>
      </c>
      <c r="L558">
        <v>138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-12.819740000000003</v>
      </c>
      <c r="P558" t="str">
        <f t="shared" si="22"/>
        <v xml:space="preserve"> </v>
      </c>
      <c r="S558">
        <f t="shared" si="23"/>
        <v>0.95033097500000008</v>
      </c>
    </row>
    <row r="559" spans="1:19">
      <c r="A559" s="9">
        <v>42643</v>
      </c>
      <c r="B559" s="8" t="s">
        <v>78</v>
      </c>
      <c r="C559" s="8">
        <v>2</v>
      </c>
      <c r="D559" s="8" t="s">
        <v>64</v>
      </c>
      <c r="F559" s="8">
        <v>3.98</v>
      </c>
      <c r="J559">
        <f>168+229+250+254+265+303</f>
        <v>1469</v>
      </c>
      <c r="K559">
        <v>6</v>
      </c>
      <c r="L559">
        <v>303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37.351726000000021</v>
      </c>
      <c r="P559">
        <f t="shared" si="22"/>
        <v>37.351726000000021</v>
      </c>
      <c r="S559">
        <f t="shared" si="23"/>
        <v>12.441010559</v>
      </c>
    </row>
    <row r="560" spans="1:19">
      <c r="A560" s="9">
        <v>42643</v>
      </c>
      <c r="B560" s="8" t="s">
        <v>78</v>
      </c>
      <c r="C560" s="8">
        <v>2</v>
      </c>
      <c r="D560" s="8" t="s">
        <v>64</v>
      </c>
      <c r="F560" s="8">
        <v>0.6</v>
      </c>
      <c r="J560">
        <f>108+115</f>
        <v>223</v>
      </c>
      <c r="K560">
        <v>2</v>
      </c>
      <c r="L560">
        <v>115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5.2564679999999981</v>
      </c>
      <c r="P560">
        <f t="shared" si="22"/>
        <v>5.2564679999999981</v>
      </c>
      <c r="S560">
        <f t="shared" si="23"/>
        <v>0.28274309999999997</v>
      </c>
    </row>
    <row r="561" spans="1:19">
      <c r="A561" s="9"/>
      <c r="B561" s="8"/>
      <c r="C561" s="8"/>
      <c r="D561" s="8"/>
      <c r="F561" s="8"/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0</v>
      </c>
      <c r="S561">
        <f t="shared" ref="S561:S594" si="24">3.14159*((F561/2)^2)</f>
        <v>0</v>
      </c>
    </row>
    <row r="562" spans="1:19">
      <c r="A562" s="9"/>
      <c r="B562" s="8"/>
      <c r="C562" s="8"/>
      <c r="D562" s="8"/>
      <c r="F562" s="8"/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0</v>
      </c>
      <c r="S562">
        <f t="shared" si="24"/>
        <v>0</v>
      </c>
    </row>
    <row r="563" spans="1:19">
      <c r="A563" s="9"/>
      <c r="B563" s="8"/>
      <c r="C563" s="8"/>
      <c r="D563" s="8"/>
      <c r="F563" s="8"/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0</v>
      </c>
      <c r="S563">
        <f t="shared" si="24"/>
        <v>0</v>
      </c>
    </row>
    <row r="564" spans="1:19">
      <c r="A564" s="9"/>
      <c r="B564" s="8"/>
      <c r="C564" s="8"/>
      <c r="D564" s="8"/>
      <c r="F564" s="8"/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0</v>
      </c>
      <c r="S564">
        <f t="shared" si="24"/>
        <v>0</v>
      </c>
    </row>
    <row r="565" spans="1:19">
      <c r="A565" s="9"/>
      <c r="B565" s="8"/>
      <c r="C565" s="8"/>
      <c r="D565" s="8"/>
      <c r="F565" s="8"/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0</v>
      </c>
      <c r="S565">
        <f t="shared" si="24"/>
        <v>0</v>
      </c>
    </row>
    <row r="566" spans="1:19">
      <c r="A566" s="9"/>
      <c r="B566" s="8"/>
      <c r="C566" s="8"/>
      <c r="D566" s="8"/>
      <c r="F566" s="8"/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0</v>
      </c>
      <c r="S566">
        <f t="shared" si="24"/>
        <v>0</v>
      </c>
    </row>
    <row r="567" spans="1:19">
      <c r="A567" s="9"/>
      <c r="B567" s="8"/>
      <c r="C567" s="8"/>
      <c r="D567" s="8"/>
      <c r="F567" s="8"/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0</v>
      </c>
      <c r="S567">
        <f t="shared" si="24"/>
        <v>0</v>
      </c>
    </row>
    <row r="568" spans="1:19">
      <c r="A568" s="9"/>
      <c r="B568" s="8"/>
      <c r="C568" s="8"/>
      <c r="D568" s="8"/>
      <c r="F568" s="8"/>
      <c r="H568" s="8"/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0</v>
      </c>
      <c r="S568">
        <f t="shared" si="24"/>
        <v>0</v>
      </c>
    </row>
    <row r="569" spans="1:19">
      <c r="A569" s="9"/>
      <c r="B569" s="8"/>
      <c r="C569" s="8"/>
      <c r="D569" s="8"/>
      <c r="F569" s="8"/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0</v>
      </c>
      <c r="S569">
        <f t="shared" si="24"/>
        <v>0</v>
      </c>
    </row>
    <row r="570" spans="1:19">
      <c r="A570" s="9"/>
      <c r="B570" s="8"/>
      <c r="C570" s="8"/>
      <c r="D570" s="8"/>
      <c r="F570" s="8"/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0</v>
      </c>
      <c r="S570">
        <f t="shared" si="24"/>
        <v>0</v>
      </c>
    </row>
    <row r="571" spans="1:19">
      <c r="A571" s="9"/>
      <c r="B571" s="8"/>
      <c r="C571" s="8"/>
      <c r="D571" s="8"/>
      <c r="F571" s="8"/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0</v>
      </c>
      <c r="S571">
        <f t="shared" si="24"/>
        <v>0</v>
      </c>
    </row>
    <row r="572" spans="1:19">
      <c r="A572" s="9"/>
      <c r="B572" s="8"/>
      <c r="C572" s="8"/>
      <c r="D572" s="8"/>
      <c r="F572" s="8"/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0</v>
      </c>
      <c r="S572">
        <f t="shared" si="24"/>
        <v>0</v>
      </c>
    </row>
    <row r="573" spans="1:19">
      <c r="A573" s="9"/>
      <c r="B573" s="8"/>
      <c r="C573" s="8"/>
      <c r="D573" s="8"/>
      <c r="F573" s="8"/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0</v>
      </c>
      <c r="S573">
        <f t="shared" si="24"/>
        <v>0</v>
      </c>
    </row>
    <row r="574" spans="1:19">
      <c r="A574" s="9"/>
      <c r="B574" s="8"/>
      <c r="C574" s="8"/>
      <c r="D574" s="8"/>
      <c r="F574" s="8"/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0</v>
      </c>
      <c r="S574">
        <f t="shared" si="24"/>
        <v>0</v>
      </c>
    </row>
    <row r="575" spans="1:19">
      <c r="A575" s="9"/>
      <c r="B575" s="8"/>
      <c r="C575" s="8"/>
      <c r="D575" s="8"/>
      <c r="F575" s="8"/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0</v>
      </c>
      <c r="S575">
        <f t="shared" si="24"/>
        <v>0</v>
      </c>
    </row>
    <row r="576" spans="1:19">
      <c r="A576" s="7"/>
      <c r="B576" s="8"/>
      <c r="D576" s="8"/>
      <c r="F576" s="8"/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0</v>
      </c>
      <c r="S576">
        <f t="shared" si="24"/>
        <v>0</v>
      </c>
    </row>
    <row r="577" spans="1:19">
      <c r="A577" s="7"/>
      <c r="B577" s="8"/>
      <c r="D577" s="8"/>
      <c r="F577" s="8"/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0</v>
      </c>
      <c r="S577">
        <f t="shared" si="24"/>
        <v>0</v>
      </c>
    </row>
    <row r="578" spans="1:19">
      <c r="A578" s="7"/>
      <c r="B578" s="8"/>
      <c r="D578" s="8"/>
      <c r="F578" s="8"/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0</v>
      </c>
      <c r="S578">
        <f t="shared" si="24"/>
        <v>0</v>
      </c>
    </row>
    <row r="579" spans="1:19">
      <c r="A579" s="7"/>
      <c r="B579" s="8"/>
      <c r="D579" s="8"/>
      <c r="F579" s="8"/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0</v>
      </c>
      <c r="S579">
        <f t="shared" si="24"/>
        <v>0</v>
      </c>
    </row>
    <row r="580" spans="1:19">
      <c r="A580" s="7"/>
      <c r="B580" s="8"/>
      <c r="D580" s="8"/>
      <c r="F580" s="8"/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0</v>
      </c>
      <c r="S580">
        <f t="shared" si="24"/>
        <v>0</v>
      </c>
    </row>
    <row r="581" spans="1:19">
      <c r="A581" s="7"/>
      <c r="B581" s="8"/>
      <c r="D581" s="8"/>
      <c r="F581" s="8"/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0</v>
      </c>
      <c r="S581">
        <f t="shared" si="24"/>
        <v>0</v>
      </c>
    </row>
    <row r="582" spans="1:19">
      <c r="A582" s="7"/>
      <c r="B582" s="8"/>
      <c r="D582" s="8"/>
      <c r="F582" s="8"/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0</v>
      </c>
      <c r="S582">
        <f t="shared" si="24"/>
        <v>0</v>
      </c>
    </row>
    <row r="583" spans="1:19">
      <c r="A583" s="7"/>
      <c r="B583" s="8"/>
      <c r="D583" s="8"/>
      <c r="F583" s="8"/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0</v>
      </c>
      <c r="S583">
        <f t="shared" si="24"/>
        <v>0</v>
      </c>
    </row>
    <row r="584" spans="1:19">
      <c r="A584" s="7"/>
      <c r="B584" s="8"/>
      <c r="D584" s="8"/>
      <c r="F584" s="8"/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0</v>
      </c>
      <c r="S584">
        <f t="shared" si="24"/>
        <v>0</v>
      </c>
    </row>
    <row r="585" spans="1:19">
      <c r="A585" s="7"/>
      <c r="B585" s="8"/>
      <c r="D585" s="8"/>
      <c r="F585" s="8"/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0</v>
      </c>
      <c r="S585">
        <f t="shared" si="24"/>
        <v>0</v>
      </c>
    </row>
    <row r="586" spans="1:19">
      <c r="A586" s="7"/>
      <c r="B586" s="8"/>
      <c r="D586" s="8"/>
      <c r="F586" s="8"/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0</v>
      </c>
      <c r="S586">
        <f t="shared" si="24"/>
        <v>0</v>
      </c>
    </row>
    <row r="587" spans="1:19">
      <c r="A587" s="7"/>
      <c r="B587" s="8"/>
      <c r="D587" s="8"/>
      <c r="F587" s="8"/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0</v>
      </c>
      <c r="S587">
        <f t="shared" si="24"/>
        <v>0</v>
      </c>
    </row>
    <row r="588" spans="1:19">
      <c r="A588" s="7"/>
      <c r="B588" s="8"/>
      <c r="D588" s="8"/>
      <c r="F588" s="8"/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0</v>
      </c>
      <c r="S588">
        <f t="shared" si="24"/>
        <v>0</v>
      </c>
    </row>
    <row r="589" spans="1:19">
      <c r="A589" s="7"/>
      <c r="B589" s="8"/>
      <c r="D589" s="8"/>
      <c r="F589" s="8"/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0</v>
      </c>
      <c r="S589">
        <f t="shared" si="24"/>
        <v>0</v>
      </c>
    </row>
    <row r="590" spans="1:19">
      <c r="A590" s="7"/>
      <c r="B590" s="8"/>
      <c r="D590" s="8"/>
      <c r="F590" s="8"/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0</v>
      </c>
      <c r="S590">
        <f t="shared" si="24"/>
        <v>0</v>
      </c>
    </row>
    <row r="591" spans="1:19">
      <c r="A591" s="7"/>
      <c r="B591" s="8"/>
      <c r="D591" s="8"/>
      <c r="F591" s="8"/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0</v>
      </c>
      <c r="S591">
        <f t="shared" si="24"/>
        <v>0</v>
      </c>
    </row>
    <row r="592" spans="1:19">
      <c r="A592" s="7"/>
      <c r="B592" s="8"/>
      <c r="D592" s="8"/>
      <c r="F592" s="8"/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0</v>
      </c>
      <c r="S592">
        <f t="shared" si="24"/>
        <v>0</v>
      </c>
    </row>
    <row r="593" spans="1:19">
      <c r="A593" s="7"/>
      <c r="B593" s="8"/>
      <c r="D593" s="8"/>
      <c r="F593" s="8"/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0</v>
      </c>
      <c r="S593">
        <f t="shared" si="24"/>
        <v>0</v>
      </c>
    </row>
    <row r="594" spans="1:19">
      <c r="A594" s="7"/>
      <c r="B594" s="8"/>
      <c r="D594" s="8"/>
      <c r="F594" s="8"/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0</v>
      </c>
      <c r="S594">
        <f t="shared" si="24"/>
        <v>0</v>
      </c>
    </row>
    <row r="595" spans="1:19">
      <c r="A595" s="7"/>
      <c r="B595" s="8"/>
      <c r="D595" s="8"/>
    </row>
    <row r="596" spans="1:19">
      <c r="A596" s="7"/>
      <c r="B596" s="8"/>
      <c r="D596" s="8"/>
    </row>
    <row r="597" spans="1:19">
      <c r="A597" s="7"/>
      <c r="B597" s="8"/>
      <c r="D597" s="8"/>
    </row>
    <row r="598" spans="1:19">
      <c r="A598" s="7"/>
      <c r="B598" s="8"/>
      <c r="D598" s="8"/>
    </row>
    <row r="599" spans="1:19">
      <c r="A599" s="7"/>
      <c r="B599" s="8"/>
      <c r="D599" s="8"/>
    </row>
    <row r="600" spans="1:19">
      <c r="A600" s="7"/>
      <c r="B600" s="8"/>
      <c r="D600" s="8"/>
    </row>
    <row r="601" spans="1:19">
      <c r="A601" s="7"/>
      <c r="B601" s="8"/>
      <c r="D601" s="8"/>
    </row>
    <row r="602" spans="1:19">
      <c r="A602" s="7"/>
      <c r="B602" s="8"/>
      <c r="D602" s="8"/>
    </row>
    <row r="603" spans="1:19">
      <c r="A603" s="7"/>
      <c r="B603" s="8"/>
      <c r="D603" s="8"/>
    </row>
    <row r="604" spans="1:19">
      <c r="A604" s="7"/>
      <c r="B604" s="8"/>
      <c r="D604" s="8"/>
    </row>
    <row r="605" spans="1:19">
      <c r="A605" s="7"/>
      <c r="B605" s="8"/>
      <c r="D605" s="8"/>
    </row>
    <row r="606" spans="1:19">
      <c r="A606" s="7"/>
      <c r="B606" s="8"/>
      <c r="D606" s="8"/>
    </row>
    <row r="607" spans="1:19">
      <c r="A607" s="7"/>
      <c r="B607" s="8"/>
      <c r="D607" s="8"/>
    </row>
    <row r="608" spans="1:19">
      <c r="A608" s="7"/>
      <c r="B608" s="8"/>
      <c r="D608" s="8"/>
    </row>
    <row r="609" spans="1:4">
      <c r="A609" s="7"/>
      <c r="B609" s="8"/>
      <c r="D609" s="8"/>
    </row>
    <row r="610" spans="1:4">
      <c r="A610" s="7"/>
      <c r="B610" s="8"/>
      <c r="D610" s="8"/>
    </row>
    <row r="611" spans="1:4">
      <c r="A611" s="7"/>
      <c r="B611" s="8"/>
      <c r="D611" s="8"/>
    </row>
    <row r="612" spans="1:4">
      <c r="A612" s="7"/>
      <c r="B612" s="8"/>
      <c r="D612" s="8"/>
    </row>
    <row r="613" spans="1:4">
      <c r="A613" s="7"/>
      <c r="B613" s="8"/>
      <c r="D613" s="8"/>
    </row>
    <row r="614" spans="1:4">
      <c r="A614" s="7"/>
      <c r="B614" s="8"/>
      <c r="D614" s="8"/>
    </row>
    <row r="615" spans="1:4">
      <c r="A615" s="7"/>
      <c r="B615" s="8"/>
      <c r="D615" s="8"/>
    </row>
    <row r="616" spans="1:4">
      <c r="A616" s="7"/>
      <c r="B616" s="8"/>
      <c r="D616" s="8"/>
    </row>
    <row r="617" spans="1:4">
      <c r="A617" s="7"/>
      <c r="B617" s="8"/>
      <c r="D617" s="8"/>
    </row>
    <row r="618" spans="1:4">
      <c r="A618" s="7"/>
      <c r="B618" s="8"/>
      <c r="D618" s="8"/>
    </row>
    <row r="619" spans="1:4">
      <c r="A619" s="7"/>
      <c r="B619" s="8"/>
      <c r="D619" s="8"/>
    </row>
    <row r="620" spans="1:4">
      <c r="A620" s="7"/>
      <c r="B620" s="8"/>
      <c r="D620" s="8"/>
    </row>
    <row r="621" spans="1:4">
      <c r="A621" s="7"/>
      <c r="B621" s="8"/>
      <c r="D621" s="8"/>
    </row>
    <row r="622" spans="1:4">
      <c r="A622" s="7"/>
      <c r="B622" s="8"/>
      <c r="D622" s="8"/>
    </row>
    <row r="623" spans="1:4">
      <c r="A623" s="7"/>
      <c r="B623" s="8"/>
      <c r="D623" s="8"/>
    </row>
    <row r="624" spans="1:4">
      <c r="A624" s="7"/>
      <c r="B624" s="8"/>
      <c r="D624" s="8"/>
    </row>
    <row r="625" spans="1:4">
      <c r="A625" s="7"/>
      <c r="B625" s="8"/>
      <c r="D625" s="8"/>
    </row>
    <row r="626" spans="1:4">
      <c r="A626" s="7"/>
      <c r="B626" s="8"/>
      <c r="D626" s="8"/>
    </row>
    <row r="627" spans="1:4">
      <c r="A627" s="7"/>
      <c r="B627" s="8"/>
      <c r="D627" s="8"/>
    </row>
    <row r="628" spans="1:4">
      <c r="A628" s="7"/>
      <c r="B628" s="8"/>
      <c r="D628" s="8"/>
    </row>
    <row r="629" spans="1:4">
      <c r="A629" s="7"/>
      <c r="B629" s="8"/>
      <c r="D629" s="8"/>
    </row>
    <row r="630" spans="1:4">
      <c r="A630" s="7"/>
      <c r="B630" s="8"/>
      <c r="D630" s="8"/>
    </row>
    <row r="631" spans="1:4">
      <c r="A631" s="7"/>
      <c r="B631" s="8"/>
      <c r="D631" s="8"/>
    </row>
    <row r="632" spans="1:4">
      <c r="A632" s="7"/>
      <c r="B632" s="8"/>
      <c r="D632" s="8"/>
    </row>
    <row r="633" spans="1:4">
      <c r="A633" s="9"/>
      <c r="B633" s="8"/>
      <c r="C633" s="8"/>
      <c r="D633" s="8"/>
    </row>
    <row r="634" spans="1:4">
      <c r="A634" s="9"/>
      <c r="B634" s="8"/>
      <c r="C634" s="8"/>
      <c r="D634" s="8"/>
    </row>
    <row r="635" spans="1:4">
      <c r="A635" s="9"/>
      <c r="B635" s="8"/>
      <c r="C635" s="8"/>
      <c r="D635" s="8"/>
    </row>
    <row r="636" spans="1:4">
      <c r="A636" s="9"/>
      <c r="B636" s="8"/>
      <c r="C636" s="8"/>
      <c r="D636" s="8"/>
    </row>
    <row r="637" spans="1:4">
      <c r="A637" s="9"/>
      <c r="B637" s="8"/>
      <c r="C637" s="8"/>
      <c r="D637" s="8"/>
    </row>
    <row r="638" spans="1:4">
      <c r="A638" s="9"/>
      <c r="B638" s="8"/>
      <c r="C638" s="8"/>
      <c r="D638" s="8"/>
    </row>
    <row r="639" spans="1:4">
      <c r="A639" s="9"/>
      <c r="B639" s="8"/>
      <c r="C639" s="8"/>
      <c r="D639" s="8"/>
    </row>
    <row r="640" spans="1:4">
      <c r="A640" s="9"/>
      <c r="B640" s="8"/>
      <c r="C640" s="8"/>
      <c r="D640" s="8"/>
    </row>
    <row r="641" spans="1:4">
      <c r="A641" s="9"/>
      <c r="B641" s="8"/>
      <c r="C641" s="8"/>
      <c r="D641" s="8"/>
    </row>
    <row r="642" spans="1:4">
      <c r="A642" s="9"/>
      <c r="B642" s="8"/>
      <c r="C642" s="8"/>
      <c r="D642" s="8"/>
    </row>
    <row r="643" spans="1:4">
      <c r="A643" s="9"/>
      <c r="B643" s="8"/>
      <c r="C643" s="8"/>
      <c r="D643" s="8"/>
    </row>
    <row r="644" spans="1:4">
      <c r="A644" s="9"/>
      <c r="B644" s="8"/>
      <c r="C644" s="8"/>
      <c r="D644" s="8"/>
    </row>
    <row r="645" spans="1:4">
      <c r="A645" s="9"/>
      <c r="B645" s="8"/>
      <c r="C645" s="8"/>
      <c r="D645" s="8"/>
    </row>
    <row r="646" spans="1:4">
      <c r="A646" s="9"/>
      <c r="B646" s="8"/>
      <c r="C646" s="8"/>
      <c r="D646" s="8"/>
    </row>
    <row r="647" spans="1:4">
      <c r="A647" s="9"/>
      <c r="B647" s="8"/>
      <c r="C647" s="8"/>
      <c r="D647" s="8"/>
    </row>
    <row r="648" spans="1:4">
      <c r="A648" s="9"/>
      <c r="B648" s="8"/>
      <c r="C648" s="8"/>
      <c r="D648" s="8"/>
    </row>
    <row r="649" spans="1:4">
      <c r="A649" s="9"/>
      <c r="B649" s="8"/>
      <c r="C649" s="8"/>
      <c r="D649" s="8"/>
    </row>
    <row r="650" spans="1:4">
      <c r="A650" s="9"/>
      <c r="B650" s="8"/>
      <c r="C650" s="8"/>
      <c r="D650" s="8"/>
    </row>
    <row r="651" spans="1:4">
      <c r="A651" s="9"/>
      <c r="B651" s="8"/>
      <c r="C651" s="8"/>
      <c r="D651" s="8"/>
    </row>
    <row r="652" spans="1:4">
      <c r="A652" s="9"/>
      <c r="B652" s="8"/>
      <c r="C652" s="8"/>
      <c r="D652" s="8"/>
    </row>
    <row r="653" spans="1:4">
      <c r="A653" s="9"/>
      <c r="B653" s="8"/>
      <c r="C653" s="8"/>
      <c r="D653" s="8"/>
    </row>
    <row r="654" spans="1:4">
      <c r="A654" s="9"/>
      <c r="B654" s="8"/>
      <c r="C654" s="8"/>
      <c r="D654" s="8"/>
    </row>
    <row r="655" spans="1:4">
      <c r="A655" s="9"/>
      <c r="B655" s="8"/>
      <c r="C655" s="8"/>
      <c r="D655" s="8"/>
    </row>
    <row r="656" spans="1:4">
      <c r="A656" s="9"/>
      <c r="B656" s="8"/>
      <c r="C656" s="8"/>
      <c r="D656" s="8"/>
    </row>
    <row r="657" spans="1:4">
      <c r="A657" s="9"/>
      <c r="B657" s="8"/>
      <c r="C657" s="8"/>
      <c r="D657" s="8"/>
    </row>
    <row r="658" spans="1:4">
      <c r="A658" s="9"/>
      <c r="B658" s="8"/>
      <c r="C658" s="8"/>
      <c r="D658" s="8"/>
    </row>
    <row r="659" spans="1:4">
      <c r="A659" s="9"/>
      <c r="B659" s="8"/>
      <c r="C659" s="8"/>
      <c r="D659" s="8"/>
    </row>
    <row r="660" spans="1:4">
      <c r="A660" s="9"/>
      <c r="B660" s="8"/>
      <c r="C660" s="8"/>
      <c r="D660" s="8"/>
    </row>
    <row r="661" spans="1:4">
      <c r="A661" s="9"/>
      <c r="B661" s="8"/>
      <c r="C661" s="8"/>
      <c r="D661" s="8"/>
    </row>
    <row r="662" spans="1:4">
      <c r="A662" s="9"/>
      <c r="B662" s="8"/>
      <c r="C662" s="8"/>
      <c r="D662" s="8"/>
    </row>
    <row r="663" spans="1:4">
      <c r="A663" s="9"/>
      <c r="B663" s="8"/>
      <c r="C663" s="8"/>
      <c r="D663" s="8"/>
    </row>
    <row r="664" spans="1:4">
      <c r="A664" s="9"/>
      <c r="B664" s="8"/>
      <c r="C664" s="8"/>
      <c r="D664" s="8"/>
    </row>
    <row r="665" spans="1:4">
      <c r="A665" s="9"/>
      <c r="B665" s="8"/>
      <c r="C665" s="8"/>
      <c r="D665" s="8"/>
    </row>
    <row r="666" spans="1:4">
      <c r="A666" s="9"/>
      <c r="B666" s="8"/>
      <c r="C666" s="8"/>
      <c r="D666" s="8"/>
    </row>
    <row r="667" spans="1:4">
      <c r="A667" s="9"/>
      <c r="B667" s="8"/>
      <c r="C667" s="8"/>
      <c r="D667" s="8"/>
    </row>
    <row r="668" spans="1:4">
      <c r="A668" s="9"/>
      <c r="B668" s="8"/>
      <c r="C668" s="8"/>
      <c r="D668" s="8"/>
    </row>
    <row r="669" spans="1:4">
      <c r="A669" s="9"/>
      <c r="B669" s="8"/>
      <c r="C669" s="8"/>
      <c r="D669" s="8"/>
    </row>
    <row r="670" spans="1:4">
      <c r="A670" s="9"/>
      <c r="B670" s="8"/>
      <c r="C670" s="8"/>
      <c r="D670" s="8"/>
    </row>
    <row r="671" spans="1:4">
      <c r="A671" s="9"/>
      <c r="B671" s="8"/>
      <c r="C671" s="8"/>
      <c r="D671" s="8"/>
    </row>
    <row r="672" spans="1:4">
      <c r="A672" s="9"/>
      <c r="B672" s="8"/>
      <c r="C672" s="8"/>
      <c r="D672" s="8"/>
    </row>
    <row r="673" spans="1:4">
      <c r="A673" s="9"/>
      <c r="B673" s="8"/>
      <c r="C673" s="8"/>
      <c r="D673" s="8"/>
    </row>
    <row r="674" spans="1:4">
      <c r="A674" s="9"/>
      <c r="B674" s="8"/>
      <c r="C674" s="8"/>
      <c r="D674" s="8"/>
    </row>
    <row r="675" spans="1:4">
      <c r="A675" s="9"/>
      <c r="B675" s="8"/>
      <c r="C675" s="8"/>
      <c r="D675" s="8"/>
    </row>
    <row r="676" spans="1:4">
      <c r="A676" s="9"/>
      <c r="B676" s="8"/>
      <c r="C676" s="8"/>
      <c r="D676" s="8"/>
    </row>
    <row r="677" spans="1:4">
      <c r="A677" s="9"/>
      <c r="B677" s="8"/>
      <c r="C677" s="8"/>
      <c r="D677" s="8"/>
    </row>
    <row r="678" spans="1:4">
      <c r="A678" s="7"/>
      <c r="B678" s="8"/>
      <c r="C678" s="8"/>
      <c r="D678" s="8"/>
    </row>
    <row r="679" spans="1:4">
      <c r="A679" s="7"/>
      <c r="B679" s="8"/>
      <c r="C679" s="8"/>
      <c r="D679" s="8"/>
    </row>
    <row r="680" spans="1:4">
      <c r="A680" s="7"/>
      <c r="B680" s="8"/>
      <c r="C680" s="8"/>
      <c r="D680" s="8"/>
    </row>
    <row r="681" spans="1:4">
      <c r="A681" s="7"/>
      <c r="B681" s="8"/>
      <c r="C681" s="8"/>
      <c r="D681" s="8"/>
    </row>
    <row r="682" spans="1:4">
      <c r="A682" s="7"/>
      <c r="B682" s="8"/>
      <c r="C682" s="8"/>
      <c r="D682" s="8"/>
    </row>
    <row r="683" spans="1:4">
      <c r="A683" s="7"/>
      <c r="B683" s="8"/>
      <c r="C683" s="8"/>
      <c r="D683" s="8"/>
    </row>
    <row r="684" spans="1:4">
      <c r="A684" s="7"/>
      <c r="B684" s="8"/>
      <c r="C684" s="8"/>
      <c r="D684" s="8"/>
    </row>
    <row r="685" spans="1:4">
      <c r="A685" s="7"/>
      <c r="B685" s="8"/>
      <c r="C685" s="8"/>
      <c r="D685" s="8"/>
    </row>
    <row r="686" spans="1:4">
      <c r="A686" s="7"/>
      <c r="B686" s="8"/>
      <c r="C686" s="8"/>
      <c r="D686" s="8"/>
    </row>
    <row r="687" spans="1:4">
      <c r="A687" s="7"/>
      <c r="B687" s="8"/>
      <c r="C687" s="8"/>
      <c r="D687" s="8"/>
    </row>
    <row r="688" spans="1:4">
      <c r="A688" s="7"/>
      <c r="B688" s="8"/>
      <c r="C688" s="8"/>
      <c r="D688" s="8"/>
    </row>
    <row r="689" spans="1:4">
      <c r="A689" s="7"/>
      <c r="B689" s="8"/>
      <c r="C689" s="8"/>
      <c r="D689" s="8"/>
    </row>
    <row r="690" spans="1:4">
      <c r="A690" s="7"/>
      <c r="B690" s="8"/>
      <c r="C690" s="8"/>
      <c r="D690" s="8"/>
    </row>
    <row r="691" spans="1:4">
      <c r="A691" s="7"/>
      <c r="B691" s="8"/>
      <c r="C691" s="8"/>
      <c r="D691" s="8"/>
    </row>
    <row r="692" spans="1:4">
      <c r="A692" s="7"/>
      <c r="B692" s="8"/>
      <c r="C692" s="8"/>
    </row>
    <row r="693" spans="1:4">
      <c r="A693" s="7"/>
      <c r="B693" s="8"/>
      <c r="C693" s="8"/>
      <c r="D693" s="8"/>
    </row>
    <row r="694" spans="1:4">
      <c r="A694" s="7"/>
      <c r="B694" s="8"/>
      <c r="C694" s="8"/>
      <c r="D694" s="8"/>
    </row>
    <row r="695" spans="1:4">
      <c r="A695" s="7"/>
      <c r="B695" s="8"/>
      <c r="C695" s="8"/>
      <c r="D695" s="8"/>
    </row>
  </sheetData>
  <sortState ref="A4:S560">
    <sortCondition ref="B4:B560"/>
    <sortCondition descending="1" ref="C4:C560"/>
    <sortCondition ref="D4:D560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O2" workbookViewId="0">
      <selection activeCell="AD2" sqref="AD2"/>
    </sheetView>
  </sheetViews>
  <sheetFormatPr baseColWidth="10" defaultRowHeight="15" x14ac:dyDescent="0"/>
  <sheetData>
    <row r="1" spans="1:34" ht="20" thickBot="1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2"/>
      <c r="AA1" s="12"/>
    </row>
    <row r="2" spans="1:34" ht="99" thickTop="1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>
        <v>3</v>
      </c>
      <c r="X2" s="13" t="s">
        <v>43</v>
      </c>
      <c r="Y2" s="13" t="s">
        <v>44</v>
      </c>
      <c r="Z2" s="13" t="s">
        <v>45</v>
      </c>
      <c r="AA2" s="13" t="s">
        <v>46</v>
      </c>
      <c r="AB2" s="13" t="s">
        <v>47</v>
      </c>
      <c r="AC2" s="13" t="s">
        <v>48</v>
      </c>
      <c r="AD2" s="13" t="s">
        <v>49</v>
      </c>
      <c r="AE2" s="13" t="s">
        <v>50</v>
      </c>
      <c r="AF2" s="16" t="s">
        <v>51</v>
      </c>
      <c r="AG2" s="16" t="s">
        <v>52</v>
      </c>
      <c r="AH2" s="16" t="s">
        <v>53</v>
      </c>
    </row>
    <row r="3" spans="1:34">
      <c r="A3" s="17" t="s">
        <v>54</v>
      </c>
      <c r="B3" s="18">
        <v>44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Measurements'!P4:P8)</f>
        <v>157.10718600000004</v>
      </c>
      <c r="S3" s="21"/>
      <c r="T3" s="18">
        <f>R3*4</f>
        <v>628.42874400000017</v>
      </c>
      <c r="U3" s="19"/>
      <c r="V3" s="21"/>
      <c r="W3" s="18">
        <f>U3*4</f>
        <v>0</v>
      </c>
      <c r="X3" s="18">
        <f>SUM(W3,T3,Q3,N3,K3,H3,E3)</f>
        <v>628.42874400000017</v>
      </c>
      <c r="Y3" s="22">
        <f>AVERAGE(X3:X7)</f>
        <v>1252.6115159520002</v>
      </c>
      <c r="Z3" s="23">
        <f>E3+Q3</f>
        <v>0</v>
      </c>
      <c r="AA3" s="23">
        <f>W3+T3</f>
        <v>628.42874400000017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2643.6272864175048</v>
      </c>
    </row>
    <row r="4" spans="1:34">
      <c r="A4" s="24" t="s">
        <v>54</v>
      </c>
      <c r="B4" s="25">
        <v>35</v>
      </c>
      <c r="C4" s="26"/>
      <c r="D4" s="27"/>
      <c r="E4" s="18">
        <f t="shared" ref="E4:E52" si="0">C4*4</f>
        <v>0</v>
      </c>
      <c r="F4" s="26"/>
      <c r="G4" s="28"/>
      <c r="H4" s="18">
        <f>F4*4</f>
        <v>0</v>
      </c>
      <c r="I4" s="26"/>
      <c r="J4" s="28"/>
      <c r="K4" s="18">
        <f t="shared" ref="K4:K52" si="1">I4*4</f>
        <v>0</v>
      </c>
      <c r="L4" s="26"/>
      <c r="M4" s="28"/>
      <c r="N4" s="18">
        <f t="shared" ref="N4:N52" si="2">L4*4</f>
        <v>0</v>
      </c>
      <c r="O4" s="26"/>
      <c r="P4" s="28"/>
      <c r="Q4" s="18">
        <f t="shared" ref="Q4:Q52" si="3">O4*4</f>
        <v>0</v>
      </c>
      <c r="R4" s="26">
        <f>SUM('Plant Measurements'!P11:P21)</f>
        <v>82.214126000000022</v>
      </c>
      <c r="S4" s="28"/>
      <c r="T4" s="18">
        <f t="shared" ref="T4:T52" si="4">R4*4</f>
        <v>328.85650400000009</v>
      </c>
      <c r="U4" s="26">
        <f>SUM('Plant Measurements'!P9:P10)</f>
        <v>146.81645130999999</v>
      </c>
      <c r="V4" s="28"/>
      <c r="W4" s="18">
        <f t="shared" ref="W4:W52" si="5">U4*4</f>
        <v>587.26580523999996</v>
      </c>
      <c r="X4" s="25">
        <f t="shared" ref="X4:X52" si="6">SUM(W4,T4,Q4,N4,K4,H4,E4)</f>
        <v>916.12230924000005</v>
      </c>
      <c r="Y4" s="29"/>
      <c r="Z4" s="23">
        <f t="shared" ref="Z4:Z52" si="7">E4+Q4</f>
        <v>0</v>
      </c>
      <c r="AA4" s="23">
        <f t="shared" ref="AA4:AA52" si="8">W4+T4</f>
        <v>916.12230924000005</v>
      </c>
      <c r="AB4">
        <f t="shared" ref="AB4:AB52" si="9">IF(X4&gt;0,(Q4+E4)/X4," ")</f>
        <v>0</v>
      </c>
      <c r="AC4">
        <f t="shared" ref="AC4:AC52" si="10">IF(X4&gt;0,H4/X4," ")</f>
        <v>0</v>
      </c>
      <c r="AD4">
        <f t="shared" ref="AD4:AD52" si="11">IF(X4&gt;0,K4/X4," ")</f>
        <v>0</v>
      </c>
      <c r="AE4">
        <f t="shared" ref="AE4:AE52" si="12">IF(X4&gt;0,(W4+T4)/X4," ")</f>
        <v>1</v>
      </c>
      <c r="AF4">
        <f t="shared" ref="AF4:AF52" si="13">210336.2801/10</f>
        <v>21033.62801</v>
      </c>
      <c r="AG4">
        <f t="shared" ref="AG4:AG52" si="14">AF4/5</f>
        <v>4206.7256020000004</v>
      </c>
      <c r="AH4">
        <f t="shared" ref="AH4:AH52" si="15">(AG4*X4)/1000</f>
        <v>3853.8751728432694</v>
      </c>
    </row>
    <row r="5" spans="1:34">
      <c r="A5" s="24" t="s">
        <v>54</v>
      </c>
      <c r="B5" s="25">
        <v>32</v>
      </c>
      <c r="C5" s="26"/>
      <c r="D5" s="27"/>
      <c r="E5" s="18">
        <f t="shared" si="0"/>
        <v>0</v>
      </c>
      <c r="F5" s="26"/>
      <c r="G5" s="28"/>
      <c r="H5" s="18">
        <f>F5*4</f>
        <v>0</v>
      </c>
      <c r="I5" s="26"/>
      <c r="J5" s="28"/>
      <c r="K5" s="18">
        <f t="shared" si="1"/>
        <v>0</v>
      </c>
      <c r="L5" s="26"/>
      <c r="M5" s="28"/>
      <c r="N5" s="18">
        <f t="shared" si="2"/>
        <v>0</v>
      </c>
      <c r="O5" s="26"/>
      <c r="P5" s="28"/>
      <c r="Q5" s="18">
        <f t="shared" si="3"/>
        <v>0</v>
      </c>
      <c r="R5" s="26">
        <f>SUM('Plant Measurements'!P23:P30)</f>
        <v>42.081137999999996</v>
      </c>
      <c r="S5" s="28"/>
      <c r="T5" s="18">
        <f t="shared" si="4"/>
        <v>168.32455199999998</v>
      </c>
      <c r="U5" s="26">
        <f>SUM('Plant Measurements'!P22)</f>
        <v>105.13329929999998</v>
      </c>
      <c r="V5" s="28"/>
      <c r="W5" s="18">
        <f t="shared" si="5"/>
        <v>420.5331971999999</v>
      </c>
      <c r="X5" s="25">
        <f t="shared" si="6"/>
        <v>588.85774919999994</v>
      </c>
      <c r="Y5" s="29"/>
      <c r="Z5" s="23">
        <f t="shared" si="7"/>
        <v>0</v>
      </c>
      <c r="AA5" s="23">
        <f t="shared" si="8"/>
        <v>588.85774919999994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1</v>
      </c>
      <c r="AF5">
        <f t="shared" si="13"/>
        <v>21033.62801</v>
      </c>
      <c r="AG5">
        <f t="shared" si="14"/>
        <v>4206.7256020000004</v>
      </c>
      <c r="AH5">
        <f t="shared" si="15"/>
        <v>2477.1629694957351</v>
      </c>
    </row>
    <row r="6" spans="1:34">
      <c r="A6" s="24" t="s">
        <v>54</v>
      </c>
      <c r="B6" s="25">
        <v>29</v>
      </c>
      <c r="C6" s="26"/>
      <c r="D6" s="27"/>
      <c r="E6" s="18">
        <f t="shared" si="0"/>
        <v>0</v>
      </c>
      <c r="F6" s="26"/>
      <c r="G6" s="28"/>
      <c r="H6" s="18">
        <f>F6*4</f>
        <v>0</v>
      </c>
      <c r="I6" s="26"/>
      <c r="J6" s="28"/>
      <c r="K6" s="18">
        <f t="shared" si="1"/>
        <v>0</v>
      </c>
      <c r="L6" s="26"/>
      <c r="M6" s="28"/>
      <c r="N6" s="18">
        <f t="shared" si="2"/>
        <v>0</v>
      </c>
      <c r="O6" s="26"/>
      <c r="P6" s="28"/>
      <c r="Q6" s="18">
        <f t="shared" si="3"/>
        <v>0</v>
      </c>
      <c r="R6" s="26">
        <f>SUM('Plant Measurements'!P31:P42)</f>
        <v>153.59563800000004</v>
      </c>
      <c r="S6" s="28"/>
      <c r="T6" s="18">
        <f t="shared" si="4"/>
        <v>614.38255200000015</v>
      </c>
      <c r="U6" s="26"/>
      <c r="V6" s="28"/>
      <c r="W6" s="18">
        <f t="shared" si="5"/>
        <v>0</v>
      </c>
      <c r="X6" s="25">
        <f t="shared" si="6"/>
        <v>614.38255200000015</v>
      </c>
      <c r="Y6" s="29"/>
      <c r="Z6" s="23">
        <f t="shared" si="7"/>
        <v>0</v>
      </c>
      <c r="AA6" s="23">
        <f t="shared" si="8"/>
        <v>614.38255200000015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2584.5388109204973</v>
      </c>
    </row>
    <row r="7" spans="1:34">
      <c r="A7" s="30" t="s">
        <v>54</v>
      </c>
      <c r="B7" s="31">
        <v>16</v>
      </c>
      <c r="C7" s="32">
        <f>SUM('Plant Measurements'!P43:P54)</f>
        <v>146.88534100000004</v>
      </c>
      <c r="D7" s="33"/>
      <c r="E7" s="18">
        <f t="shared" si="0"/>
        <v>587.54136400000016</v>
      </c>
      <c r="F7" s="32"/>
      <c r="G7" s="34"/>
      <c r="H7" s="18">
        <f>F7*4</f>
        <v>0</v>
      </c>
      <c r="I7" s="32"/>
      <c r="J7" s="34"/>
      <c r="K7" s="18">
        <f t="shared" si="1"/>
        <v>0</v>
      </c>
      <c r="L7" s="32"/>
      <c r="M7" s="34"/>
      <c r="N7" s="18">
        <f t="shared" si="2"/>
        <v>0</v>
      </c>
      <c r="O7" s="32"/>
      <c r="P7" s="34"/>
      <c r="Q7" s="18">
        <f t="shared" si="3"/>
        <v>0</v>
      </c>
      <c r="R7" s="32">
        <f>SUM('Plant Measurements'!P63:P65)</f>
        <v>41.355786000000023</v>
      </c>
      <c r="S7" s="34"/>
      <c r="T7" s="18">
        <f t="shared" si="4"/>
        <v>165.42314400000009</v>
      </c>
      <c r="U7" s="32">
        <f>SUM('Plant Measurements'!P55:P62)</f>
        <v>690.57542933000013</v>
      </c>
      <c r="V7" s="34"/>
      <c r="W7" s="18">
        <f t="shared" si="5"/>
        <v>2762.3017173200005</v>
      </c>
      <c r="X7" s="31">
        <f t="shared" si="6"/>
        <v>3515.266225320001</v>
      </c>
      <c r="Y7" s="35"/>
      <c r="Z7" s="23">
        <f t="shared" si="7"/>
        <v>587.54136400000016</v>
      </c>
      <c r="AA7" s="23">
        <f t="shared" si="8"/>
        <v>2927.7248613200009</v>
      </c>
      <c r="AB7">
        <f t="shared" si="9"/>
        <v>0.1671399337461319</v>
      </c>
      <c r="AC7">
        <f t="shared" si="10"/>
        <v>0</v>
      </c>
      <c r="AD7">
        <f t="shared" si="11"/>
        <v>0</v>
      </c>
      <c r="AE7">
        <f t="shared" si="12"/>
        <v>0.8328600662538681</v>
      </c>
      <c r="AF7">
        <f t="shared" si="13"/>
        <v>21033.62801</v>
      </c>
      <c r="AG7">
        <f t="shared" si="14"/>
        <v>4206.7256020000004</v>
      </c>
      <c r="AH7">
        <f t="shared" si="15"/>
        <v>14787.760427899551</v>
      </c>
    </row>
    <row r="8" spans="1:34">
      <c r="A8" s="17" t="s">
        <v>21</v>
      </c>
      <c r="B8" s="18">
        <v>46</v>
      </c>
      <c r="C8" s="19"/>
      <c r="D8" s="20"/>
      <c r="E8" s="18">
        <f t="shared" si="0"/>
        <v>0</v>
      </c>
      <c r="F8" s="19"/>
      <c r="G8" s="21"/>
      <c r="H8" s="18"/>
      <c r="I8" s="19">
        <f>SUM('Plant Measurements'!P66:P76)</f>
        <v>113.12850300000002</v>
      </c>
      <c r="J8" s="21"/>
      <c r="K8" s="18">
        <f t="shared" si="1"/>
        <v>452.51401200000009</v>
      </c>
      <c r="L8" s="19"/>
      <c r="M8" s="21"/>
      <c r="N8" s="18">
        <f t="shared" si="2"/>
        <v>0</v>
      </c>
      <c r="O8" s="19"/>
      <c r="P8" s="21"/>
      <c r="Q8" s="18">
        <f t="shared" si="3"/>
        <v>0</v>
      </c>
      <c r="R8" s="19">
        <f>SUM('Plant Measurements'!P77:P84)</f>
        <v>97.869338000000027</v>
      </c>
      <c r="S8" s="21"/>
      <c r="T8" s="18">
        <f t="shared" si="4"/>
        <v>391.47735200000011</v>
      </c>
      <c r="U8" s="19"/>
      <c r="V8" s="21"/>
      <c r="W8" s="18">
        <f t="shared" si="5"/>
        <v>0</v>
      </c>
      <c r="X8" s="18">
        <f t="shared" si="6"/>
        <v>843.9913640000002</v>
      </c>
      <c r="Y8" s="22">
        <f>AVERAGE(X8:X12)</f>
        <v>1339.928172768</v>
      </c>
      <c r="Z8" s="23">
        <f t="shared" si="7"/>
        <v>0</v>
      </c>
      <c r="AA8" s="23">
        <f t="shared" si="8"/>
        <v>391.47735200000011</v>
      </c>
      <c r="AB8">
        <f t="shared" si="9"/>
        <v>0</v>
      </c>
      <c r="AC8">
        <f t="shared" si="10"/>
        <v>0</v>
      </c>
      <c r="AD8">
        <f t="shared" si="11"/>
        <v>0.5361595287602966</v>
      </c>
      <c r="AE8">
        <f t="shared" si="12"/>
        <v>0.46384047123970334</v>
      </c>
      <c r="AF8">
        <f t="shared" si="13"/>
        <v>21033.62801</v>
      </c>
      <c r="AG8">
        <f t="shared" si="14"/>
        <v>4206.7256020000004</v>
      </c>
      <c r="AH8">
        <f t="shared" si="15"/>
        <v>3550.4400788057023</v>
      </c>
    </row>
    <row r="9" spans="1:34">
      <c r="A9" s="24" t="s">
        <v>21</v>
      </c>
      <c r="B9" s="25">
        <v>38</v>
      </c>
      <c r="C9" s="26">
        <f>SUM('Plant Measurements'!P85:P99)</f>
        <v>156.86621900000003</v>
      </c>
      <c r="D9" s="27"/>
      <c r="E9" s="18">
        <f t="shared" si="0"/>
        <v>627.46487600000012</v>
      </c>
      <c r="F9" s="26"/>
      <c r="G9" s="28"/>
      <c r="H9" s="25">
        <f>F9*4</f>
        <v>0</v>
      </c>
      <c r="I9" s="26"/>
      <c r="J9" s="28"/>
      <c r="K9" s="18">
        <f t="shared" si="1"/>
        <v>0</v>
      </c>
      <c r="L9" s="26"/>
      <c r="M9" s="28"/>
      <c r="N9" s="18">
        <f t="shared" si="2"/>
        <v>0</v>
      </c>
      <c r="O9" s="26"/>
      <c r="P9" s="28"/>
      <c r="Q9" s="18">
        <f t="shared" si="3"/>
        <v>0</v>
      </c>
      <c r="R9" s="26"/>
      <c r="S9" s="28"/>
      <c r="T9" s="18">
        <f t="shared" si="4"/>
        <v>0</v>
      </c>
      <c r="U9" s="26"/>
      <c r="V9" s="28"/>
      <c r="W9" s="18">
        <f t="shared" si="5"/>
        <v>0</v>
      </c>
      <c r="X9" s="25">
        <f>SUM(W9,T9,Q9,N9,K9,H9,E9)</f>
        <v>627.46487600000012</v>
      </c>
      <c r="Y9" s="29"/>
      <c r="Z9" s="23">
        <f t="shared" si="7"/>
        <v>627.46487600000012</v>
      </c>
      <c r="AA9" s="23">
        <f t="shared" si="8"/>
        <v>0</v>
      </c>
      <c r="AB9">
        <f t="shared" si="9"/>
        <v>1</v>
      </c>
      <c r="AC9">
        <f t="shared" si="10"/>
        <v>0</v>
      </c>
      <c r="AD9">
        <f t="shared" si="11"/>
        <v>0</v>
      </c>
      <c r="AE9">
        <f t="shared" si="12"/>
        <v>0</v>
      </c>
      <c r="AF9">
        <f t="shared" si="13"/>
        <v>21033.62801</v>
      </c>
      <c r="AG9">
        <f t="shared" si="14"/>
        <v>4206.7256020000004</v>
      </c>
      <c r="AH9">
        <f t="shared" si="15"/>
        <v>2639.5725582249561</v>
      </c>
    </row>
    <row r="10" spans="1:34">
      <c r="A10" s="24" t="s">
        <v>21</v>
      </c>
      <c r="B10" s="25">
        <v>9</v>
      </c>
      <c r="C10" s="26">
        <f>SUM('Plant Measurements'!P100:P101)</f>
        <v>8.3450559999999996</v>
      </c>
      <c r="D10" s="27"/>
      <c r="E10" s="18">
        <f t="shared" si="0"/>
        <v>33.380223999999998</v>
      </c>
      <c r="F10" s="26"/>
      <c r="G10" s="28"/>
      <c r="H10" s="25">
        <f t="shared" ref="H10:H42" si="16">F10*4</f>
        <v>0</v>
      </c>
      <c r="I10" s="26"/>
      <c r="J10" s="28"/>
      <c r="K10" s="18">
        <f t="shared" si="1"/>
        <v>0</v>
      </c>
      <c r="L10" s="26"/>
      <c r="M10" s="28"/>
      <c r="N10" s="18">
        <f t="shared" si="2"/>
        <v>0</v>
      </c>
      <c r="O10" s="26"/>
      <c r="P10" s="28"/>
      <c r="Q10" s="18">
        <f t="shared" si="3"/>
        <v>0</v>
      </c>
      <c r="R10" s="26">
        <f>SUM('Plant Measurements'!P109:P119)</f>
        <v>306.50630500000005</v>
      </c>
      <c r="S10" s="28"/>
      <c r="T10" s="18">
        <f t="shared" si="4"/>
        <v>1226.0252200000002</v>
      </c>
      <c r="U10" s="26">
        <f>SUM('Plant Measurements'!P102:P108)</f>
        <v>568.88446695999994</v>
      </c>
      <c r="V10" s="28"/>
      <c r="W10" s="18">
        <f t="shared" si="5"/>
        <v>2275.5378678399998</v>
      </c>
      <c r="X10" s="25">
        <f t="shared" si="6"/>
        <v>3534.9433118399998</v>
      </c>
      <c r="Y10" s="29"/>
      <c r="Z10" s="23">
        <f t="shared" si="7"/>
        <v>33.380223999999998</v>
      </c>
      <c r="AA10" s="23">
        <f t="shared" si="8"/>
        <v>3501.5630878399998</v>
      </c>
      <c r="AB10">
        <f t="shared" si="9"/>
        <v>9.442930495715646E-3</v>
      </c>
      <c r="AC10">
        <f t="shared" si="10"/>
        <v>0</v>
      </c>
      <c r="AD10">
        <f t="shared" si="11"/>
        <v>0</v>
      </c>
      <c r="AE10">
        <f t="shared" si="12"/>
        <v>0.99055706950428435</v>
      </c>
      <c r="AF10">
        <f t="shared" si="13"/>
        <v>21033.62801</v>
      </c>
      <c r="AG10">
        <f t="shared" si="14"/>
        <v>4206.7256020000004</v>
      </c>
      <c r="AH10">
        <f t="shared" si="15"/>
        <v>14870.536531535998</v>
      </c>
    </row>
    <row r="11" spans="1:34">
      <c r="A11" s="24" t="s">
        <v>21</v>
      </c>
      <c r="B11" s="25">
        <v>7</v>
      </c>
      <c r="C11" s="26"/>
      <c r="D11" s="27"/>
      <c r="E11" s="18">
        <f t="shared" si="0"/>
        <v>0</v>
      </c>
      <c r="F11" s="26"/>
      <c r="G11" s="28"/>
      <c r="H11" s="25">
        <f t="shared" si="16"/>
        <v>0</v>
      </c>
      <c r="I11" s="26"/>
      <c r="J11" s="28"/>
      <c r="K11" s="18">
        <f t="shared" si="1"/>
        <v>0</v>
      </c>
      <c r="L11" s="26"/>
      <c r="M11" s="28"/>
      <c r="N11" s="18">
        <f t="shared" si="2"/>
        <v>0</v>
      </c>
      <c r="O11" s="26"/>
      <c r="P11" s="28"/>
      <c r="Q11" s="18">
        <f t="shared" si="3"/>
        <v>0</v>
      </c>
      <c r="R11" s="26">
        <f>SUM('Plant Measurements'!P120:P125)</f>
        <v>330.966677</v>
      </c>
      <c r="S11" s="28"/>
      <c r="T11" s="18">
        <f t="shared" si="4"/>
        <v>1323.866708</v>
      </c>
      <c r="U11" s="26"/>
      <c r="V11" s="28"/>
      <c r="W11" s="18">
        <f t="shared" si="5"/>
        <v>0</v>
      </c>
      <c r="X11" s="25">
        <f t="shared" si="6"/>
        <v>1323.866708</v>
      </c>
      <c r="Y11" s="29"/>
      <c r="Z11" s="23">
        <f t="shared" si="7"/>
        <v>0</v>
      </c>
      <c r="AA11" s="23">
        <f t="shared" si="8"/>
        <v>1323.866708</v>
      </c>
      <c r="AB11">
        <f t="shared" si="9"/>
        <v>0</v>
      </c>
      <c r="AC11">
        <f t="shared" si="10"/>
        <v>0</v>
      </c>
      <c r="AD11">
        <f t="shared" si="11"/>
        <v>0</v>
      </c>
      <c r="AE11">
        <f t="shared" si="12"/>
        <v>1</v>
      </c>
      <c r="AF11">
        <f t="shared" si="13"/>
        <v>21033.62801</v>
      </c>
      <c r="AG11">
        <f t="shared" si="14"/>
        <v>4206.7256020000004</v>
      </c>
      <c r="AH11">
        <f t="shared" si="15"/>
        <v>5569.1439741790591</v>
      </c>
    </row>
    <row r="12" spans="1:34">
      <c r="A12" s="30" t="s">
        <v>21</v>
      </c>
      <c r="B12" s="31">
        <v>4</v>
      </c>
      <c r="C12" s="32">
        <f>SUM('Plant Measurements'!P126:P144)</f>
        <v>92.343651000000008</v>
      </c>
      <c r="D12" s="33"/>
      <c r="E12" s="18">
        <f t="shared" si="0"/>
        <v>369.37460400000003</v>
      </c>
      <c r="F12" s="32"/>
      <c r="G12" s="34"/>
      <c r="H12" s="25">
        <f t="shared" si="16"/>
        <v>0</v>
      </c>
      <c r="I12" s="32"/>
      <c r="J12" s="34"/>
      <c r="K12" s="18">
        <f t="shared" si="1"/>
        <v>0</v>
      </c>
      <c r="L12" s="32"/>
      <c r="M12" s="34"/>
      <c r="N12" s="18">
        <f t="shared" si="2"/>
        <v>0</v>
      </c>
      <c r="O12" s="32"/>
      <c r="P12" s="34"/>
      <c r="Q12" s="18">
        <f t="shared" si="3"/>
        <v>0</v>
      </c>
      <c r="R12" s="32"/>
      <c r="S12" s="34"/>
      <c r="T12" s="18">
        <f t="shared" si="4"/>
        <v>0</v>
      </c>
      <c r="U12" s="32"/>
      <c r="V12" s="34"/>
      <c r="W12" s="18">
        <f t="shared" si="5"/>
        <v>0</v>
      </c>
      <c r="X12" s="31">
        <f t="shared" si="6"/>
        <v>369.37460400000003</v>
      </c>
      <c r="Y12" s="35"/>
      <c r="Z12" s="23">
        <f t="shared" si="7"/>
        <v>369.37460400000003</v>
      </c>
      <c r="AA12" s="23">
        <f t="shared" si="8"/>
        <v>0</v>
      </c>
      <c r="AB12">
        <f t="shared" si="9"/>
        <v>1</v>
      </c>
      <c r="AC12">
        <f t="shared" si="10"/>
        <v>0</v>
      </c>
      <c r="AD12">
        <f t="shared" si="11"/>
        <v>0</v>
      </c>
      <c r="AE12">
        <f t="shared" si="12"/>
        <v>0</v>
      </c>
      <c r="AF12">
        <f t="shared" si="13"/>
        <v>21033.62801</v>
      </c>
      <c r="AG12">
        <f t="shared" si="14"/>
        <v>4206.7256020000004</v>
      </c>
      <c r="AH12">
        <f t="shared" si="15"/>
        <v>1553.8576033754118</v>
      </c>
    </row>
    <row r="13" spans="1:34">
      <c r="A13" s="36" t="s">
        <v>19</v>
      </c>
      <c r="B13" s="37">
        <v>44</v>
      </c>
      <c r="C13" s="19"/>
      <c r="D13" s="20"/>
      <c r="E13" s="18">
        <f t="shared" si="0"/>
        <v>0</v>
      </c>
      <c r="F13" s="19"/>
      <c r="G13" s="21"/>
      <c r="H13" s="25">
        <f t="shared" si="16"/>
        <v>0</v>
      </c>
      <c r="I13" s="19"/>
      <c r="J13" s="21"/>
      <c r="K13" s="18">
        <f t="shared" si="1"/>
        <v>0</v>
      </c>
      <c r="L13" s="19"/>
      <c r="M13" s="21"/>
      <c r="N13" s="18">
        <f t="shared" si="2"/>
        <v>0</v>
      </c>
      <c r="O13" s="19"/>
      <c r="P13" s="21"/>
      <c r="Q13" s="18">
        <f t="shared" si="3"/>
        <v>0</v>
      </c>
      <c r="R13" s="19">
        <f>SUM('Plant Measurements'!P4:P15)</f>
        <v>327.32469331000004</v>
      </c>
      <c r="S13" s="21"/>
      <c r="T13" s="18">
        <f t="shared" si="4"/>
        <v>1309.2987732400002</v>
      </c>
      <c r="U13" s="19"/>
      <c r="V13" s="21"/>
      <c r="W13" s="18">
        <f t="shared" si="5"/>
        <v>0</v>
      </c>
      <c r="X13" s="18">
        <f t="shared" si="6"/>
        <v>1309.2987732400002</v>
      </c>
      <c r="Y13" s="22">
        <f>AVERAGE(X13:X17)</f>
        <v>894.28869888000008</v>
      </c>
      <c r="Z13" s="23">
        <f t="shared" si="7"/>
        <v>0</v>
      </c>
      <c r="AA13" s="23">
        <f t="shared" si="8"/>
        <v>1309.2987732400002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5507.8606700559012</v>
      </c>
    </row>
    <row r="14" spans="1:34">
      <c r="A14" s="24" t="s">
        <v>19</v>
      </c>
      <c r="B14" s="25">
        <v>23</v>
      </c>
      <c r="C14" s="26"/>
      <c r="D14" s="27"/>
      <c r="E14" s="18">
        <f t="shared" si="0"/>
        <v>0</v>
      </c>
      <c r="F14" s="26"/>
      <c r="G14" s="28"/>
      <c r="H14" s="25">
        <f t="shared" si="16"/>
        <v>0</v>
      </c>
      <c r="I14" s="26"/>
      <c r="J14" s="28"/>
      <c r="K14" s="18">
        <f t="shared" si="1"/>
        <v>0</v>
      </c>
      <c r="L14" s="26"/>
      <c r="M14" s="28"/>
      <c r="N14" s="18">
        <f t="shared" si="2"/>
        <v>0</v>
      </c>
      <c r="O14" s="26"/>
      <c r="P14" s="28"/>
      <c r="Q14" s="18">
        <f t="shared" si="3"/>
        <v>0</v>
      </c>
      <c r="R14" s="26">
        <f>SUM('Plant Measurements'!P16:P20)</f>
        <v>52.377675000000011</v>
      </c>
      <c r="S14" s="28"/>
      <c r="T14" s="18">
        <f t="shared" si="4"/>
        <v>209.51070000000004</v>
      </c>
      <c r="U14" s="26"/>
      <c r="V14" s="28"/>
      <c r="W14" s="18">
        <f t="shared" si="5"/>
        <v>0</v>
      </c>
      <c r="X14" s="25">
        <f t="shared" si="6"/>
        <v>209.51070000000004</v>
      </c>
      <c r="Y14" s="29"/>
      <c r="Z14" s="23">
        <f t="shared" si="7"/>
        <v>0</v>
      </c>
      <c r="AA14" s="23">
        <f t="shared" si="8"/>
        <v>209.51070000000004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881.35402558294174</v>
      </c>
    </row>
    <row r="15" spans="1:34">
      <c r="A15" s="24" t="s">
        <v>19</v>
      </c>
      <c r="B15" s="25">
        <v>21</v>
      </c>
      <c r="C15" s="26"/>
      <c r="D15" s="27"/>
      <c r="E15" s="18">
        <f t="shared" si="0"/>
        <v>0</v>
      </c>
      <c r="F15" s="26"/>
      <c r="G15" s="28"/>
      <c r="H15" s="25">
        <f t="shared" si="16"/>
        <v>0</v>
      </c>
      <c r="I15" s="26"/>
      <c r="J15" s="28"/>
      <c r="K15" s="18">
        <f t="shared" si="1"/>
        <v>0</v>
      </c>
      <c r="L15" s="26"/>
      <c r="M15" s="28"/>
      <c r="N15" s="18">
        <f t="shared" si="2"/>
        <v>0</v>
      </c>
      <c r="O15" s="26"/>
      <c r="P15" s="28"/>
      <c r="Q15" s="18">
        <f t="shared" si="3"/>
        <v>0</v>
      </c>
      <c r="R15" s="26">
        <f>SUM('Plant Measurements'!P21:P31)</f>
        <v>163.63735329999992</v>
      </c>
      <c r="S15" s="28"/>
      <c r="T15" s="18">
        <f t="shared" si="4"/>
        <v>654.54941319999966</v>
      </c>
      <c r="U15" s="26"/>
      <c r="V15" s="28"/>
      <c r="W15" s="18">
        <f>U15*4</f>
        <v>0</v>
      </c>
      <c r="X15" s="25">
        <f t="shared" si="6"/>
        <v>654.54941319999966</v>
      </c>
      <c r="Y15" s="29"/>
      <c r="Z15" s="23">
        <f t="shared" si="7"/>
        <v>0</v>
      </c>
      <c r="AA15" s="23">
        <f t="shared" si="8"/>
        <v>654.54941319999966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1</v>
      </c>
      <c r="AF15">
        <f t="shared" si="13"/>
        <v>21033.62801</v>
      </c>
      <c r="AG15">
        <f t="shared" si="14"/>
        <v>4206.7256020000004</v>
      </c>
      <c r="AH15">
        <f t="shared" si="15"/>
        <v>2753.5097742825155</v>
      </c>
    </row>
    <row r="16" spans="1:34">
      <c r="A16" s="24" t="s">
        <v>19</v>
      </c>
      <c r="B16" s="25">
        <v>18</v>
      </c>
      <c r="C16" s="26"/>
      <c r="D16" s="27"/>
      <c r="E16" s="18">
        <f t="shared" si="0"/>
        <v>0</v>
      </c>
      <c r="F16" s="26"/>
      <c r="G16" s="28"/>
      <c r="H16" s="25">
        <f t="shared" si="16"/>
        <v>0</v>
      </c>
      <c r="I16" s="26"/>
      <c r="J16" s="28"/>
      <c r="K16" s="18">
        <f t="shared" si="1"/>
        <v>0</v>
      </c>
      <c r="L16" s="26"/>
      <c r="M16" s="28"/>
      <c r="N16" s="18">
        <f t="shared" si="2"/>
        <v>0</v>
      </c>
      <c r="O16" s="26"/>
      <c r="P16" s="28"/>
      <c r="Q16" s="18">
        <f t="shared" si="3"/>
        <v>0</v>
      </c>
      <c r="R16" s="26"/>
      <c r="S16" s="28"/>
      <c r="T16" s="18">
        <f t="shared" si="4"/>
        <v>0</v>
      </c>
      <c r="U16" s="26">
        <f>SUM('Plant Measurements'!P32:P57)</f>
        <v>574.52115199000002</v>
      </c>
      <c r="V16" s="28"/>
      <c r="W16" s="18">
        <f>U16*4</f>
        <v>2298.0846079600001</v>
      </c>
      <c r="X16" s="25">
        <f t="shared" si="6"/>
        <v>2298.0846079600001</v>
      </c>
      <c r="Y16" s="29"/>
      <c r="Z16" s="23">
        <f t="shared" si="7"/>
        <v>0</v>
      </c>
      <c r="AA16" s="23">
        <f t="shared" si="8"/>
        <v>2298.0846079600001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1</v>
      </c>
      <c r="AF16">
        <f t="shared" si="13"/>
        <v>21033.62801</v>
      </c>
      <c r="AG16">
        <f t="shared" si="14"/>
        <v>4206.7256020000004</v>
      </c>
      <c r="AH16">
        <f t="shared" si="15"/>
        <v>9667.4113558674653</v>
      </c>
    </row>
    <row r="17" spans="1:34">
      <c r="A17" s="30" t="s">
        <v>19</v>
      </c>
      <c r="B17" s="31">
        <v>6</v>
      </c>
      <c r="C17" s="32"/>
      <c r="D17" s="33"/>
      <c r="E17" s="18">
        <f t="shared" si="0"/>
        <v>0</v>
      </c>
      <c r="F17" s="32"/>
      <c r="G17" s="34"/>
      <c r="H17" s="25">
        <f t="shared" si="16"/>
        <v>0</v>
      </c>
      <c r="I17" s="32"/>
      <c r="J17" s="34"/>
      <c r="K17" s="18">
        <f t="shared" si="1"/>
        <v>0</v>
      </c>
      <c r="L17" s="32"/>
      <c r="M17" s="34"/>
      <c r="N17" s="18">
        <f t="shared" si="2"/>
        <v>0</v>
      </c>
      <c r="O17" s="32"/>
      <c r="P17" s="34"/>
      <c r="Q17" s="18">
        <f t="shared" si="3"/>
        <v>0</v>
      </c>
      <c r="R17" s="32"/>
      <c r="S17" s="34"/>
      <c r="T17" s="18">
        <f t="shared" si="4"/>
        <v>0</v>
      </c>
      <c r="U17" s="32"/>
      <c r="V17" s="34"/>
      <c r="W17" s="18">
        <f t="shared" si="5"/>
        <v>0</v>
      </c>
      <c r="X17" s="31">
        <f t="shared" si="6"/>
        <v>0</v>
      </c>
      <c r="Y17" s="35"/>
      <c r="Z17" s="23">
        <f t="shared" si="7"/>
        <v>0</v>
      </c>
      <c r="AA17" s="23">
        <f t="shared" si="8"/>
        <v>0</v>
      </c>
      <c r="AB17" t="str">
        <f t="shared" si="9"/>
        <v xml:space="preserve"> </v>
      </c>
      <c r="AC17" t="str">
        <f t="shared" si="10"/>
        <v xml:space="preserve"> </v>
      </c>
      <c r="AD17" t="str">
        <f t="shared" si="11"/>
        <v xml:space="preserve"> </v>
      </c>
      <c r="AE17" t="str">
        <f t="shared" si="12"/>
        <v xml:space="preserve"> </v>
      </c>
      <c r="AF17">
        <f t="shared" si="13"/>
        <v>21033.62801</v>
      </c>
      <c r="AG17">
        <f t="shared" si="14"/>
        <v>4206.7256020000004</v>
      </c>
      <c r="AH17">
        <f t="shared" si="15"/>
        <v>0</v>
      </c>
    </row>
    <row r="18" spans="1:34">
      <c r="A18" s="17" t="s">
        <v>55</v>
      </c>
      <c r="B18" s="18">
        <v>50</v>
      </c>
      <c r="C18" s="19"/>
      <c r="D18" s="20"/>
      <c r="E18" s="18">
        <f t="shared" si="0"/>
        <v>0</v>
      </c>
      <c r="F18" s="19"/>
      <c r="G18" s="21"/>
      <c r="H18" s="25">
        <f t="shared" si="16"/>
        <v>0</v>
      </c>
      <c r="I18" s="19"/>
      <c r="J18" s="21"/>
      <c r="K18" s="18">
        <f t="shared" si="1"/>
        <v>0</v>
      </c>
      <c r="L18" s="19"/>
      <c r="M18" s="21"/>
      <c r="N18" s="18">
        <f t="shared" si="2"/>
        <v>0</v>
      </c>
      <c r="O18" s="19"/>
      <c r="P18" s="21"/>
      <c r="Q18" s="18">
        <f t="shared" si="3"/>
        <v>0</v>
      </c>
      <c r="R18" s="19">
        <f>SUM('Plant Measurements'!P59:P64)</f>
        <v>310.12716970000008</v>
      </c>
      <c r="S18" s="21"/>
      <c r="T18" s="18">
        <f t="shared" si="4"/>
        <v>1240.5086788000003</v>
      </c>
      <c r="U18" s="19"/>
      <c r="V18" s="21"/>
      <c r="W18" s="18">
        <f t="shared" si="5"/>
        <v>0</v>
      </c>
      <c r="X18" s="18">
        <f t="shared" si="6"/>
        <v>1240.5086788000003</v>
      </c>
      <c r="Y18" s="22">
        <f>AVERAGE(X18:X22)</f>
        <v>419.42583736000006</v>
      </c>
      <c r="Z18" s="23">
        <f t="shared" si="7"/>
        <v>0</v>
      </c>
      <c r="AA18" s="23">
        <f t="shared" si="8"/>
        <v>1240.5086788000003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5218.4796186111571</v>
      </c>
    </row>
    <row r="19" spans="1:34">
      <c r="A19" s="24" t="s">
        <v>55</v>
      </c>
      <c r="B19" s="38">
        <v>48</v>
      </c>
      <c r="C19" s="26"/>
      <c r="D19" s="27"/>
      <c r="E19" s="18">
        <f t="shared" si="0"/>
        <v>0</v>
      </c>
      <c r="F19" s="26"/>
      <c r="G19" s="28"/>
      <c r="H19" s="25">
        <f t="shared" si="16"/>
        <v>0</v>
      </c>
      <c r="I19" s="26"/>
      <c r="J19" s="28"/>
      <c r="K19" s="18">
        <f t="shared" si="1"/>
        <v>0</v>
      </c>
      <c r="L19" s="26"/>
      <c r="M19" s="28"/>
      <c r="N19" s="18">
        <f t="shared" si="2"/>
        <v>0</v>
      </c>
      <c r="O19" s="26"/>
      <c r="P19" s="28"/>
      <c r="Q19" s="18">
        <f t="shared" si="3"/>
        <v>0</v>
      </c>
      <c r="R19" s="26"/>
      <c r="S19" s="28"/>
      <c r="T19" s="18">
        <f t="shared" si="4"/>
        <v>0</v>
      </c>
      <c r="U19" s="26"/>
      <c r="V19" s="28"/>
      <c r="W19" s="18">
        <f t="shared" si="5"/>
        <v>0</v>
      </c>
      <c r="X19" s="25">
        <f t="shared" si="6"/>
        <v>0</v>
      </c>
      <c r="Y19" s="29"/>
      <c r="Z19" s="23">
        <f t="shared" si="7"/>
        <v>0</v>
      </c>
      <c r="AA19" s="23">
        <f t="shared" si="8"/>
        <v>0</v>
      </c>
      <c r="AB19" t="str">
        <f t="shared" si="9"/>
        <v xml:space="preserve"> </v>
      </c>
      <c r="AC19" t="str">
        <f t="shared" si="10"/>
        <v xml:space="preserve"> </v>
      </c>
      <c r="AD19" t="str">
        <f t="shared" si="11"/>
        <v xml:space="preserve"> </v>
      </c>
      <c r="AE19" t="str">
        <f t="shared" si="12"/>
        <v xml:space="preserve"> </v>
      </c>
      <c r="AF19">
        <f t="shared" si="13"/>
        <v>21033.62801</v>
      </c>
      <c r="AG19">
        <f t="shared" si="14"/>
        <v>4206.7256020000004</v>
      </c>
      <c r="AH19">
        <f t="shared" si="15"/>
        <v>0</v>
      </c>
    </row>
    <row r="20" spans="1:34">
      <c r="A20" s="24" t="s">
        <v>55</v>
      </c>
      <c r="B20" s="25">
        <v>47</v>
      </c>
      <c r="C20" s="26"/>
      <c r="D20" s="27"/>
      <c r="E20" s="18">
        <f t="shared" si="0"/>
        <v>0</v>
      </c>
      <c r="F20" s="26"/>
      <c r="G20" s="28"/>
      <c r="H20" s="25">
        <f t="shared" si="16"/>
        <v>0</v>
      </c>
      <c r="I20" s="26"/>
      <c r="J20" s="28"/>
      <c r="K20" s="18">
        <f t="shared" si="1"/>
        <v>0</v>
      </c>
      <c r="L20" s="26"/>
      <c r="M20" s="28"/>
      <c r="N20" s="18">
        <f t="shared" si="2"/>
        <v>0</v>
      </c>
      <c r="O20" s="26"/>
      <c r="P20" s="28"/>
      <c r="Q20" s="18">
        <f t="shared" si="3"/>
        <v>0</v>
      </c>
      <c r="R20" s="26">
        <f>SUM('Plant Measurements'!P66:P69)</f>
        <v>36.670037000000001</v>
      </c>
      <c r="S20" s="28"/>
      <c r="T20" s="18">
        <f t="shared" si="4"/>
        <v>146.680148</v>
      </c>
      <c r="U20" s="26"/>
      <c r="V20" s="28"/>
      <c r="W20" s="18">
        <f t="shared" si="5"/>
        <v>0</v>
      </c>
      <c r="X20" s="25">
        <f t="shared" si="6"/>
        <v>146.680148</v>
      </c>
      <c r="Y20" s="29"/>
      <c r="Z20" s="23">
        <f t="shared" si="7"/>
        <v>0</v>
      </c>
      <c r="AA20" s="23">
        <f t="shared" si="8"/>
        <v>146.680148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1</v>
      </c>
      <c r="AF20">
        <f t="shared" si="13"/>
        <v>21033.62801</v>
      </c>
      <c r="AG20">
        <f t="shared" si="14"/>
        <v>4206.7256020000004</v>
      </c>
      <c r="AH20">
        <f t="shared" si="15"/>
        <v>617.04313389674917</v>
      </c>
    </row>
    <row r="21" spans="1:34">
      <c r="A21" s="24" t="s">
        <v>55</v>
      </c>
      <c r="B21" s="25">
        <v>45</v>
      </c>
      <c r="C21" s="26"/>
      <c r="D21" s="27"/>
      <c r="E21" s="18">
        <f t="shared" si="0"/>
        <v>0</v>
      </c>
      <c r="F21" s="26"/>
      <c r="G21" s="28"/>
      <c r="H21" s="25">
        <f t="shared" si="16"/>
        <v>0</v>
      </c>
      <c r="I21" s="26"/>
      <c r="J21" s="28"/>
      <c r="K21" s="18">
        <f t="shared" si="1"/>
        <v>0</v>
      </c>
      <c r="L21" s="26"/>
      <c r="M21" s="28"/>
      <c r="N21" s="18">
        <f t="shared" si="2"/>
        <v>0</v>
      </c>
      <c r="O21" s="26"/>
      <c r="P21" s="28"/>
      <c r="Q21" s="18">
        <f t="shared" si="3"/>
        <v>0</v>
      </c>
      <c r="R21" s="26">
        <f>SUM('Plant Measurements'!P70:P75)</f>
        <v>58.965988000000003</v>
      </c>
      <c r="S21" s="28"/>
      <c r="T21" s="18">
        <f t="shared" si="4"/>
        <v>235.86395200000001</v>
      </c>
      <c r="U21" s="26"/>
      <c r="V21" s="28"/>
      <c r="W21" s="18">
        <f t="shared" si="5"/>
        <v>0</v>
      </c>
      <c r="X21" s="25">
        <f t="shared" si="6"/>
        <v>235.86395200000001</v>
      </c>
      <c r="Y21" s="29"/>
      <c r="Z21" s="23">
        <f t="shared" si="7"/>
        <v>0</v>
      </c>
      <c r="AA21" s="23">
        <f t="shared" si="8"/>
        <v>235.86395200000001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992.21492546729928</v>
      </c>
    </row>
    <row r="22" spans="1:34">
      <c r="A22" s="30" t="s">
        <v>55</v>
      </c>
      <c r="B22" s="25">
        <v>25</v>
      </c>
      <c r="C22" s="32"/>
      <c r="D22" s="33"/>
      <c r="E22" s="18">
        <f t="shared" si="0"/>
        <v>0</v>
      </c>
      <c r="F22" s="32"/>
      <c r="G22" s="34"/>
      <c r="H22" s="25">
        <f t="shared" si="16"/>
        <v>0</v>
      </c>
      <c r="I22" s="32"/>
      <c r="J22" s="34"/>
      <c r="K22" s="18">
        <f t="shared" si="1"/>
        <v>0</v>
      </c>
      <c r="L22" s="32"/>
      <c r="M22" s="34"/>
      <c r="N22" s="18">
        <f t="shared" si="2"/>
        <v>0</v>
      </c>
      <c r="O22" s="32"/>
      <c r="P22" s="34"/>
      <c r="Q22" s="18">
        <f t="shared" si="3"/>
        <v>0</v>
      </c>
      <c r="R22" s="32">
        <f>SUM('Plant Measurements'!P76:P81,'Plant Measurements'!P83:P85)</f>
        <v>117.01454099999999</v>
      </c>
      <c r="S22" s="34"/>
      <c r="T22" s="18">
        <f t="shared" si="4"/>
        <v>468.05816399999998</v>
      </c>
      <c r="U22" s="32">
        <f>SUM('Plant Measurements'!P82,'Plant Measurements'!P86:P88)</f>
        <v>1.5045610000000131</v>
      </c>
      <c r="V22" s="34"/>
      <c r="W22" s="18">
        <f t="shared" si="5"/>
        <v>6.0182440000000526</v>
      </c>
      <c r="X22" s="31">
        <f t="shared" si="6"/>
        <v>474.07640800000001</v>
      </c>
      <c r="Y22" s="35"/>
      <c r="Z22" s="23">
        <f t="shared" si="7"/>
        <v>0</v>
      </c>
      <c r="AA22" s="23">
        <f t="shared" si="8"/>
        <v>474.07640800000001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21033.62801</v>
      </c>
      <c r="AG22">
        <f t="shared" si="14"/>
        <v>4206.7256020000004</v>
      </c>
      <c r="AH22">
        <f t="shared" si="15"/>
        <v>1994.3093628377981</v>
      </c>
    </row>
    <row r="23" spans="1:34">
      <c r="A23" s="17" t="s">
        <v>20</v>
      </c>
      <c r="B23" s="18">
        <v>50</v>
      </c>
      <c r="C23" s="19"/>
      <c r="D23" s="20"/>
      <c r="E23" s="18">
        <f t="shared" si="0"/>
        <v>0</v>
      </c>
      <c r="F23" s="19"/>
      <c r="G23" s="21"/>
      <c r="H23" s="25">
        <f t="shared" si="16"/>
        <v>0</v>
      </c>
      <c r="I23" s="19">
        <f>SUM('Plant Measurements'!P230:P231)</f>
        <v>18.229861</v>
      </c>
      <c r="J23" s="21"/>
      <c r="K23" s="18">
        <f t="shared" si="1"/>
        <v>72.919443999999999</v>
      </c>
      <c r="L23" s="19"/>
      <c r="M23" s="21"/>
      <c r="N23" s="18">
        <f t="shared" si="2"/>
        <v>0</v>
      </c>
      <c r="O23" s="19"/>
      <c r="P23" s="21"/>
      <c r="Q23" s="18">
        <f t="shared" si="3"/>
        <v>0</v>
      </c>
      <c r="R23" s="19">
        <f>SUM('Plant Measurements'!P232:P239)</f>
        <v>541.88554618000012</v>
      </c>
      <c r="S23" s="21"/>
      <c r="T23" s="18">
        <f t="shared" si="4"/>
        <v>2167.5421847200005</v>
      </c>
      <c r="U23" s="19"/>
      <c r="V23" s="21"/>
      <c r="W23" s="18">
        <f t="shared" si="5"/>
        <v>0</v>
      </c>
      <c r="X23" s="18">
        <f t="shared" si="6"/>
        <v>2240.4616287200006</v>
      </c>
      <c r="Y23" s="22">
        <f>AVERAGE(X23:X27)</f>
        <v>1563.7028761760005</v>
      </c>
      <c r="Z23" s="23">
        <f t="shared" si="7"/>
        <v>0</v>
      </c>
      <c r="AA23" s="23">
        <f t="shared" si="8"/>
        <v>2167.5421847200005</v>
      </c>
      <c r="AB23">
        <f t="shared" si="9"/>
        <v>0</v>
      </c>
      <c r="AC23">
        <f t="shared" si="10"/>
        <v>0</v>
      </c>
      <c r="AD23">
        <f t="shared" si="11"/>
        <v>3.2546615869364227E-2</v>
      </c>
      <c r="AE23">
        <f t="shared" si="12"/>
        <v>0.96745338413063575</v>
      </c>
      <c r="AF23">
        <f t="shared" si="13"/>
        <v>21033.62801</v>
      </c>
      <c r="AG23">
        <f t="shared" si="14"/>
        <v>4206.7256020000004</v>
      </c>
      <c r="AH23">
        <f t="shared" si="15"/>
        <v>9425.0072938350459</v>
      </c>
    </row>
    <row r="24" spans="1:34">
      <c r="A24" s="24" t="s">
        <v>20</v>
      </c>
      <c r="B24" s="25">
        <v>47</v>
      </c>
      <c r="C24" s="26"/>
      <c r="D24" s="27"/>
      <c r="E24" s="18">
        <f t="shared" si="0"/>
        <v>0</v>
      </c>
      <c r="F24" s="26"/>
      <c r="G24" s="28"/>
      <c r="H24" s="25">
        <f t="shared" si="16"/>
        <v>0</v>
      </c>
      <c r="I24" s="26"/>
      <c r="J24" s="28"/>
      <c r="K24" s="18">
        <f t="shared" si="1"/>
        <v>0</v>
      </c>
      <c r="L24" s="26"/>
      <c r="M24" s="28"/>
      <c r="N24" s="18">
        <f t="shared" si="2"/>
        <v>0</v>
      </c>
      <c r="O24" s="26"/>
      <c r="P24" s="28"/>
      <c r="Q24" s="18">
        <f t="shared" si="3"/>
        <v>0</v>
      </c>
      <c r="R24" s="26"/>
      <c r="S24" s="28"/>
      <c r="T24" s="18">
        <f t="shared" si="4"/>
        <v>0</v>
      </c>
      <c r="U24" s="26">
        <f>SUM('Plant Measurements'!P240:P250)</f>
        <v>805.12215104000029</v>
      </c>
      <c r="V24" s="28"/>
      <c r="W24" s="18">
        <f t="shared" si="5"/>
        <v>3220.4886041600012</v>
      </c>
      <c r="X24" s="25">
        <f t="shared" si="6"/>
        <v>3220.4886041600012</v>
      </c>
      <c r="Y24" s="29"/>
      <c r="Z24" s="23">
        <f t="shared" si="7"/>
        <v>0</v>
      </c>
      <c r="AA24" s="23">
        <f t="shared" si="8"/>
        <v>3220.4886041600012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1</v>
      </c>
      <c r="AF24">
        <f t="shared" si="13"/>
        <v>21033.62801</v>
      </c>
      <c r="AG24">
        <f t="shared" si="14"/>
        <v>4206.7256020000004</v>
      </c>
      <c r="AH24">
        <f t="shared" si="15"/>
        <v>13547.711862069122</v>
      </c>
    </row>
    <row r="25" spans="1:34">
      <c r="A25" s="24" t="s">
        <v>20</v>
      </c>
      <c r="B25" s="25">
        <v>32</v>
      </c>
      <c r="C25" s="26"/>
      <c r="D25" s="27"/>
      <c r="E25" s="18">
        <f t="shared" si="0"/>
        <v>0</v>
      </c>
      <c r="F25" s="26"/>
      <c r="G25" s="28"/>
      <c r="H25" s="25">
        <f t="shared" si="16"/>
        <v>0</v>
      </c>
      <c r="I25" s="26"/>
      <c r="J25" s="28"/>
      <c r="K25" s="18">
        <f t="shared" si="1"/>
        <v>0</v>
      </c>
      <c r="L25" s="26"/>
      <c r="M25" s="28"/>
      <c r="N25" s="18">
        <f t="shared" si="2"/>
        <v>0</v>
      </c>
      <c r="O25" s="26"/>
      <c r="P25" s="28"/>
      <c r="Q25" s="18">
        <f t="shared" si="3"/>
        <v>0</v>
      </c>
      <c r="R25" s="26">
        <f>SUM('Plant Measurements'!P251:P255)</f>
        <v>257.57030000000009</v>
      </c>
      <c r="S25" s="28"/>
      <c r="T25" s="18">
        <f t="shared" si="4"/>
        <v>1030.2812000000004</v>
      </c>
      <c r="U25" s="26"/>
      <c r="V25" s="28"/>
      <c r="W25" s="18">
        <f t="shared" si="5"/>
        <v>0</v>
      </c>
      <c r="X25" s="25">
        <f t="shared" si="6"/>
        <v>1030.2812000000004</v>
      </c>
      <c r="Y25" s="29"/>
      <c r="Z25" s="23">
        <f t="shared" si="7"/>
        <v>0</v>
      </c>
      <c r="AA25" s="23">
        <f t="shared" si="8"/>
        <v>1030.2812000000004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4334.1103012992844</v>
      </c>
    </row>
    <row r="26" spans="1:34">
      <c r="A26" s="24" t="s">
        <v>20</v>
      </c>
      <c r="B26" s="25">
        <v>9</v>
      </c>
      <c r="C26" s="26">
        <f>SUM('Plant Measurements'!P256:P272)</f>
        <v>71.875551999999999</v>
      </c>
      <c r="D26" s="27"/>
      <c r="E26" s="18">
        <f t="shared" si="0"/>
        <v>287.502208</v>
      </c>
      <c r="F26" s="26"/>
      <c r="G26" s="28"/>
      <c r="H26" s="25">
        <f t="shared" si="16"/>
        <v>0</v>
      </c>
      <c r="I26" s="26"/>
      <c r="J26" s="28"/>
      <c r="K26" s="18">
        <f t="shared" si="1"/>
        <v>0</v>
      </c>
      <c r="L26" s="26"/>
      <c r="M26" s="28"/>
      <c r="N26" s="18">
        <f t="shared" si="2"/>
        <v>0</v>
      </c>
      <c r="O26" s="26"/>
      <c r="P26" s="28"/>
      <c r="Q26" s="18">
        <f t="shared" si="3"/>
        <v>0</v>
      </c>
      <c r="R26" s="26">
        <f>SUM('Plant Measurements'!P276:P281)</f>
        <v>89.322325000000035</v>
      </c>
      <c r="S26" s="28"/>
      <c r="T26" s="18">
        <f t="shared" si="4"/>
        <v>357.28930000000014</v>
      </c>
      <c r="U26" s="26">
        <f>SUM('Plant Measurements'!P273:P275)</f>
        <v>36.842032000000025</v>
      </c>
      <c r="V26" s="28"/>
      <c r="W26" s="18">
        <f t="shared" si="5"/>
        <v>147.3681280000001</v>
      </c>
      <c r="X26" s="25">
        <f t="shared" si="6"/>
        <v>792.15963600000021</v>
      </c>
      <c r="Y26" s="29"/>
      <c r="Z26" s="23">
        <f t="shared" si="7"/>
        <v>287.502208</v>
      </c>
      <c r="AA26" s="23">
        <f t="shared" si="8"/>
        <v>504.65742800000021</v>
      </c>
      <c r="AB26">
        <f t="shared" si="9"/>
        <v>0.36293468504875942</v>
      </c>
      <c r="AC26">
        <f t="shared" si="10"/>
        <v>0</v>
      </c>
      <c r="AD26">
        <f t="shared" si="11"/>
        <v>0</v>
      </c>
      <c r="AE26">
        <f t="shared" si="12"/>
        <v>0.63706531495124052</v>
      </c>
      <c r="AF26">
        <f t="shared" si="13"/>
        <v>21033.62801</v>
      </c>
      <c r="AG26">
        <f t="shared" si="14"/>
        <v>4206.7256020000004</v>
      </c>
      <c r="AH26">
        <f t="shared" si="15"/>
        <v>3332.398221632202</v>
      </c>
    </row>
    <row r="27" spans="1:34">
      <c r="A27" s="30" t="s">
        <v>20</v>
      </c>
      <c r="B27" s="31">
        <v>3</v>
      </c>
      <c r="C27" s="32"/>
      <c r="D27" s="33"/>
      <c r="E27" s="18">
        <f t="shared" si="0"/>
        <v>0</v>
      </c>
      <c r="F27" s="32"/>
      <c r="G27" s="34"/>
      <c r="H27" s="25">
        <f t="shared" si="16"/>
        <v>0</v>
      </c>
      <c r="I27" s="32">
        <f>SUM('Plant Measurements'!P282:P297)</f>
        <v>133.78082800000001</v>
      </c>
      <c r="J27" s="34"/>
      <c r="K27" s="18">
        <f t="shared" si="1"/>
        <v>535.12331200000006</v>
      </c>
      <c r="L27" s="32"/>
      <c r="M27" s="34"/>
      <c r="N27" s="18">
        <f t="shared" si="2"/>
        <v>0</v>
      </c>
      <c r="O27" s="32"/>
      <c r="P27" s="34"/>
      <c r="Q27" s="18">
        <f t="shared" si="3"/>
        <v>0</v>
      </c>
      <c r="R27" s="32"/>
      <c r="S27" s="34"/>
      <c r="T27" s="18">
        <f t="shared" si="4"/>
        <v>0</v>
      </c>
      <c r="U27" s="32"/>
      <c r="V27" s="34"/>
      <c r="W27" s="18">
        <f t="shared" si="5"/>
        <v>0</v>
      </c>
      <c r="X27" s="31">
        <f t="shared" si="6"/>
        <v>535.12331200000006</v>
      </c>
      <c r="Y27" s="35"/>
      <c r="Z27" s="23">
        <f t="shared" si="7"/>
        <v>0</v>
      </c>
      <c r="AA27" s="23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1</v>
      </c>
      <c r="AE27">
        <f t="shared" si="12"/>
        <v>0</v>
      </c>
      <c r="AF27">
        <f t="shared" si="13"/>
        <v>21033.62801</v>
      </c>
      <c r="AG27">
        <f t="shared" si="14"/>
        <v>4206.7256020000004</v>
      </c>
      <c r="AH27">
        <f t="shared" si="15"/>
        <v>2251.1169368174342</v>
      </c>
    </row>
    <row r="28" spans="1:34">
      <c r="A28" s="17" t="s">
        <v>22</v>
      </c>
      <c r="B28" s="37">
        <v>47</v>
      </c>
      <c r="C28" s="19"/>
      <c r="D28" s="20"/>
      <c r="E28" s="18">
        <f t="shared" si="0"/>
        <v>0</v>
      </c>
      <c r="F28" s="19"/>
      <c r="G28" s="21"/>
      <c r="H28" s="25">
        <f t="shared" si="16"/>
        <v>0</v>
      </c>
      <c r="I28" s="19"/>
      <c r="J28" s="21"/>
      <c r="K28" s="18">
        <f t="shared" si="1"/>
        <v>0</v>
      </c>
      <c r="L28" s="19"/>
      <c r="M28" s="21"/>
      <c r="N28" s="18">
        <f t="shared" si="2"/>
        <v>0</v>
      </c>
      <c r="O28" s="19"/>
      <c r="P28" s="21"/>
      <c r="Q28" s="18">
        <f t="shared" si="3"/>
        <v>0</v>
      </c>
      <c r="R28" s="19">
        <f>SUM('Plant Measurements'!P298:P302)</f>
        <v>273.91590100000008</v>
      </c>
      <c r="S28" s="21"/>
      <c r="T28" s="18">
        <f t="shared" si="4"/>
        <v>1095.6636040000003</v>
      </c>
      <c r="U28" s="19"/>
      <c r="V28" s="21"/>
      <c r="W28" s="18">
        <f t="shared" si="5"/>
        <v>0</v>
      </c>
      <c r="X28" s="18">
        <f t="shared" si="6"/>
        <v>1095.6636040000003</v>
      </c>
      <c r="Y28" s="22">
        <f>AVERAGE(X28:X32)</f>
        <v>1907.0537762640001</v>
      </c>
      <c r="Z28" s="23">
        <f t="shared" si="7"/>
        <v>0</v>
      </c>
      <c r="AA28" s="23">
        <f t="shared" si="8"/>
        <v>1095.6636040000003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21033.62801</v>
      </c>
      <c r="AG28">
        <f t="shared" si="14"/>
        <v>4206.7256020000004</v>
      </c>
      <c r="AH28">
        <f t="shared" si="15"/>
        <v>4609.1561341263914</v>
      </c>
    </row>
    <row r="29" spans="1:34">
      <c r="A29" s="24" t="s">
        <v>22</v>
      </c>
      <c r="B29" s="25">
        <v>33</v>
      </c>
      <c r="C29" s="26"/>
      <c r="D29" s="27"/>
      <c r="E29" s="18">
        <f t="shared" si="0"/>
        <v>0</v>
      </c>
      <c r="F29" s="26"/>
      <c r="G29" s="28"/>
      <c r="H29" s="25">
        <f t="shared" si="16"/>
        <v>0</v>
      </c>
      <c r="I29" s="26"/>
      <c r="J29" s="28"/>
      <c r="K29" s="18">
        <f t="shared" si="1"/>
        <v>0</v>
      </c>
      <c r="L29" s="26"/>
      <c r="M29" s="28"/>
      <c r="N29" s="18">
        <f t="shared" si="2"/>
        <v>0</v>
      </c>
      <c r="O29" s="26"/>
      <c r="P29" s="28"/>
      <c r="Q29" s="18">
        <f t="shared" si="3"/>
        <v>0</v>
      </c>
      <c r="R29" s="26"/>
      <c r="S29" s="28"/>
      <c r="T29" s="18">
        <f t="shared" si="4"/>
        <v>0</v>
      </c>
      <c r="U29" s="26">
        <f>SUM('Plant Measurements'!P303:P311)</f>
        <v>323.96006800000009</v>
      </c>
      <c r="V29" s="28"/>
      <c r="W29" s="18">
        <f t="shared" si="5"/>
        <v>1295.8402720000004</v>
      </c>
      <c r="X29" s="25">
        <f t="shared" si="6"/>
        <v>1295.8402720000004</v>
      </c>
      <c r="Y29" s="29"/>
      <c r="Z29" s="23">
        <f t="shared" si="7"/>
        <v>0</v>
      </c>
      <c r="AA29" s="23">
        <f t="shared" si="8"/>
        <v>1295.8402720000004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1</v>
      </c>
      <c r="AF29">
        <f t="shared" si="13"/>
        <v>21033.62801</v>
      </c>
      <c r="AG29">
        <f t="shared" si="14"/>
        <v>4206.7256020000004</v>
      </c>
      <c r="AH29">
        <f t="shared" si="15"/>
        <v>5451.2444483250456</v>
      </c>
    </row>
    <row r="30" spans="1:34">
      <c r="A30" s="24" t="s">
        <v>22</v>
      </c>
      <c r="B30" s="38">
        <v>29</v>
      </c>
      <c r="C30" s="26"/>
      <c r="D30" s="27"/>
      <c r="E30" s="18">
        <f t="shared" si="0"/>
        <v>0</v>
      </c>
      <c r="F30" s="26"/>
      <c r="G30" s="28"/>
      <c r="H30" s="25">
        <f t="shared" si="16"/>
        <v>0</v>
      </c>
      <c r="I30" s="26"/>
      <c r="J30" s="28"/>
      <c r="K30" s="18">
        <f t="shared" si="1"/>
        <v>0</v>
      </c>
      <c r="L30" s="26"/>
      <c r="M30" s="28"/>
      <c r="N30" s="18">
        <f t="shared" si="2"/>
        <v>0</v>
      </c>
      <c r="O30" s="26"/>
      <c r="P30" s="28"/>
      <c r="Q30" s="18">
        <f t="shared" si="3"/>
        <v>0</v>
      </c>
      <c r="R30" s="26">
        <f>SUM('Plant Measurements'!P323:P325)</f>
        <v>249.04690300000001</v>
      </c>
      <c r="S30" s="28"/>
      <c r="T30" s="18">
        <f t="shared" si="4"/>
        <v>996.18761200000006</v>
      </c>
      <c r="U30" s="26">
        <f>SUM('Plant Measurements'!P312:P322)</f>
        <v>324.54345570000004</v>
      </c>
      <c r="V30" s="28"/>
      <c r="W30" s="18">
        <f t="shared" si="5"/>
        <v>1298.1738228000002</v>
      </c>
      <c r="X30" s="25">
        <f t="shared" si="6"/>
        <v>2294.3614348000001</v>
      </c>
      <c r="Y30" s="29"/>
      <c r="Z30" s="23">
        <f t="shared" si="7"/>
        <v>0</v>
      </c>
      <c r="AA30" s="23">
        <f t="shared" si="8"/>
        <v>2294.3614348000001</v>
      </c>
      <c r="AB30">
        <f t="shared" si="9"/>
        <v>0</v>
      </c>
      <c r="AC30">
        <f t="shared" si="10"/>
        <v>0</v>
      </c>
      <c r="AD30">
        <f t="shared" si="11"/>
        <v>0</v>
      </c>
      <c r="AE30">
        <f t="shared" si="12"/>
        <v>1</v>
      </c>
      <c r="AF30">
        <f t="shared" si="13"/>
        <v>21033.62801</v>
      </c>
      <c r="AG30">
        <f t="shared" si="14"/>
        <v>4206.7256020000004</v>
      </c>
      <c r="AH30">
        <f t="shared" si="15"/>
        <v>9651.7489880146168</v>
      </c>
    </row>
    <row r="31" spans="1:34">
      <c r="A31" s="24" t="s">
        <v>22</v>
      </c>
      <c r="B31" s="25">
        <v>21</v>
      </c>
      <c r="C31" s="26"/>
      <c r="D31" s="27"/>
      <c r="E31" s="18">
        <f t="shared" si="0"/>
        <v>0</v>
      </c>
      <c r="F31" s="26"/>
      <c r="G31" s="28"/>
      <c r="H31" s="25">
        <f t="shared" si="16"/>
        <v>0</v>
      </c>
      <c r="I31" s="26"/>
      <c r="J31" s="28"/>
      <c r="K31" s="18">
        <f t="shared" si="1"/>
        <v>0</v>
      </c>
      <c r="L31" s="26"/>
      <c r="M31" s="28"/>
      <c r="N31" s="18">
        <f t="shared" si="2"/>
        <v>0</v>
      </c>
      <c r="O31" s="26"/>
      <c r="P31" s="28"/>
      <c r="Q31" s="18">
        <f t="shared" si="3"/>
        <v>0</v>
      </c>
      <c r="R31" s="26">
        <f>SUM('Plant Measurements'!P326:P331)</f>
        <v>791.87219400000004</v>
      </c>
      <c r="S31" s="28"/>
      <c r="T31" s="18">
        <f t="shared" si="4"/>
        <v>3167.4887760000001</v>
      </c>
      <c r="U31" s="26"/>
      <c r="V31" s="28"/>
      <c r="W31" s="18">
        <f t="shared" si="5"/>
        <v>0</v>
      </c>
      <c r="X31" s="25">
        <f t="shared" si="6"/>
        <v>3167.4887760000001</v>
      </c>
      <c r="Y31" s="29"/>
      <c r="Z31" s="23">
        <f t="shared" si="7"/>
        <v>0</v>
      </c>
      <c r="AA31" s="23">
        <f t="shared" si="8"/>
        <v>3167.4887760000001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13324.756128046845</v>
      </c>
    </row>
    <row r="32" spans="1:34">
      <c r="A32" s="30" t="s">
        <v>22</v>
      </c>
      <c r="B32" s="25">
        <v>13</v>
      </c>
      <c r="C32" s="32">
        <f>SUM('Plant Measurements'!P332:P335)</f>
        <v>28.036150599999999</v>
      </c>
      <c r="D32" s="33"/>
      <c r="E32" s="18">
        <f t="shared" si="0"/>
        <v>112.1446024</v>
      </c>
      <c r="F32" s="32"/>
      <c r="G32" s="34"/>
      <c r="H32" s="25">
        <f t="shared" si="16"/>
        <v>0</v>
      </c>
      <c r="I32" s="32"/>
      <c r="J32" s="34"/>
      <c r="K32" s="18">
        <f t="shared" si="1"/>
        <v>0</v>
      </c>
      <c r="L32" s="32"/>
      <c r="M32" s="34"/>
      <c r="N32" s="18">
        <f t="shared" si="2"/>
        <v>0</v>
      </c>
      <c r="O32" s="32"/>
      <c r="P32" s="34"/>
      <c r="Q32" s="18">
        <f t="shared" si="3"/>
        <v>0</v>
      </c>
      <c r="R32" s="32">
        <f>SUM('Plant Measurements'!P338:P341)</f>
        <v>186.45084699999998</v>
      </c>
      <c r="S32" s="34"/>
      <c r="T32" s="18">
        <f t="shared" si="4"/>
        <v>745.80338799999993</v>
      </c>
      <c r="U32" s="32">
        <f>SUM('Plant Measurements'!P336:P337)</f>
        <v>205.99170103000006</v>
      </c>
      <c r="V32" s="34"/>
      <c r="W32" s="18">
        <f t="shared" si="5"/>
        <v>823.96680412000023</v>
      </c>
      <c r="X32" s="31">
        <f t="shared" si="6"/>
        <v>1681.91479452</v>
      </c>
      <c r="Y32" s="35"/>
      <c r="Z32" s="23">
        <f t="shared" si="7"/>
        <v>112.1446024</v>
      </c>
      <c r="AA32" s="23">
        <f t="shared" si="8"/>
        <v>1569.77019212</v>
      </c>
      <c r="AB32">
        <f t="shared" si="9"/>
        <v>6.6676744128411597E-2</v>
      </c>
      <c r="AC32">
        <f t="shared" si="10"/>
        <v>0</v>
      </c>
      <c r="AD32">
        <f t="shared" si="11"/>
        <v>0</v>
      </c>
      <c r="AE32">
        <f t="shared" si="12"/>
        <v>0.93332325587158849</v>
      </c>
      <c r="AF32">
        <f t="shared" si="13"/>
        <v>21033.62801</v>
      </c>
      <c r="AG32">
        <f t="shared" si="14"/>
        <v>4206.7256020000004</v>
      </c>
      <c r="AH32">
        <f t="shared" si="15"/>
        <v>7075.3540264898538</v>
      </c>
    </row>
    <row r="33" spans="1:34">
      <c r="A33" s="17" t="s">
        <v>23</v>
      </c>
      <c r="B33" s="18">
        <v>41</v>
      </c>
      <c r="C33" s="19"/>
      <c r="D33" s="39"/>
      <c r="E33" s="18">
        <f t="shared" si="0"/>
        <v>0</v>
      </c>
      <c r="F33" s="19"/>
      <c r="G33" s="21"/>
      <c r="H33" s="25">
        <f t="shared" si="16"/>
        <v>0</v>
      </c>
      <c r="I33" s="19"/>
      <c r="J33" s="21"/>
      <c r="K33" s="18">
        <f t="shared" si="1"/>
        <v>0</v>
      </c>
      <c r="L33" s="19"/>
      <c r="M33" s="21"/>
      <c r="N33" s="18">
        <f t="shared" si="2"/>
        <v>0</v>
      </c>
      <c r="O33" s="19"/>
      <c r="P33" s="21"/>
      <c r="Q33" s="18">
        <f t="shared" si="3"/>
        <v>0</v>
      </c>
      <c r="R33" s="19">
        <f>SUM('Plant Measurements'!P344:P353)</f>
        <v>434.20800500000001</v>
      </c>
      <c r="S33" s="21"/>
      <c r="T33" s="18">
        <f t="shared" si="4"/>
        <v>1736.8320200000001</v>
      </c>
      <c r="U33" s="19">
        <f>SUM('Plant Measurements'!P342:P343)</f>
        <v>196.77167450000007</v>
      </c>
      <c r="V33" s="21"/>
      <c r="W33" s="18">
        <f t="shared" si="5"/>
        <v>787.0866980000003</v>
      </c>
      <c r="X33" s="18">
        <f t="shared" si="6"/>
        <v>2523.9187180000004</v>
      </c>
      <c r="Y33" s="22">
        <f>AVERAGE(X33:X37)</f>
        <v>1916.0893133600002</v>
      </c>
      <c r="Z33" s="23">
        <f t="shared" si="7"/>
        <v>0</v>
      </c>
      <c r="AA33" s="23">
        <f t="shared" si="8"/>
        <v>2523.9187180000004</v>
      </c>
      <c r="AB33">
        <f t="shared" si="9"/>
        <v>0</v>
      </c>
      <c r="AC33">
        <f t="shared" si="10"/>
        <v>0</v>
      </c>
      <c r="AD33">
        <f t="shared" si="11"/>
        <v>0</v>
      </c>
      <c r="AE33">
        <f t="shared" si="12"/>
        <v>1</v>
      </c>
      <c r="AF33">
        <f t="shared" si="13"/>
        <v>21033.62801</v>
      </c>
      <c r="AG33">
        <f t="shared" si="14"/>
        <v>4206.7256020000004</v>
      </c>
      <c r="AH33">
        <f t="shared" si="15"/>
        <v>10617.433488377621</v>
      </c>
    </row>
    <row r="34" spans="1:34">
      <c r="A34" s="24" t="s">
        <v>23</v>
      </c>
      <c r="B34" s="25">
        <v>38</v>
      </c>
      <c r="C34" s="26"/>
      <c r="D34" s="27"/>
      <c r="E34" s="18">
        <f t="shared" si="0"/>
        <v>0</v>
      </c>
      <c r="F34" s="26"/>
      <c r="G34" s="28"/>
      <c r="H34" s="25">
        <f t="shared" si="16"/>
        <v>0</v>
      </c>
      <c r="I34" s="26"/>
      <c r="J34" s="28"/>
      <c r="K34" s="18">
        <f t="shared" si="1"/>
        <v>0</v>
      </c>
      <c r="L34" s="26"/>
      <c r="M34" s="28"/>
      <c r="N34" s="18">
        <f t="shared" si="2"/>
        <v>0</v>
      </c>
      <c r="O34" s="26"/>
      <c r="P34" s="28"/>
      <c r="Q34" s="18">
        <f t="shared" si="3"/>
        <v>0</v>
      </c>
      <c r="R34" s="26">
        <f>SUM('Plant Measurements'!P359:P364)</f>
        <v>284.88926464000008</v>
      </c>
      <c r="S34" s="28"/>
      <c r="T34" s="18">
        <f t="shared" si="4"/>
        <v>1139.5570585600003</v>
      </c>
      <c r="U34" s="26">
        <f>SUM('Plant Measurements'!P354:P358)</f>
        <v>553.23407496000004</v>
      </c>
      <c r="V34" s="28"/>
      <c r="W34" s="18">
        <f t="shared" si="5"/>
        <v>2212.9362998400002</v>
      </c>
      <c r="X34" s="25">
        <f t="shared" si="6"/>
        <v>3352.4933584000005</v>
      </c>
      <c r="Y34" s="29"/>
      <c r="Z34" s="23">
        <f t="shared" si="7"/>
        <v>0</v>
      </c>
      <c r="AA34" s="23">
        <f t="shared" si="8"/>
        <v>3352.4933584000005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21033.62801</v>
      </c>
      <c r="AG34">
        <f t="shared" si="14"/>
        <v>4206.7256020000004</v>
      </c>
      <c r="AH34">
        <f t="shared" si="15"/>
        <v>14103.019641316245</v>
      </c>
    </row>
    <row r="35" spans="1:34">
      <c r="A35" s="24" t="s">
        <v>23</v>
      </c>
      <c r="B35" s="25">
        <v>28</v>
      </c>
      <c r="C35" s="26"/>
      <c r="D35" s="27"/>
      <c r="E35" s="18">
        <f t="shared" si="0"/>
        <v>0</v>
      </c>
      <c r="F35" s="26"/>
      <c r="G35" s="28"/>
      <c r="H35" s="25">
        <f t="shared" si="16"/>
        <v>0</v>
      </c>
      <c r="I35" s="26"/>
      <c r="J35" s="28"/>
      <c r="K35" s="18">
        <f t="shared" si="1"/>
        <v>0</v>
      </c>
      <c r="L35" s="26"/>
      <c r="M35" s="28"/>
      <c r="N35" s="18">
        <f t="shared" si="2"/>
        <v>0</v>
      </c>
      <c r="O35" s="26"/>
      <c r="P35" s="28"/>
      <c r="Q35" s="18">
        <f t="shared" si="3"/>
        <v>0</v>
      </c>
      <c r="R35" s="26">
        <f>SUM('Plant Measurements'!P365:P370)</f>
        <v>268.14735899999999</v>
      </c>
      <c r="S35" s="28"/>
      <c r="T35" s="18">
        <f t="shared" si="4"/>
        <v>1072.589436</v>
      </c>
      <c r="U35" s="26"/>
      <c r="V35" s="28"/>
      <c r="W35" s="18">
        <f t="shared" si="5"/>
        <v>0</v>
      </c>
      <c r="X35" s="25">
        <f t="shared" si="6"/>
        <v>1072.589436</v>
      </c>
      <c r="Y35" s="29"/>
      <c r="Z35" s="23">
        <f t="shared" si="7"/>
        <v>0</v>
      </c>
      <c r="AA35" s="23">
        <f t="shared" si="8"/>
        <v>1072.589436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1</v>
      </c>
      <c r="AF35">
        <f t="shared" si="13"/>
        <v>21033.62801</v>
      </c>
      <c r="AG35">
        <f t="shared" si="14"/>
        <v>4206.7256020000004</v>
      </c>
      <c r="AH35">
        <f t="shared" si="15"/>
        <v>4512.0894408559407</v>
      </c>
    </row>
    <row r="36" spans="1:34">
      <c r="A36" s="24" t="s">
        <v>23</v>
      </c>
      <c r="B36" s="25">
        <v>26</v>
      </c>
      <c r="C36" s="26"/>
      <c r="D36" s="27"/>
      <c r="E36" s="18">
        <f t="shared" si="0"/>
        <v>0</v>
      </c>
      <c r="F36" s="26"/>
      <c r="G36" s="28"/>
      <c r="H36" s="25">
        <f t="shared" si="16"/>
        <v>0</v>
      </c>
      <c r="I36" s="26"/>
      <c r="J36" s="28"/>
      <c r="K36" s="18">
        <f t="shared" si="1"/>
        <v>0</v>
      </c>
      <c r="L36" s="26"/>
      <c r="M36" s="28"/>
      <c r="N36" s="18">
        <f t="shared" si="2"/>
        <v>0</v>
      </c>
      <c r="O36" s="26"/>
      <c r="P36" s="28"/>
      <c r="Q36" s="18">
        <f t="shared" si="3"/>
        <v>0</v>
      </c>
      <c r="R36" s="26">
        <f>SUM('Plant Measurements'!P373:P380)</f>
        <v>436.76582000000008</v>
      </c>
      <c r="S36" s="28"/>
      <c r="T36" s="18">
        <f t="shared" si="4"/>
        <v>1747.0632800000003</v>
      </c>
      <c r="U36" s="26">
        <f>SUM('Plant Measurements'!P371:P372)</f>
        <v>221.09544360000001</v>
      </c>
      <c r="V36" s="28"/>
      <c r="W36" s="18">
        <f t="shared" si="5"/>
        <v>884.38177440000004</v>
      </c>
      <c r="X36" s="25">
        <f t="shared" si="6"/>
        <v>2631.4450544000001</v>
      </c>
      <c r="Y36" s="29"/>
      <c r="Z36" s="23">
        <f t="shared" si="7"/>
        <v>0</v>
      </c>
      <c r="AA36" s="23">
        <f t="shared" si="8"/>
        <v>2631.4450544000001</v>
      </c>
      <c r="AB36">
        <f t="shared" si="9"/>
        <v>0</v>
      </c>
      <c r="AC36">
        <f t="shared" si="10"/>
        <v>0</v>
      </c>
      <c r="AD36">
        <f t="shared" si="11"/>
        <v>0</v>
      </c>
      <c r="AE36">
        <f t="shared" si="12"/>
        <v>1</v>
      </c>
      <c r="AF36">
        <f t="shared" si="13"/>
        <v>21033.62801</v>
      </c>
      <c r="AG36">
        <f t="shared" si="14"/>
        <v>4206.7256020000004</v>
      </c>
      <c r="AH36">
        <f t="shared" si="15"/>
        <v>11069.767280600763</v>
      </c>
    </row>
    <row r="37" spans="1:34">
      <c r="A37" s="30" t="s">
        <v>23</v>
      </c>
      <c r="B37" s="31">
        <v>6</v>
      </c>
      <c r="C37" s="32"/>
      <c r="D37" s="33"/>
      <c r="E37" s="18">
        <f t="shared" si="0"/>
        <v>0</v>
      </c>
      <c r="F37" s="32"/>
      <c r="G37" s="34"/>
      <c r="H37" s="25">
        <f t="shared" si="16"/>
        <v>0</v>
      </c>
      <c r="I37" s="32"/>
      <c r="J37" s="34"/>
      <c r="K37" s="18">
        <f t="shared" si="1"/>
        <v>0</v>
      </c>
      <c r="L37" s="32"/>
      <c r="M37" s="34"/>
      <c r="N37" s="18">
        <f t="shared" si="2"/>
        <v>0</v>
      </c>
      <c r="O37" s="32"/>
      <c r="P37" s="34"/>
      <c r="Q37" s="18">
        <f t="shared" si="3"/>
        <v>0</v>
      </c>
      <c r="R37" s="32"/>
      <c r="S37" s="34"/>
      <c r="T37" s="18">
        <f t="shared" si="4"/>
        <v>0</v>
      </c>
      <c r="U37" s="32"/>
      <c r="V37" s="34"/>
      <c r="W37" s="18">
        <f t="shared" si="5"/>
        <v>0</v>
      </c>
      <c r="X37" s="31">
        <f t="shared" si="6"/>
        <v>0</v>
      </c>
      <c r="Y37" s="35"/>
      <c r="Z37" s="23">
        <f t="shared" si="7"/>
        <v>0</v>
      </c>
      <c r="AA37" s="23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7" t="s">
        <v>24</v>
      </c>
      <c r="B38" s="18">
        <v>48</v>
      </c>
      <c r="C38" s="19">
        <f>SUM('Plant Measurements'!P382:P384)</f>
        <v>54.159954000000006</v>
      </c>
      <c r="D38" s="20"/>
      <c r="E38" s="18">
        <f t="shared" si="0"/>
        <v>216.63981600000002</v>
      </c>
      <c r="F38" s="19"/>
      <c r="G38" s="21"/>
      <c r="H38" s="25">
        <f t="shared" si="16"/>
        <v>0</v>
      </c>
      <c r="I38" s="19">
        <f>SUM('Plant Measurements'!P385:P391)</f>
        <v>118.87199099999999</v>
      </c>
      <c r="J38" s="21"/>
      <c r="K38" s="18">
        <f t="shared" si="1"/>
        <v>475.48796399999998</v>
      </c>
      <c r="L38" s="19"/>
      <c r="M38" s="21"/>
      <c r="N38" s="18">
        <f t="shared" si="2"/>
        <v>0</v>
      </c>
      <c r="O38" s="19"/>
      <c r="P38" s="21"/>
      <c r="Q38" s="18">
        <f t="shared" si="3"/>
        <v>0</v>
      </c>
      <c r="R38" s="19">
        <f>SUM('Plant Measurements'!P392:P398)</f>
        <v>303.85730200000012</v>
      </c>
      <c r="S38" s="21"/>
      <c r="T38" s="18">
        <f t="shared" si="4"/>
        <v>1215.4292080000005</v>
      </c>
      <c r="U38" s="19"/>
      <c r="V38" s="21"/>
      <c r="W38" s="18">
        <f t="shared" si="5"/>
        <v>0</v>
      </c>
      <c r="X38" s="18">
        <f t="shared" si="6"/>
        <v>1907.5569880000005</v>
      </c>
      <c r="Y38" s="22">
        <f>AVERAGE(X38:X42)</f>
        <v>1139.1936263760003</v>
      </c>
      <c r="Z38" s="23">
        <f t="shared" si="7"/>
        <v>216.63981600000002</v>
      </c>
      <c r="AA38" s="23">
        <f t="shared" si="8"/>
        <v>1215.4292080000005</v>
      </c>
      <c r="AB38">
        <f t="shared" si="9"/>
        <v>0.11356924975915843</v>
      </c>
      <c r="AC38">
        <f t="shared" si="10"/>
        <v>0</v>
      </c>
      <c r="AD38">
        <f t="shared" si="11"/>
        <v>0.24926540438434328</v>
      </c>
      <c r="AE38">
        <f t="shared" si="12"/>
        <v>0.63716534585649831</v>
      </c>
      <c r="AF38">
        <f t="shared" si="13"/>
        <v>21033.62801</v>
      </c>
      <c r="AG38">
        <f t="shared" si="14"/>
        <v>4206.7256020000004</v>
      </c>
      <c r="AH38">
        <f t="shared" si="15"/>
        <v>8024.5688186936095</v>
      </c>
    </row>
    <row r="39" spans="1:34">
      <c r="A39" s="24" t="s">
        <v>24</v>
      </c>
      <c r="B39" s="25">
        <v>45</v>
      </c>
      <c r="C39" s="26"/>
      <c r="D39" s="27"/>
      <c r="E39" s="18">
        <f t="shared" si="0"/>
        <v>0</v>
      </c>
      <c r="F39" s="26"/>
      <c r="G39" s="28"/>
      <c r="H39" s="25">
        <f t="shared" si="16"/>
        <v>0</v>
      </c>
      <c r="I39" s="26"/>
      <c r="J39" s="28"/>
      <c r="K39" s="18">
        <f t="shared" si="1"/>
        <v>0</v>
      </c>
      <c r="L39" s="26"/>
      <c r="M39" s="28"/>
      <c r="N39" s="18">
        <f t="shared" si="2"/>
        <v>0</v>
      </c>
      <c r="O39" s="26"/>
      <c r="P39" s="28"/>
      <c r="Q39" s="18">
        <f t="shared" si="3"/>
        <v>0</v>
      </c>
      <c r="R39" s="26"/>
      <c r="S39" s="28"/>
      <c r="T39" s="18">
        <f t="shared" si="4"/>
        <v>0</v>
      </c>
      <c r="U39" s="26"/>
      <c r="V39" s="28"/>
      <c r="W39" s="18">
        <f t="shared" si="5"/>
        <v>0</v>
      </c>
      <c r="X39" s="25">
        <f t="shared" si="6"/>
        <v>0</v>
      </c>
      <c r="Y39" s="29"/>
      <c r="Z39" s="23">
        <f t="shared" si="7"/>
        <v>0</v>
      </c>
      <c r="AA39" s="23">
        <f t="shared" si="8"/>
        <v>0</v>
      </c>
      <c r="AB39" t="str">
        <f t="shared" si="9"/>
        <v xml:space="preserve"> </v>
      </c>
      <c r="AC39" t="str">
        <f t="shared" si="10"/>
        <v xml:space="preserve"> </v>
      </c>
      <c r="AD39" t="str">
        <f t="shared" si="11"/>
        <v xml:space="preserve"> </v>
      </c>
      <c r="AE39" t="str">
        <f t="shared" si="12"/>
        <v xml:space="preserve"> </v>
      </c>
      <c r="AF39">
        <f t="shared" si="13"/>
        <v>21033.62801</v>
      </c>
      <c r="AG39">
        <f t="shared" si="14"/>
        <v>4206.7256020000004</v>
      </c>
      <c r="AH39">
        <f t="shared" si="15"/>
        <v>0</v>
      </c>
    </row>
    <row r="40" spans="1:34">
      <c r="A40" s="24" t="s">
        <v>24</v>
      </c>
      <c r="B40" s="25">
        <v>33</v>
      </c>
      <c r="C40" s="26">
        <f>SUM('Plant Measurements'!P400:P415)</f>
        <v>75.588555999999997</v>
      </c>
      <c r="D40" s="27"/>
      <c r="E40" s="18">
        <f t="shared" si="0"/>
        <v>302.35422399999999</v>
      </c>
      <c r="F40" s="26"/>
      <c r="G40" s="28"/>
      <c r="H40" s="25">
        <f t="shared" si="16"/>
        <v>0</v>
      </c>
      <c r="I40" s="26"/>
      <c r="J40" s="28"/>
      <c r="K40" s="18">
        <f t="shared" si="1"/>
        <v>0</v>
      </c>
      <c r="L40" s="26"/>
      <c r="M40" s="28"/>
      <c r="N40" s="18">
        <f t="shared" si="2"/>
        <v>0</v>
      </c>
      <c r="O40" s="26"/>
      <c r="P40" s="28"/>
      <c r="Q40" s="18">
        <f t="shared" si="3"/>
        <v>0</v>
      </c>
      <c r="R40" s="26">
        <f>SUM('Plant Measurements'!P421:P423)</f>
        <v>36.492487000000011</v>
      </c>
      <c r="S40" s="28"/>
      <c r="T40" s="18">
        <f t="shared" si="4"/>
        <v>145.96994800000004</v>
      </c>
      <c r="U40" s="26">
        <f>SUM('Plant Measurements'!P416:P420)</f>
        <v>602.56657429000006</v>
      </c>
      <c r="V40" s="28"/>
      <c r="W40" s="18">
        <f t="shared" si="5"/>
        <v>2410.2662971600002</v>
      </c>
      <c r="X40" s="25">
        <f t="shared" si="6"/>
        <v>2858.5904691600003</v>
      </c>
      <c r="Y40" s="29"/>
      <c r="Z40" s="23">
        <f t="shared" si="7"/>
        <v>302.35422399999999</v>
      </c>
      <c r="AA40" s="23">
        <f t="shared" si="8"/>
        <v>2556.2362451600002</v>
      </c>
      <c r="AB40">
        <f t="shared" si="9"/>
        <v>0.10577038833017836</v>
      </c>
      <c r="AC40">
        <f t="shared" si="10"/>
        <v>0</v>
      </c>
      <c r="AD40">
        <f t="shared" si="11"/>
        <v>0</v>
      </c>
      <c r="AE40">
        <f t="shared" si="12"/>
        <v>0.89422961166982162</v>
      </c>
      <c r="AF40">
        <f t="shared" si="13"/>
        <v>21033.62801</v>
      </c>
      <c r="AG40">
        <f t="shared" si="14"/>
        <v>4206.7256020000004</v>
      </c>
      <c r="AH40">
        <f t="shared" si="15"/>
        <v>12025.305712248566</v>
      </c>
    </row>
    <row r="41" spans="1:34">
      <c r="A41" s="24" t="s">
        <v>24</v>
      </c>
      <c r="B41" s="25">
        <v>28</v>
      </c>
      <c r="C41" s="26"/>
      <c r="D41" s="27"/>
      <c r="E41" s="18">
        <f t="shared" si="0"/>
        <v>0</v>
      </c>
      <c r="F41" s="26"/>
      <c r="G41" s="28"/>
      <c r="H41" s="25">
        <f t="shared" si="16"/>
        <v>0</v>
      </c>
      <c r="I41" s="26"/>
      <c r="J41" s="28"/>
      <c r="K41" s="18">
        <f t="shared" si="1"/>
        <v>0</v>
      </c>
      <c r="L41" s="26"/>
      <c r="M41" s="28"/>
      <c r="N41" s="18">
        <f t="shared" si="2"/>
        <v>0</v>
      </c>
      <c r="O41" s="26"/>
      <c r="P41" s="28"/>
      <c r="Q41" s="18">
        <f t="shared" si="3"/>
        <v>0</v>
      </c>
      <c r="R41" s="26">
        <f>SUM('Plant Measurements'!P426:P430)</f>
        <v>51.633605000000003</v>
      </c>
      <c r="S41" s="28"/>
      <c r="T41" s="18">
        <f t="shared" si="4"/>
        <v>206.53442000000001</v>
      </c>
      <c r="U41" s="26">
        <f>SUM('Plant Measurements'!P424:P425)</f>
        <v>180.82156368000003</v>
      </c>
      <c r="V41" s="28"/>
      <c r="W41" s="18">
        <f t="shared" si="5"/>
        <v>723.2862547200001</v>
      </c>
      <c r="X41" s="25">
        <f t="shared" si="6"/>
        <v>929.82067472000017</v>
      </c>
      <c r="Y41" s="29"/>
      <c r="Z41" s="23">
        <f t="shared" si="7"/>
        <v>0</v>
      </c>
      <c r="AA41" s="23">
        <f t="shared" si="8"/>
        <v>929.82067472000017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f t="shared" si="12"/>
        <v>1</v>
      </c>
      <c r="AF41">
        <f t="shared" si="13"/>
        <v>21033.62801</v>
      </c>
      <c r="AG41">
        <f t="shared" si="14"/>
        <v>4206.7256020000004</v>
      </c>
      <c r="AH41">
        <f t="shared" si="15"/>
        <v>3911.5004376135394</v>
      </c>
    </row>
    <row r="42" spans="1:34">
      <c r="A42" s="30" t="s">
        <v>24</v>
      </c>
      <c r="B42" s="31">
        <v>16</v>
      </c>
      <c r="C42" s="32"/>
      <c r="D42" s="33"/>
      <c r="E42" s="18">
        <f>C42*4</f>
        <v>0</v>
      </c>
      <c r="F42" s="32"/>
      <c r="G42" s="34"/>
      <c r="H42" s="25">
        <f t="shared" si="16"/>
        <v>0</v>
      </c>
      <c r="I42" s="32"/>
      <c r="J42" s="34"/>
      <c r="K42" s="18">
        <f t="shared" si="1"/>
        <v>0</v>
      </c>
      <c r="L42" s="32"/>
      <c r="M42" s="34"/>
      <c r="N42" s="18">
        <f t="shared" si="2"/>
        <v>0</v>
      </c>
      <c r="O42" s="32"/>
      <c r="P42" s="34"/>
      <c r="Q42" s="18">
        <f t="shared" si="3"/>
        <v>0</v>
      </c>
      <c r="R42" s="32"/>
      <c r="S42" s="34"/>
      <c r="T42" s="18">
        <f t="shared" si="4"/>
        <v>0</v>
      </c>
      <c r="U42" s="32"/>
      <c r="V42" s="34"/>
      <c r="W42" s="18">
        <f t="shared" si="5"/>
        <v>0</v>
      </c>
      <c r="X42" s="31">
        <f t="shared" si="6"/>
        <v>0</v>
      </c>
      <c r="Y42" s="35"/>
      <c r="Z42" s="23">
        <f t="shared" si="7"/>
        <v>0</v>
      </c>
      <c r="AA42" s="23">
        <f t="shared" si="8"/>
        <v>0</v>
      </c>
      <c r="AB42" t="str">
        <f t="shared" si="9"/>
        <v xml:space="preserve"> </v>
      </c>
      <c r="AC42" t="str">
        <f t="shared" si="10"/>
        <v xml:space="preserve"> </v>
      </c>
      <c r="AD42" t="str">
        <f t="shared" si="11"/>
        <v xml:space="preserve"> </v>
      </c>
      <c r="AE42" t="str">
        <f t="shared" si="12"/>
        <v xml:space="preserve"> </v>
      </c>
      <c r="AF42">
        <f t="shared" si="13"/>
        <v>21033.62801</v>
      </c>
      <c r="AG42">
        <f t="shared" si="14"/>
        <v>4206.7256020000004</v>
      </c>
      <c r="AH42">
        <f t="shared" si="15"/>
        <v>0</v>
      </c>
    </row>
    <row r="43" spans="1:34">
      <c r="A43" s="17" t="s">
        <v>56</v>
      </c>
      <c r="B43" s="18">
        <v>38</v>
      </c>
      <c r="C43" s="19"/>
      <c r="D43" s="40"/>
      <c r="E43" s="18">
        <f>C43*4</f>
        <v>0</v>
      </c>
      <c r="F43" s="19"/>
      <c r="G43" s="21"/>
      <c r="H43" s="25">
        <f t="shared" ref="H43:H52" si="17">F43*4</f>
        <v>0</v>
      </c>
      <c r="I43" s="19"/>
      <c r="J43" s="21"/>
      <c r="K43" s="18">
        <f t="shared" si="1"/>
        <v>0</v>
      </c>
      <c r="L43" s="19"/>
      <c r="M43" s="21"/>
      <c r="N43" s="18">
        <f t="shared" si="2"/>
        <v>0</v>
      </c>
      <c r="O43" s="19"/>
      <c r="P43" s="21"/>
      <c r="Q43" s="18">
        <f t="shared" si="3"/>
        <v>0</v>
      </c>
      <c r="R43" s="19"/>
      <c r="S43" s="21"/>
      <c r="T43" s="18">
        <f t="shared" si="4"/>
        <v>0</v>
      </c>
      <c r="U43" s="19">
        <f>SUM('Plant Measurements'!P432:P440)</f>
        <v>784.20824631000005</v>
      </c>
      <c r="V43" s="20"/>
      <c r="W43" s="18">
        <f t="shared" si="5"/>
        <v>3136.8329852400002</v>
      </c>
      <c r="X43" s="18">
        <f t="shared" si="6"/>
        <v>3136.8329852400002</v>
      </c>
      <c r="Y43" s="22">
        <f>AVERAGE(X43:X47)</f>
        <v>2869.1186556880007</v>
      </c>
      <c r="Z43" s="23">
        <f t="shared" si="7"/>
        <v>0</v>
      </c>
      <c r="AA43" s="23">
        <f t="shared" si="8"/>
        <v>3136.8329852400002</v>
      </c>
      <c r="AB43">
        <f t="shared" si="9"/>
        <v>0</v>
      </c>
      <c r="AC43">
        <f t="shared" si="10"/>
        <v>0</v>
      </c>
      <c r="AD43">
        <f t="shared" si="11"/>
        <v>0</v>
      </c>
      <c r="AE43">
        <f t="shared" si="12"/>
        <v>1</v>
      </c>
      <c r="AF43">
        <f t="shared" si="13"/>
        <v>21033.62801</v>
      </c>
      <c r="AG43">
        <f t="shared" si="14"/>
        <v>4206.7256020000004</v>
      </c>
      <c r="AH43">
        <f t="shared" si="15"/>
        <v>13195.795628207197</v>
      </c>
    </row>
    <row r="44" spans="1:34">
      <c r="A44" s="24" t="s">
        <v>56</v>
      </c>
      <c r="B44" s="25">
        <v>34</v>
      </c>
      <c r="C44" s="26"/>
      <c r="D44" s="27"/>
      <c r="E44" s="18">
        <f>C44*4</f>
        <v>0</v>
      </c>
      <c r="F44" s="26"/>
      <c r="G44" s="28"/>
      <c r="H44" s="25">
        <f t="shared" si="17"/>
        <v>0</v>
      </c>
      <c r="I44" s="26"/>
      <c r="J44" s="28"/>
      <c r="K44" s="18">
        <f t="shared" si="1"/>
        <v>0</v>
      </c>
      <c r="L44" s="26"/>
      <c r="M44" s="28"/>
      <c r="N44" s="18">
        <f t="shared" si="2"/>
        <v>0</v>
      </c>
      <c r="O44" s="26"/>
      <c r="P44" s="28"/>
      <c r="Q44" s="18">
        <f t="shared" si="3"/>
        <v>0</v>
      </c>
      <c r="R44" s="26">
        <f>SUM('Plant Measurements'!P447:P454)</f>
        <v>394.37621107000007</v>
      </c>
      <c r="S44" s="28"/>
      <c r="T44" s="18">
        <f t="shared" si="4"/>
        <v>1577.5048442800003</v>
      </c>
      <c r="U44" s="26">
        <f>SUM('Plant Measurements'!P441:P446)</f>
        <v>686.89396060000013</v>
      </c>
      <c r="V44" s="28"/>
      <c r="W44" s="18">
        <f t="shared" si="5"/>
        <v>2747.5758424000005</v>
      </c>
      <c r="X44" s="25">
        <f t="shared" si="6"/>
        <v>4325.0806866800012</v>
      </c>
      <c r="Y44" s="29"/>
      <c r="Z44" s="23">
        <f t="shared" si="7"/>
        <v>0</v>
      </c>
      <c r="AA44" s="23">
        <f t="shared" si="8"/>
        <v>4325.0806866800012</v>
      </c>
      <c r="AB44">
        <f t="shared" si="9"/>
        <v>0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21033.62801</v>
      </c>
      <c r="AG44">
        <f t="shared" si="14"/>
        <v>4206.7256020000004</v>
      </c>
      <c r="AH44">
        <f t="shared" si="15"/>
        <v>18194.427655372503</v>
      </c>
    </row>
    <row r="45" spans="1:34">
      <c r="A45" s="24" t="s">
        <v>56</v>
      </c>
      <c r="B45" s="25">
        <v>29</v>
      </c>
      <c r="C45" s="26"/>
      <c r="D45" s="27"/>
      <c r="E45" s="18">
        <f>C45*4</f>
        <v>0</v>
      </c>
      <c r="F45" s="26"/>
      <c r="G45" s="28"/>
      <c r="H45" s="25">
        <f t="shared" si="17"/>
        <v>0</v>
      </c>
      <c r="I45" s="26"/>
      <c r="J45" s="28"/>
      <c r="K45" s="18">
        <f t="shared" si="1"/>
        <v>0</v>
      </c>
      <c r="L45" s="26"/>
      <c r="M45" s="28"/>
      <c r="N45" s="18">
        <f t="shared" si="2"/>
        <v>0</v>
      </c>
      <c r="O45" s="26"/>
      <c r="P45" s="28"/>
      <c r="Q45" s="18">
        <f t="shared" si="3"/>
        <v>0</v>
      </c>
      <c r="R45" s="26">
        <f>SUM('Plant Measurements'!P460)</f>
        <v>45.640655000000017</v>
      </c>
      <c r="S45" s="28"/>
      <c r="T45" s="18">
        <f t="shared" si="4"/>
        <v>182.56262000000007</v>
      </c>
      <c r="U45" s="26">
        <f>SUM('Plant Measurements'!P455:P459)</f>
        <v>610.78241287000003</v>
      </c>
      <c r="V45" s="28"/>
      <c r="W45" s="18">
        <f t="shared" si="5"/>
        <v>2443.1296514800001</v>
      </c>
      <c r="X45" s="25">
        <f t="shared" si="6"/>
        <v>2625.6922714800003</v>
      </c>
      <c r="Y45" s="29"/>
      <c r="Z45" s="23">
        <f t="shared" si="7"/>
        <v>0</v>
      </c>
      <c r="AA45" s="23">
        <f t="shared" si="8"/>
        <v>2625.6922714800003</v>
      </c>
      <c r="AB45">
        <f t="shared" si="9"/>
        <v>0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21033.62801</v>
      </c>
      <c r="AG45">
        <f t="shared" si="14"/>
        <v>4206.7256020000004</v>
      </c>
      <c r="AH45">
        <f t="shared" si="15"/>
        <v>11045.566901408452</v>
      </c>
    </row>
    <row r="46" spans="1:34">
      <c r="A46" s="24" t="s">
        <v>56</v>
      </c>
      <c r="B46" s="25">
        <v>19</v>
      </c>
      <c r="C46" s="26"/>
      <c r="D46" s="27"/>
      <c r="E46" s="18">
        <f>C46*4</f>
        <v>0</v>
      </c>
      <c r="F46" s="26"/>
      <c r="G46" s="28"/>
      <c r="H46" s="25">
        <f t="shared" si="17"/>
        <v>0</v>
      </c>
      <c r="I46" s="26"/>
      <c r="J46" s="28"/>
      <c r="K46" s="18">
        <f t="shared" si="1"/>
        <v>0</v>
      </c>
      <c r="L46" s="26"/>
      <c r="M46" s="28"/>
      <c r="N46" s="18">
        <f t="shared" si="2"/>
        <v>0</v>
      </c>
      <c r="O46" s="26"/>
      <c r="P46" s="28"/>
      <c r="Q46" s="18">
        <f t="shared" si="3"/>
        <v>0</v>
      </c>
      <c r="R46" s="26">
        <f>SUM('Plant Measurements'!P465:P469)</f>
        <v>45.976060000000032</v>
      </c>
      <c r="S46" s="28"/>
      <c r="T46" s="18">
        <f t="shared" si="4"/>
        <v>183.90424000000013</v>
      </c>
      <c r="U46" s="26">
        <f>SUM('Plant Measurements'!P461:P464)</f>
        <v>515.33734276000007</v>
      </c>
      <c r="V46" s="28"/>
      <c r="W46" s="18">
        <f t="shared" si="5"/>
        <v>2061.3493710400003</v>
      </c>
      <c r="X46" s="25">
        <f t="shared" si="6"/>
        <v>2245.2536110400006</v>
      </c>
      <c r="Y46" s="29"/>
      <c r="Z46" s="23">
        <f t="shared" si="7"/>
        <v>0</v>
      </c>
      <c r="AA46" s="23">
        <f t="shared" si="8"/>
        <v>2245.2536110400006</v>
      </c>
      <c r="AB46">
        <f t="shared" si="9"/>
        <v>0</v>
      </c>
      <c r="AC46">
        <f t="shared" si="10"/>
        <v>0</v>
      </c>
      <c r="AD46">
        <f t="shared" si="11"/>
        <v>0</v>
      </c>
      <c r="AE46">
        <f t="shared" si="12"/>
        <v>1</v>
      </c>
      <c r="AF46">
        <f t="shared" si="13"/>
        <v>21033.62801</v>
      </c>
      <c r="AG46">
        <f t="shared" si="14"/>
        <v>4206.7256020000004</v>
      </c>
      <c r="AH46">
        <f t="shared" si="15"/>
        <v>9445.1658485449225</v>
      </c>
    </row>
    <row r="47" spans="1:34">
      <c r="A47" s="30" t="s">
        <v>56</v>
      </c>
      <c r="B47" s="31">
        <v>4</v>
      </c>
      <c r="C47" s="32"/>
      <c r="D47" s="33"/>
      <c r="E47" s="18">
        <f t="shared" si="0"/>
        <v>0</v>
      </c>
      <c r="F47" s="32"/>
      <c r="G47" s="34"/>
      <c r="H47" s="25">
        <f t="shared" si="17"/>
        <v>0</v>
      </c>
      <c r="I47" s="32">
        <f>SUM('Plant Measurements'!P470:P498)</f>
        <v>230.38280300000008</v>
      </c>
      <c r="J47" s="34"/>
      <c r="K47" s="18">
        <f t="shared" si="1"/>
        <v>921.53121200000032</v>
      </c>
      <c r="L47" s="32"/>
      <c r="M47" s="34"/>
      <c r="N47" s="18">
        <f t="shared" si="2"/>
        <v>0</v>
      </c>
      <c r="O47" s="32"/>
      <c r="P47" s="34"/>
      <c r="Q47" s="18">
        <f t="shared" si="3"/>
        <v>0</v>
      </c>
      <c r="R47" s="32">
        <f>SUM('Plant Measurements'!P500:P501)</f>
        <v>267.24129600000009</v>
      </c>
      <c r="S47" s="34"/>
      <c r="T47" s="18">
        <f t="shared" si="4"/>
        <v>1068.9651840000004</v>
      </c>
      <c r="U47" s="32">
        <f>SUM('Plant Measurements'!P499)</f>
        <v>5.5593320000000013</v>
      </c>
      <c r="V47" s="34"/>
      <c r="W47" s="18">
        <f t="shared" si="5"/>
        <v>22.237328000000005</v>
      </c>
      <c r="X47" s="31">
        <f t="shared" si="6"/>
        <v>2012.7337240000006</v>
      </c>
      <c r="Y47" s="35"/>
      <c r="Z47" s="23">
        <f t="shared" si="7"/>
        <v>0</v>
      </c>
      <c r="AA47" s="23">
        <f t="shared" si="8"/>
        <v>1091.2025120000003</v>
      </c>
      <c r="AB47">
        <f t="shared" si="9"/>
        <v>0</v>
      </c>
      <c r="AC47">
        <f t="shared" si="10"/>
        <v>0</v>
      </c>
      <c r="AD47">
        <f t="shared" si="11"/>
        <v>0.45785053482812316</v>
      </c>
      <c r="AE47">
        <f t="shared" si="12"/>
        <v>0.54214946517187679</v>
      </c>
      <c r="AF47">
        <f t="shared" si="13"/>
        <v>21033.62801</v>
      </c>
      <c r="AG47">
        <f t="shared" si="14"/>
        <v>4206.7256020000004</v>
      </c>
      <c r="AH47">
        <f t="shared" si="15"/>
        <v>8467.0184867596054</v>
      </c>
    </row>
    <row r="48" spans="1:34">
      <c r="A48" s="17" t="s">
        <v>25</v>
      </c>
      <c r="B48" s="18">
        <v>48</v>
      </c>
      <c r="C48" s="19"/>
      <c r="D48" s="20"/>
      <c r="E48" s="18">
        <f t="shared" si="0"/>
        <v>0</v>
      </c>
      <c r="F48" s="19"/>
      <c r="G48" s="21"/>
      <c r="H48" s="25">
        <f t="shared" si="17"/>
        <v>0</v>
      </c>
      <c r="I48" s="19"/>
      <c r="J48" s="21"/>
      <c r="K48" s="18">
        <f t="shared" si="1"/>
        <v>0</v>
      </c>
      <c r="L48" s="19"/>
      <c r="M48" s="21"/>
      <c r="N48" s="18">
        <f t="shared" si="2"/>
        <v>0</v>
      </c>
      <c r="O48" s="19"/>
      <c r="P48" s="21"/>
      <c r="Q48" s="18">
        <f t="shared" si="3"/>
        <v>0</v>
      </c>
      <c r="R48" s="19">
        <f>SUM('Plant Measurements'!P503:P512)</f>
        <v>220.54201400000011</v>
      </c>
      <c r="S48" s="21"/>
      <c r="T48" s="18">
        <f t="shared" si="4"/>
        <v>882.16805600000043</v>
      </c>
      <c r="U48" s="19">
        <f>SUM('Plant Measurements'!P502)</f>
        <v>194.27749376000003</v>
      </c>
      <c r="V48" s="21"/>
      <c r="W48" s="18">
        <f t="shared" si="5"/>
        <v>777.10997504000011</v>
      </c>
      <c r="X48" s="18">
        <f t="shared" si="6"/>
        <v>1659.2780310400005</v>
      </c>
      <c r="Y48" s="22">
        <f>AVERAGE(X48:X52)</f>
        <v>1931.5743388400006</v>
      </c>
      <c r="Z48" s="23">
        <f>E48+Q48</f>
        <v>0</v>
      </c>
      <c r="AA48" s="23">
        <f t="shared" si="8"/>
        <v>1659.2780310400005</v>
      </c>
      <c r="AB48">
        <f t="shared" si="9"/>
        <v>0</v>
      </c>
      <c r="AC48">
        <f t="shared" si="10"/>
        <v>0</v>
      </c>
      <c r="AD48">
        <f t="shared" si="11"/>
        <v>0</v>
      </c>
      <c r="AE48">
        <f t="shared" si="12"/>
        <v>1</v>
      </c>
      <c r="AF48">
        <f t="shared" si="13"/>
        <v>21033.62801</v>
      </c>
      <c r="AG48">
        <f t="shared" si="14"/>
        <v>4206.7256020000004</v>
      </c>
      <c r="AH48">
        <f t="shared" si="15"/>
        <v>6980.1273740121223</v>
      </c>
    </row>
    <row r="49" spans="1:34">
      <c r="A49" s="24" t="s">
        <v>25</v>
      </c>
      <c r="B49" s="25">
        <v>28</v>
      </c>
      <c r="C49" s="26"/>
      <c r="D49" s="27"/>
      <c r="E49" s="18">
        <f t="shared" si="0"/>
        <v>0</v>
      </c>
      <c r="F49" s="26"/>
      <c r="G49" s="28"/>
      <c r="H49" s="25">
        <f t="shared" si="17"/>
        <v>0</v>
      </c>
      <c r="I49" s="26"/>
      <c r="J49" s="28"/>
      <c r="K49" s="18">
        <f t="shared" si="1"/>
        <v>0</v>
      </c>
      <c r="L49" s="26"/>
      <c r="M49" s="28"/>
      <c r="N49" s="18">
        <f t="shared" si="2"/>
        <v>0</v>
      </c>
      <c r="O49" s="26"/>
      <c r="P49" s="28"/>
      <c r="Q49" s="18">
        <f t="shared" si="3"/>
        <v>0</v>
      </c>
      <c r="R49" s="26">
        <f>SUM('Plant Measurements'!P513:P521)</f>
        <v>410.01381000000009</v>
      </c>
      <c r="S49" s="28"/>
      <c r="T49" s="18">
        <f t="shared" si="4"/>
        <v>1640.0552400000004</v>
      </c>
      <c r="U49" s="26"/>
      <c r="V49" s="28"/>
      <c r="W49" s="18">
        <f t="shared" si="5"/>
        <v>0</v>
      </c>
      <c r="X49" s="25">
        <f t="shared" si="6"/>
        <v>1640.0552400000004</v>
      </c>
      <c r="Y49" s="29"/>
      <c r="Z49" s="23">
        <f t="shared" si="7"/>
        <v>0</v>
      </c>
      <c r="AA49" s="23">
        <f t="shared" si="8"/>
        <v>1640.0552400000004</v>
      </c>
      <c r="AB49">
        <f t="shared" si="9"/>
        <v>0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21033.62801</v>
      </c>
      <c r="AG49">
        <f t="shared" si="14"/>
        <v>4206.7256020000004</v>
      </c>
      <c r="AH49">
        <f t="shared" si="15"/>
        <v>6899.2623668022561</v>
      </c>
    </row>
    <row r="50" spans="1:34">
      <c r="A50" s="24" t="s">
        <v>25</v>
      </c>
      <c r="B50" s="25">
        <v>17</v>
      </c>
      <c r="C50" s="26"/>
      <c r="D50" s="27"/>
      <c r="E50" s="18">
        <f t="shared" si="0"/>
        <v>0</v>
      </c>
      <c r="F50" s="26"/>
      <c r="G50" s="28"/>
      <c r="H50" s="25">
        <f t="shared" si="17"/>
        <v>0</v>
      </c>
      <c r="I50" s="26"/>
      <c r="J50" s="28"/>
      <c r="K50" s="18">
        <f t="shared" si="1"/>
        <v>0</v>
      </c>
      <c r="L50" s="26"/>
      <c r="M50" s="28"/>
      <c r="N50" s="18">
        <f t="shared" si="2"/>
        <v>0</v>
      </c>
      <c r="O50" s="26"/>
      <c r="P50" s="28"/>
      <c r="Q50" s="18">
        <f t="shared" si="3"/>
        <v>0</v>
      </c>
      <c r="R50" s="26">
        <f>SUM('Plant Measurements'!P534:P548)</f>
        <v>248.12277400000008</v>
      </c>
      <c r="S50" s="28"/>
      <c r="T50" s="18">
        <f t="shared" si="4"/>
        <v>992.49109600000031</v>
      </c>
      <c r="U50" s="26">
        <f>SUM('Plant Measurements'!P522:P533)</f>
        <v>1141.86694779</v>
      </c>
      <c r="V50" s="28"/>
      <c r="W50" s="18">
        <f t="shared" si="5"/>
        <v>4567.4677911600002</v>
      </c>
      <c r="X50" s="25">
        <f t="shared" si="6"/>
        <v>5559.9588871600008</v>
      </c>
      <c r="Y50" s="29"/>
      <c r="Z50" s="23">
        <f t="shared" si="7"/>
        <v>0</v>
      </c>
      <c r="AA50" s="23">
        <f t="shared" si="8"/>
        <v>5559.9588871600008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21033.62801</v>
      </c>
      <c r="AG50">
        <f t="shared" si="14"/>
        <v>4206.7256020000004</v>
      </c>
      <c r="AH50">
        <f t="shared" si="15"/>
        <v>23389.221396683406</v>
      </c>
    </row>
    <row r="51" spans="1:34">
      <c r="A51" s="24" t="s">
        <v>25</v>
      </c>
      <c r="B51" s="25">
        <v>6</v>
      </c>
      <c r="C51" s="26"/>
      <c r="D51" s="27"/>
      <c r="E51" s="18">
        <f t="shared" si="0"/>
        <v>0</v>
      </c>
      <c r="F51" s="26"/>
      <c r="G51" s="28"/>
      <c r="H51" s="25">
        <f t="shared" si="17"/>
        <v>0</v>
      </c>
      <c r="I51" s="26"/>
      <c r="J51" s="28"/>
      <c r="K51" s="18">
        <f t="shared" si="1"/>
        <v>0</v>
      </c>
      <c r="L51" s="26"/>
      <c r="M51" s="28"/>
      <c r="N51" s="18">
        <f t="shared" si="2"/>
        <v>0</v>
      </c>
      <c r="O51" s="26"/>
      <c r="P51" s="28"/>
      <c r="Q51" s="18">
        <f t="shared" si="3"/>
        <v>0</v>
      </c>
      <c r="R51" s="26"/>
      <c r="S51" s="28"/>
      <c r="T51" s="18">
        <f t="shared" si="4"/>
        <v>0</v>
      </c>
      <c r="U51" s="26"/>
      <c r="V51" s="28"/>
      <c r="W51" s="18">
        <f t="shared" si="5"/>
        <v>0</v>
      </c>
      <c r="X51" s="25">
        <f t="shared" si="6"/>
        <v>0</v>
      </c>
      <c r="Y51" s="29"/>
      <c r="Z51" s="23">
        <f t="shared" si="7"/>
        <v>0</v>
      </c>
      <c r="AA51" s="23">
        <f t="shared" si="8"/>
        <v>0</v>
      </c>
      <c r="AB51" t="str">
        <f t="shared" si="9"/>
        <v xml:space="preserve"> </v>
      </c>
      <c r="AC51" t="str">
        <f t="shared" si="10"/>
        <v xml:space="preserve"> </v>
      </c>
      <c r="AD51" t="str">
        <f t="shared" si="11"/>
        <v xml:space="preserve"> </v>
      </c>
      <c r="AE51" t="str">
        <f t="shared" si="12"/>
        <v xml:space="preserve"> </v>
      </c>
      <c r="AF51">
        <f t="shared" si="13"/>
        <v>21033.62801</v>
      </c>
      <c r="AG51">
        <f t="shared" si="14"/>
        <v>4206.7256020000004</v>
      </c>
      <c r="AH51">
        <f t="shared" si="15"/>
        <v>0</v>
      </c>
    </row>
    <row r="52" spans="1:34">
      <c r="A52" s="30" t="s">
        <v>25</v>
      </c>
      <c r="B52" s="31">
        <v>2</v>
      </c>
      <c r="C52" s="32"/>
      <c r="D52" s="33"/>
      <c r="E52" s="18">
        <f t="shared" si="0"/>
        <v>0</v>
      </c>
      <c r="F52" s="32"/>
      <c r="G52" s="34"/>
      <c r="H52" s="25">
        <f t="shared" si="17"/>
        <v>0</v>
      </c>
      <c r="I52" s="32"/>
      <c r="J52" s="34"/>
      <c r="K52" s="18">
        <f t="shared" si="1"/>
        <v>0</v>
      </c>
      <c r="L52" s="32"/>
      <c r="M52" s="34"/>
      <c r="N52" s="18">
        <f t="shared" si="2"/>
        <v>0</v>
      </c>
      <c r="O52" s="32"/>
      <c r="P52" s="34"/>
      <c r="Q52" s="18">
        <f t="shared" si="3"/>
        <v>0</v>
      </c>
      <c r="R52" s="32">
        <f>SUM('Plant Measurements'!P552:P560)</f>
        <v>130.82352400000002</v>
      </c>
      <c r="S52" s="34"/>
      <c r="T52" s="18">
        <f t="shared" si="4"/>
        <v>523.29409600000008</v>
      </c>
      <c r="U52" s="32">
        <f>SUM('Plant Measurements'!P550:P551)</f>
        <v>68.821360000000027</v>
      </c>
      <c r="V52" s="34"/>
      <c r="W52" s="18">
        <f t="shared" si="5"/>
        <v>275.28544000000011</v>
      </c>
      <c r="X52" s="31">
        <f t="shared" si="6"/>
        <v>798.57953600000019</v>
      </c>
      <c r="Y52" s="35"/>
      <c r="Z52" s="23">
        <f t="shared" si="7"/>
        <v>0</v>
      </c>
      <c r="AA52" s="23">
        <f t="shared" si="8"/>
        <v>798.57953600000019</v>
      </c>
      <c r="AB52">
        <f t="shared" si="9"/>
        <v>0</v>
      </c>
      <c r="AC52">
        <f t="shared" si="10"/>
        <v>0</v>
      </c>
      <c r="AD52">
        <f t="shared" si="11"/>
        <v>0</v>
      </c>
      <c r="AE52">
        <f t="shared" si="12"/>
        <v>1</v>
      </c>
      <c r="AF52">
        <f t="shared" si="13"/>
        <v>21033.62801</v>
      </c>
      <c r="AG52">
        <f t="shared" si="14"/>
        <v>4206.7256020000004</v>
      </c>
      <c r="AH52">
        <f t="shared" si="15"/>
        <v>3359.4049793244817</v>
      </c>
    </row>
    <row r="53" spans="1:34">
      <c r="Y53" t="s">
        <v>57</v>
      </c>
      <c r="AB53">
        <f>AVERAGE(AB3:AB52)</f>
        <v>6.4216680261553527E-2</v>
      </c>
      <c r="AC53">
        <f>AVERAGE(AC3:AC52)</f>
        <v>0</v>
      </c>
      <c r="AD53">
        <f>AVERAGE(AD3:AD52)</f>
        <v>5.1723229178230162E-2</v>
      </c>
      <c r="AE53">
        <f>AVERAGE(AE3:AE52)</f>
        <v>0.88406009056021617</v>
      </c>
      <c r="AG53" t="s">
        <v>58</v>
      </c>
      <c r="AH53">
        <f>SUM(AH3:AH52)</f>
        <v>320404.97807777667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2015-06-18T17:11:46Z</dcterms:created>
  <dcterms:modified xsi:type="dcterms:W3CDTF">2017-06-14T22:52:29Z</dcterms:modified>
</cp:coreProperties>
</file>